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dmin/Documents/masters_gschool/mesR/R_bpwtp/thesis/data/"/>
    </mc:Choice>
  </mc:AlternateContent>
  <xr:revisionPtr revIDLastSave="0" documentId="8_{EB0EF474-550B-0944-9C47-EB74B158A52C}" xr6:coauthVersionLast="47" xr6:coauthVersionMax="47" xr10:uidLastSave="{00000000-0000-0000-0000-000000000000}"/>
  <bookViews>
    <workbookView xWindow="-60" yWindow="500" windowWidth="15480" windowHeight="11640" xr2:uid="{00000000-000D-0000-FFFF-FFFF00000000}"/>
  </bookViews>
  <sheets>
    <sheet name="Weekly Data" sheetId="1" r:id="rId1"/>
    <sheet name="Lagoons" sheetId="2" r:id="rId2"/>
    <sheet name="WTP DOC Profile" sheetId="3" r:id="rId3"/>
    <sheet name="CW THMFP" sheetId="4" r:id="rId4"/>
    <sheet name="preGAC THMFP" sheetId="5" r:id="rId5"/>
    <sheet name="Month Avg" sheetId="6" r:id="rId6"/>
    <sheet name="DOC % Removal" sheetId="7" r:id="rId7"/>
    <sheet name="Raw dAl vs pH" sheetId="8" r:id="rId8"/>
    <sheet name="preCl2 vs chTHM" sheetId="9" r:id="rId9"/>
    <sheet name="CHARTS" sheetId="10" r:id="rId10"/>
    <sheet name="RTW" sheetId="11" r:id="rId11"/>
    <sheet name="MACRO" sheetId="12" r:id="rId12"/>
    <sheet name="O2 Table" sheetId="13" r:id="rId13"/>
  </sheets>
  <definedNames>
    <definedName name="_10CRT_AL_TOTAL">CHARTS!$A$669</definedName>
    <definedName name="_11CRT_ALUM\DOC">CHARTS!$V$233</definedName>
    <definedName name="_12CRT_BICARBONATE">CHARTS!$A$423</definedName>
    <definedName name="_13CRT_BROMIDE">CHARTS!$A$841</definedName>
    <definedName name="_14CRT_CALCIUM">CHARTS!$A$484</definedName>
    <definedName name="_15CRT_CARBONATE">CHARTS!$A$446</definedName>
    <definedName name="_16CRT_CHLORIDE">CHARTS!$A$608</definedName>
    <definedName name="_17CRT_CHLOROPHYLL">CHARTS!$A$932</definedName>
    <definedName name="_18CRT_DISS_AL_CW">CHARTS!$V$141</definedName>
    <definedName name="_19CRT_DISS_AL_RAW">'Raw dAl vs pH'!$A$1</definedName>
    <definedName name="_1CA_TEMP">RTW!$A$8</definedName>
    <definedName name="_20CRT_DOC">CHARTS!$A$1138</definedName>
    <definedName name="_21CRT_DOC___REM">'DOC % Removal'!$A$1</definedName>
    <definedName name="_22CRT_DOC_254_NM">CHARTS!$A$1162</definedName>
    <definedName name="_23CRT_DOC__GAC">CHARTS!$A$1223</definedName>
    <definedName name="_24CRT_F_CW_DOSE">CHARTS!$A$909</definedName>
    <definedName name="_25CRT_FE_DIS.">CHARTS!$A$978</definedName>
    <definedName name="_26CRT_FE_MN_PRECL">CHARTS!$A$281</definedName>
    <definedName name="_27CRT_FE_TOTAL">CHARTS!$A$1000</definedName>
    <definedName name="_28CRT_FILT._12_AL">CHARTS!$A$724</definedName>
    <definedName name="_29CRT_FILTER_1_AL">CHARTS!$A$702</definedName>
    <definedName name="_2CRT__DO_COMPARE">CHARTS!$A$1</definedName>
    <definedName name="_30CRT_FLUORIDE">CHARTS!$A$887</definedName>
    <definedName name="_31CRT_LANG_INDEX">CHARTS!$A$188</definedName>
    <definedName name="_32CRT_MAGNESIUM">CHARTS!$A$499</definedName>
    <definedName name="_33CRT_MN_DIS.">CHARTS!$A$1023</definedName>
    <definedName name="_34CRT_MN_TOTAL">CHARTS!$A$1045</definedName>
    <definedName name="_35CRT_NH4_N">CHARTS!$A$796</definedName>
    <definedName name="_36CRT_NITRATE">CHARTS!$A$1068</definedName>
    <definedName name="_37CRT_ODOUR_CWPRE">CHARTS!$V$94</definedName>
    <definedName name="_38CRT_ODOUR_RAW">CHARTS!$V$47</definedName>
    <definedName name="_39CRT_ORGANIC_N">CHARTS!$A$818</definedName>
    <definedName name="_3CRT__DO_CW">CHARTS!$V$329</definedName>
    <definedName name="_40CRT_ORTHO_PHOS">CHARTS!$A$1256</definedName>
    <definedName name="_41CRT_P_OR_CW_ALT">CHARTS!$A$778</definedName>
    <definedName name="_42CRT_P_ALKALIN">CHARTS!$A$399</definedName>
    <definedName name="_43CRT_POTASSIUM">CHARTS!$A$538</definedName>
    <definedName name="_44CRT_PREGAC_AL_D">CHARTS!$A$747</definedName>
    <definedName name="_45CRT_PREGAC_AL_T">CHARTS!$A$762</definedName>
    <definedName name="_46CRT_RAW_ODOUR">CHARTS!$V$47</definedName>
    <definedName name="_47CRT_RAWDOC_TCL2">CHARTS!$A$328</definedName>
    <definedName name="_48CRT_SDTHMFP_CW">CHARTS!$A$49</definedName>
    <definedName name="_49CRT_SDTHMFPPGAC">CHARTS!$A$95</definedName>
    <definedName name="_4CRT__ERROR_CW">CHARTS!$V$185</definedName>
    <definedName name="_50CRT_SODIUM">CHARTS!$A$515</definedName>
    <definedName name="_51CRT_SULPHATE">CHARTS!$A$562</definedName>
    <definedName name="_52CRT_T_DOC___GON">CHARTS!$A$1238</definedName>
    <definedName name="_53CRT_T_ALKALIN">CHARTS!$A$376</definedName>
    <definedName name="_54CRT_TOC">CHARTS!$A$1114</definedName>
    <definedName name="_55CRT_TOTAL_HARD">CHARTS!$A$469</definedName>
    <definedName name="_56CRT_UV254\DOC">CHARTS!$V$281</definedName>
    <definedName name="_57CTR_C.F.__DOC">CHARTS!$A$1208</definedName>
    <definedName name="_58CW_AL_PREYEAR">'Month Avg'!$V$184:$AG$184</definedName>
    <definedName name="_59CWTHM_RETURN">'CW THMFP'!$B$143</definedName>
    <definedName name="_5CRT__ERROR_RAW">CHARTS!$V$1</definedName>
    <definedName name="_60DISSOLVED_IRON">CHARTS!$A$978</definedName>
    <definedName name="_61DISSOLVED_MN">CHARTS!$A$1023</definedName>
    <definedName name="_62DOC__REMO._BY_C">CHARTS!$A$1208</definedName>
    <definedName name="_63DOC__REMOVAL">CHARTS!$A$1208</definedName>
    <definedName name="_64DOC_RETURN">'WTP DOC Profile'!$B$187</definedName>
    <definedName name="_65F__CW_ACTUAL">CHARTS!$A$909</definedName>
    <definedName name="_66FILTER_1_AL">CHARTS!$A$702</definedName>
    <definedName name="_67PREGAC_AL_DIS.">CHARTS!$A$747</definedName>
    <definedName name="_68PREGAC_AL_TOTAL">CHARTS!$A$762</definedName>
    <definedName name="_69RETURN_HOME">'Weekly Data'!$A$133</definedName>
    <definedName name="_6CRT__AL_DIS">CHARTS!$A$654</definedName>
    <definedName name="_70RN_CWALK">'Weekly Data'!$A$153:$A$168</definedName>
    <definedName name="_71RN_CWCA">'Weekly Data'!$A$168:$A$171</definedName>
    <definedName name="_72RN_CWCL">'Weekly Data'!$A$171:$A$177</definedName>
    <definedName name="_73RN_CWLI">'Weekly Data'!$A$163:$A$176</definedName>
    <definedName name="_74RN_CWPH">'Weekly Data'!$A$153:$A$158</definedName>
    <definedName name="_75RN_CWSO4">'Weekly Data'!$A$176:$A$177</definedName>
    <definedName name="_76RN_CWTDS">'Weekly Data'!$A$28:$A$160</definedName>
    <definedName name="_77RN_CWTEMP">'Weekly Data'!$A$158:$A$160</definedName>
    <definedName name="_78RN_RAWALK">'Weekly Data'!$A$21:$A$33</definedName>
    <definedName name="_79RN_RAWCA">'Weekly Data'!$A$33:$A$36</definedName>
    <definedName name="_7CRT_ALGAE_CW">CHARTS!$A$141</definedName>
    <definedName name="_80RN_RAWCL">'Weekly Data'!$A$36:$A$42</definedName>
    <definedName name="_81RN_RAWLI">'Weekly Data'!$A$28:$A$41</definedName>
    <definedName name="_82RN_RAWPH">'Weekly Data'!$A$21:$A$25</definedName>
    <definedName name="_83RN_RAWSO4">'Weekly Data'!$A$41:$A$42</definedName>
    <definedName name="_84RN_RAWTDS">'Weekly Data'!$A$8:$A$27</definedName>
    <definedName name="_85RN_RAWTEMP">'Weekly Data'!$A$25:$A$27</definedName>
    <definedName name="_86TABLE_OXYGEN">'O2 Table'!$A$3:$B$294</definedName>
    <definedName name="_87TOTAL_DOC__GONE">CHARTS!$A$1238</definedName>
    <definedName name="_88TOTAL_MN">CHARTS!$A$1045</definedName>
    <definedName name="_8CRT_ALGAE_RAW">CHARTS!$A$235</definedName>
    <definedName name="_9CRT_AL_PART">CHARTS!$A$685</definedName>
    <definedName name="_SO4">RTW!$C$10</definedName>
    <definedName name="\0">MACRO!$B$93</definedName>
    <definedName name="\C">MACRO!$B$59</definedName>
    <definedName name="\H">MACRO!$B$95</definedName>
    <definedName name="ALK">RTW!$C$7</definedName>
    <definedName name="ALRT1">MACRO!$B$90</definedName>
    <definedName name="CA">RTW!$C$8</definedName>
    <definedName name="CHECK">'Weekly Data'!$X$27</definedName>
    <definedName name="CHEMLIST">RTW!$G$6:$G$15</definedName>
    <definedName name="CHOICE">MACRO!$B$5:$B$57</definedName>
    <definedName name="CHOICEPICK">MACRO!$B$1</definedName>
    <definedName name="CL">RTW!$C$9</definedName>
    <definedName name="FLUORIDE">CHARTS!$A$887</definedName>
    <definedName name="JANWK1">'Weekly Data'!$E$8</definedName>
    <definedName name="LANGINDEX">RTW!$G$21</definedName>
    <definedName name="PH">RTW!$C$6</definedName>
    <definedName name="_xlnm.Print_Area">'O2 Table'!$A$1:$B$294</definedName>
    <definedName name="TDS">RTW!$C$4</definedName>
    <definedName name="TEMP">RTW!$C$5</definedName>
    <definedName name="TOC">CHARTS!$A$1114</definedName>
    <definedName name="WEEK">'Weekly Data'!$E$8:$BD$8</definedName>
  </definedNames>
  <calcPr calcId="191028"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4" l="1"/>
  <c r="R4" i="4"/>
  <c r="Q5" i="4"/>
  <c r="R5" i="4"/>
  <c r="Q6" i="4"/>
  <c r="R6" i="4"/>
  <c r="Q7" i="4"/>
  <c r="R7" i="4"/>
  <c r="Q8" i="4"/>
  <c r="R8" i="4"/>
  <c r="Q9" i="4"/>
  <c r="R9" i="4"/>
  <c r="Q10" i="4"/>
  <c r="R10" i="4"/>
  <c r="Q11" i="4"/>
  <c r="R11" i="4"/>
  <c r="Q12" i="4"/>
  <c r="R12" i="4"/>
  <c r="Q13" i="4"/>
  <c r="R13" i="4"/>
  <c r="Q14" i="4"/>
  <c r="R14" i="4"/>
  <c r="Q15" i="4"/>
  <c r="R15" i="4"/>
  <c r="Q16" i="4"/>
  <c r="R16" i="4"/>
  <c r="Q17" i="4"/>
  <c r="R17" i="4"/>
  <c r="Q18" i="4"/>
  <c r="R18" i="4"/>
  <c r="Q19" i="4"/>
  <c r="R19" i="4"/>
  <c r="Q20" i="4"/>
  <c r="R20" i="4"/>
  <c r="Q21" i="4"/>
  <c r="R21" i="4"/>
  <c r="Q22" i="4"/>
  <c r="R22" i="4"/>
  <c r="Q23" i="4"/>
  <c r="R23" i="4"/>
  <c r="Q24" i="4"/>
  <c r="R24" i="4"/>
  <c r="Q25" i="4"/>
  <c r="R25" i="4"/>
  <c r="Q26" i="4"/>
  <c r="R26" i="4"/>
  <c r="Q27" i="4"/>
  <c r="R27" i="4"/>
  <c r="Q28" i="4"/>
  <c r="R28" i="4"/>
  <c r="Q29" i="4"/>
  <c r="R29" i="4"/>
  <c r="Q30" i="4"/>
  <c r="R30" i="4"/>
  <c r="Q31" i="4"/>
  <c r="R31" i="4"/>
  <c r="Q32" i="4"/>
  <c r="R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61" i="4"/>
  <c r="R61" i="4"/>
  <c r="Q62" i="4"/>
  <c r="R62" i="4"/>
  <c r="Q63" i="4"/>
  <c r="R63" i="4"/>
  <c r="Q64" i="4"/>
  <c r="R64" i="4"/>
  <c r="Q65" i="4"/>
  <c r="R65" i="4"/>
  <c r="Q66" i="4"/>
  <c r="R66" i="4"/>
  <c r="Q67" i="4"/>
  <c r="R67" i="4"/>
  <c r="Q68" i="4"/>
  <c r="R68" i="4"/>
  <c r="Q69" i="4"/>
  <c r="R69" i="4"/>
  <c r="Q70" i="4"/>
  <c r="R70" i="4"/>
  <c r="Q71" i="4"/>
  <c r="R71" i="4"/>
  <c r="Q72" i="4"/>
  <c r="R72" i="4"/>
  <c r="Q73" i="4"/>
  <c r="R73" i="4"/>
  <c r="Q74" i="4"/>
  <c r="R74" i="4"/>
  <c r="Q75" i="4"/>
  <c r="R75" i="4"/>
  <c r="Q76" i="4"/>
  <c r="R76" i="4"/>
  <c r="Q77" i="4"/>
  <c r="R77" i="4"/>
  <c r="Q78" i="4"/>
  <c r="R78" i="4"/>
  <c r="Q79" i="4"/>
  <c r="R79" i="4"/>
  <c r="Q80" i="4"/>
  <c r="R80" i="4"/>
  <c r="Q81" i="4"/>
  <c r="R81" i="4"/>
  <c r="Q82" i="4"/>
  <c r="R82" i="4"/>
  <c r="Q83" i="4"/>
  <c r="R83" i="4"/>
  <c r="Q84" i="4"/>
  <c r="R84" i="4"/>
  <c r="Q85" i="4"/>
  <c r="R85" i="4"/>
  <c r="Q86" i="4"/>
  <c r="R86" i="4"/>
  <c r="Q87" i="4"/>
  <c r="R87" i="4"/>
  <c r="Q88" i="4"/>
  <c r="R88" i="4"/>
  <c r="Q89" i="4"/>
  <c r="R89" i="4"/>
  <c r="Q90" i="4"/>
  <c r="R90" i="4"/>
  <c r="Q91" i="4"/>
  <c r="R91" i="4"/>
  <c r="Q92" i="4"/>
  <c r="R92" i="4"/>
  <c r="Q93" i="4"/>
  <c r="R93" i="4"/>
  <c r="Q94" i="4"/>
  <c r="R94" i="4"/>
  <c r="Q95" i="4"/>
  <c r="R95" i="4"/>
  <c r="Q96" i="4"/>
  <c r="R96" i="4"/>
  <c r="Q97" i="4"/>
  <c r="R97" i="4"/>
  <c r="Q98" i="4"/>
  <c r="R98" i="4"/>
  <c r="Q99" i="4"/>
  <c r="R99" i="4"/>
  <c r="Q100" i="4"/>
  <c r="R100" i="4"/>
  <c r="Q101" i="4"/>
  <c r="R101" i="4"/>
  <c r="Q102" i="4"/>
  <c r="R102" i="4"/>
  <c r="Q103" i="4"/>
  <c r="R103" i="4"/>
  <c r="Q104" i="4"/>
  <c r="R104" i="4"/>
  <c r="Q105" i="4"/>
  <c r="R105" i="4"/>
  <c r="Q106" i="4"/>
  <c r="R106" i="4"/>
  <c r="Q107" i="4"/>
  <c r="R107" i="4"/>
  <c r="Q108" i="4"/>
  <c r="R108" i="4"/>
  <c r="Q109" i="4"/>
  <c r="R109" i="4"/>
  <c r="Q110" i="4"/>
  <c r="R110" i="4"/>
  <c r="Q111" i="4"/>
  <c r="R111" i="4"/>
  <c r="Q112" i="4"/>
  <c r="R112" i="4"/>
  <c r="Q113" i="4"/>
  <c r="R113" i="4"/>
  <c r="Q114" i="4"/>
  <c r="R114" i="4"/>
  <c r="Q115" i="4"/>
  <c r="R115" i="4"/>
  <c r="Q116" i="4"/>
  <c r="R116" i="4"/>
  <c r="Q117" i="4"/>
  <c r="R117" i="4"/>
  <c r="Q118" i="4"/>
  <c r="R118" i="4"/>
  <c r="Q119" i="4"/>
  <c r="R119" i="4"/>
  <c r="Q120" i="4"/>
  <c r="R120" i="4"/>
  <c r="Q121" i="4"/>
  <c r="R121" i="4"/>
  <c r="Q122" i="4"/>
  <c r="R122" i="4"/>
  <c r="Q123" i="4"/>
  <c r="R123" i="4"/>
  <c r="Q124" i="4"/>
  <c r="R124" i="4"/>
  <c r="Q125" i="4"/>
  <c r="R125" i="4"/>
  <c r="Q126" i="4"/>
  <c r="R126" i="4"/>
  <c r="Q127" i="4"/>
  <c r="R127" i="4"/>
  <c r="Q128" i="4"/>
  <c r="R128" i="4"/>
  <c r="Q129" i="4"/>
  <c r="R129" i="4"/>
  <c r="Q130" i="4"/>
  <c r="R130" i="4"/>
  <c r="Q131" i="4"/>
  <c r="R131" i="4"/>
  <c r="Q132" i="4"/>
  <c r="R132" i="4"/>
  <c r="Q133" i="4"/>
  <c r="R133" i="4"/>
  <c r="Q134" i="4"/>
  <c r="R134" i="4"/>
  <c r="Q135" i="4"/>
  <c r="R135" i="4"/>
  <c r="Q136" i="4"/>
  <c r="R136" i="4"/>
  <c r="Q137" i="4"/>
  <c r="R137" i="4"/>
  <c r="Q138" i="4"/>
  <c r="R138" i="4"/>
  <c r="Q139" i="4"/>
  <c r="R139" i="4"/>
  <c r="Q140" i="4"/>
  <c r="R140" i="4"/>
  <c r="Q141" i="4"/>
  <c r="R141" i="4"/>
  <c r="Q142" i="4"/>
  <c r="R142" i="4"/>
  <c r="E144" i="4"/>
  <c r="F144" i="4"/>
  <c r="G144" i="4"/>
  <c r="H144" i="4"/>
  <c r="I144" i="4"/>
  <c r="J144" i="4"/>
  <c r="K144" i="4"/>
  <c r="L144" i="4"/>
  <c r="M144" i="4"/>
  <c r="N144" i="4"/>
  <c r="O144" i="4"/>
  <c r="P144" i="4"/>
  <c r="Q144" i="4"/>
  <c r="R144" i="4"/>
  <c r="S144" i="4"/>
  <c r="T144" i="4"/>
  <c r="U144" i="4"/>
  <c r="V144" i="4"/>
  <c r="F145" i="4"/>
  <c r="H145" i="4"/>
  <c r="J145" i="4"/>
  <c r="L145" i="4"/>
  <c r="N145" i="4"/>
  <c r="P145" i="4"/>
  <c r="R145" i="4"/>
  <c r="T145" i="4"/>
  <c r="V145" i="4"/>
  <c r="E147" i="4"/>
  <c r="F147" i="4"/>
  <c r="G147" i="4"/>
  <c r="I147" i="4"/>
  <c r="J147" i="4"/>
  <c r="K147" i="4"/>
  <c r="L147" i="4"/>
  <c r="M147" i="4"/>
  <c r="N147" i="4"/>
  <c r="O147" i="4"/>
  <c r="P147" i="4"/>
  <c r="Q147" i="4"/>
  <c r="R147" i="4"/>
  <c r="S147" i="4"/>
  <c r="T147" i="4"/>
  <c r="U147" i="4"/>
  <c r="V147" i="4"/>
  <c r="W147" i="4"/>
  <c r="D166" i="2"/>
  <c r="E166" i="2"/>
  <c r="F166" i="2"/>
  <c r="G166" i="2"/>
  <c r="H166" i="2"/>
  <c r="I166" i="2"/>
  <c r="J166" i="2"/>
  <c r="K166" i="2"/>
  <c r="L166" i="2"/>
  <c r="D171" i="2"/>
  <c r="E171" i="2"/>
  <c r="F171" i="2"/>
  <c r="G171" i="2"/>
  <c r="I171" i="2"/>
  <c r="D173" i="2"/>
  <c r="E173" i="2"/>
  <c r="F173" i="2"/>
  <c r="G173" i="2"/>
  <c r="H173" i="2"/>
  <c r="I173" i="2"/>
  <c r="J173" i="2"/>
  <c r="M173" i="2"/>
  <c r="B3" i="6"/>
  <c r="B10" i="6"/>
  <c r="B12" i="6"/>
  <c r="B14" i="6"/>
  <c r="C14" i="6"/>
  <c r="D14" i="6"/>
  <c r="E14" i="6"/>
  <c r="F14" i="6"/>
  <c r="G14" i="6"/>
  <c r="H14" i="6"/>
  <c r="I14" i="6"/>
  <c r="J14" i="6"/>
  <c r="K14" i="6"/>
  <c r="L14" i="6"/>
  <c r="M14" i="6"/>
  <c r="N14" i="6"/>
  <c r="O14" i="6"/>
  <c r="Q14" i="6"/>
  <c r="R14" i="6"/>
  <c r="S14" i="6"/>
  <c r="U14" i="6"/>
  <c r="B15" i="6"/>
  <c r="C15" i="6"/>
  <c r="D15" i="6"/>
  <c r="E15" i="6"/>
  <c r="F15" i="6"/>
  <c r="G15" i="6"/>
  <c r="H15" i="6"/>
  <c r="I15" i="6"/>
  <c r="J15" i="6"/>
  <c r="K15" i="6"/>
  <c r="L15" i="6"/>
  <c r="M15" i="6"/>
  <c r="N15" i="6"/>
  <c r="O15" i="6"/>
  <c r="Q15" i="6"/>
  <c r="R15" i="6"/>
  <c r="S15" i="6"/>
  <c r="U15" i="6"/>
  <c r="B16" i="6"/>
  <c r="C16" i="6"/>
  <c r="D16" i="6"/>
  <c r="E16" i="6"/>
  <c r="F16" i="6"/>
  <c r="G16" i="6"/>
  <c r="H16" i="6"/>
  <c r="I16" i="6"/>
  <c r="J16" i="6"/>
  <c r="K16" i="6"/>
  <c r="L16" i="6"/>
  <c r="M16" i="6"/>
  <c r="N16" i="6"/>
  <c r="O16" i="6"/>
  <c r="Q16" i="6"/>
  <c r="R16" i="6"/>
  <c r="S16" i="6"/>
  <c r="U16" i="6"/>
  <c r="B17" i="6"/>
  <c r="C17" i="6"/>
  <c r="B18" i="6"/>
  <c r="C18" i="6"/>
  <c r="D18" i="6"/>
  <c r="E18" i="6"/>
  <c r="F18" i="6"/>
  <c r="G18" i="6"/>
  <c r="H18" i="6"/>
  <c r="I18" i="6"/>
  <c r="J18" i="6"/>
  <c r="K18" i="6"/>
  <c r="L18" i="6"/>
  <c r="M18" i="6"/>
  <c r="N18" i="6"/>
  <c r="O18" i="6"/>
  <c r="Q18" i="6"/>
  <c r="R18" i="6"/>
  <c r="S18" i="6"/>
  <c r="U18" i="6"/>
  <c r="B19" i="6"/>
  <c r="C19" i="6"/>
  <c r="D19" i="6"/>
  <c r="E19" i="6"/>
  <c r="F19" i="6"/>
  <c r="G19" i="6"/>
  <c r="H19" i="6"/>
  <c r="I19" i="6"/>
  <c r="J19" i="6"/>
  <c r="K19" i="6"/>
  <c r="L19" i="6"/>
  <c r="M19" i="6"/>
  <c r="N19" i="6"/>
  <c r="O19" i="6"/>
  <c r="Q19" i="6"/>
  <c r="R19" i="6"/>
  <c r="S19" i="6"/>
  <c r="U19" i="6"/>
  <c r="B20" i="6"/>
  <c r="C20" i="6"/>
  <c r="D20" i="6"/>
  <c r="E20" i="6"/>
  <c r="F20" i="6"/>
  <c r="G20" i="6"/>
  <c r="H20" i="6"/>
  <c r="I20" i="6"/>
  <c r="J20" i="6"/>
  <c r="K20" i="6"/>
  <c r="L20" i="6"/>
  <c r="M20" i="6"/>
  <c r="N20" i="6"/>
  <c r="O20" i="6"/>
  <c r="Q20" i="6"/>
  <c r="R20" i="6"/>
  <c r="S20" i="6"/>
  <c r="U20" i="6"/>
  <c r="B21" i="6"/>
  <c r="C21" i="6"/>
  <c r="D21" i="6"/>
  <c r="E21" i="6"/>
  <c r="F21" i="6"/>
  <c r="G21" i="6"/>
  <c r="H21" i="6"/>
  <c r="I21" i="6"/>
  <c r="J21" i="6"/>
  <c r="K21" i="6"/>
  <c r="L21" i="6"/>
  <c r="M21" i="6"/>
  <c r="N21" i="6"/>
  <c r="O21" i="6"/>
  <c r="Q21" i="6"/>
  <c r="R21" i="6"/>
  <c r="S21" i="6"/>
  <c r="U21" i="6"/>
  <c r="B22" i="6"/>
  <c r="C22" i="6"/>
  <c r="D22" i="6"/>
  <c r="E22" i="6"/>
  <c r="F22" i="6"/>
  <c r="G22" i="6"/>
  <c r="H22" i="6"/>
  <c r="I22" i="6"/>
  <c r="J22" i="6"/>
  <c r="K22" i="6"/>
  <c r="L22" i="6"/>
  <c r="M22" i="6"/>
  <c r="N22" i="6"/>
  <c r="O22" i="6"/>
  <c r="Q22" i="6"/>
  <c r="R22" i="6"/>
  <c r="S22" i="6"/>
  <c r="U22" i="6"/>
  <c r="B23" i="6"/>
  <c r="C23" i="6"/>
  <c r="D23" i="6"/>
  <c r="E23" i="6"/>
  <c r="F23" i="6"/>
  <c r="G23" i="6"/>
  <c r="H23" i="6"/>
  <c r="I23" i="6"/>
  <c r="J23" i="6"/>
  <c r="K23" i="6"/>
  <c r="L23" i="6"/>
  <c r="M23" i="6"/>
  <c r="N23" i="6"/>
  <c r="O23" i="6"/>
  <c r="Q23" i="6"/>
  <c r="R23" i="6"/>
  <c r="S23" i="6"/>
  <c r="U23" i="6"/>
  <c r="B24" i="6"/>
  <c r="C24" i="6"/>
  <c r="D24" i="6"/>
  <c r="E24" i="6"/>
  <c r="F24" i="6"/>
  <c r="G24" i="6"/>
  <c r="H24" i="6"/>
  <c r="I24" i="6"/>
  <c r="J24" i="6"/>
  <c r="K24" i="6"/>
  <c r="L24" i="6"/>
  <c r="M24" i="6"/>
  <c r="N24" i="6"/>
  <c r="O24" i="6"/>
  <c r="Q24" i="6"/>
  <c r="R24" i="6"/>
  <c r="S24" i="6"/>
  <c r="U24" i="6"/>
  <c r="B25" i="6"/>
  <c r="C25" i="6"/>
  <c r="D25" i="6"/>
  <c r="E25" i="6"/>
  <c r="F25" i="6"/>
  <c r="G25" i="6"/>
  <c r="H25" i="6"/>
  <c r="I25" i="6"/>
  <c r="J25" i="6"/>
  <c r="K25" i="6"/>
  <c r="L25" i="6"/>
  <c r="M25" i="6"/>
  <c r="N25" i="6"/>
  <c r="O25" i="6"/>
  <c r="Q25" i="6"/>
  <c r="R25" i="6"/>
  <c r="S25" i="6"/>
  <c r="U25" i="6"/>
  <c r="B26" i="6"/>
  <c r="C26" i="6"/>
  <c r="D26" i="6"/>
  <c r="E26" i="6"/>
  <c r="F26" i="6"/>
  <c r="G26" i="6"/>
  <c r="H26" i="6"/>
  <c r="I26" i="6"/>
  <c r="J26" i="6"/>
  <c r="K26" i="6"/>
  <c r="L26" i="6"/>
  <c r="M26" i="6"/>
  <c r="N26" i="6"/>
  <c r="O26" i="6"/>
  <c r="Q26" i="6"/>
  <c r="R26" i="6"/>
  <c r="S26" i="6"/>
  <c r="U26" i="6"/>
  <c r="B27" i="6"/>
  <c r="C27" i="6"/>
  <c r="B28" i="6"/>
  <c r="C28" i="6"/>
  <c r="D28" i="6"/>
  <c r="E28" i="6"/>
  <c r="F28" i="6"/>
  <c r="G28" i="6"/>
  <c r="H28" i="6"/>
  <c r="I28" i="6"/>
  <c r="J28" i="6"/>
  <c r="K28" i="6"/>
  <c r="L28" i="6"/>
  <c r="M28" i="6"/>
  <c r="N28" i="6"/>
  <c r="O28" i="6"/>
  <c r="Q28" i="6"/>
  <c r="R28" i="6"/>
  <c r="S28" i="6"/>
  <c r="B30" i="6"/>
  <c r="B32" i="6"/>
  <c r="C32" i="6"/>
  <c r="D32" i="6"/>
  <c r="E32" i="6"/>
  <c r="F32" i="6"/>
  <c r="G32" i="6"/>
  <c r="H32" i="6"/>
  <c r="I32" i="6"/>
  <c r="J32" i="6"/>
  <c r="K32" i="6"/>
  <c r="L32" i="6"/>
  <c r="M32" i="6"/>
  <c r="N32" i="6"/>
  <c r="O32" i="6"/>
  <c r="Q32" i="6"/>
  <c r="R32" i="6"/>
  <c r="S32" i="6"/>
  <c r="U32" i="6"/>
  <c r="B33" i="6"/>
  <c r="C33" i="6"/>
  <c r="D33" i="6"/>
  <c r="E33" i="6"/>
  <c r="F33" i="6"/>
  <c r="G33" i="6"/>
  <c r="H33" i="6"/>
  <c r="I33" i="6"/>
  <c r="J33" i="6"/>
  <c r="K33" i="6"/>
  <c r="L33" i="6"/>
  <c r="M33" i="6"/>
  <c r="N33" i="6"/>
  <c r="O33" i="6"/>
  <c r="Q33" i="6"/>
  <c r="R33" i="6"/>
  <c r="S33" i="6"/>
  <c r="U33" i="6"/>
  <c r="B34" i="6"/>
  <c r="C34" i="6"/>
  <c r="D34" i="6"/>
  <c r="E34" i="6"/>
  <c r="F34" i="6"/>
  <c r="G34" i="6"/>
  <c r="H34" i="6"/>
  <c r="I34" i="6"/>
  <c r="J34" i="6"/>
  <c r="K34" i="6"/>
  <c r="L34" i="6"/>
  <c r="M34" i="6"/>
  <c r="N34" i="6"/>
  <c r="O34" i="6"/>
  <c r="Q34" i="6"/>
  <c r="R34" i="6"/>
  <c r="S34" i="6"/>
  <c r="U34" i="6"/>
  <c r="B35" i="6"/>
  <c r="C35" i="6"/>
  <c r="D35" i="6"/>
  <c r="E35" i="6"/>
  <c r="F35" i="6"/>
  <c r="G35" i="6"/>
  <c r="H35" i="6"/>
  <c r="I35" i="6"/>
  <c r="J35" i="6"/>
  <c r="K35" i="6"/>
  <c r="L35" i="6"/>
  <c r="M35" i="6"/>
  <c r="N35" i="6"/>
  <c r="O35" i="6"/>
  <c r="Q35" i="6"/>
  <c r="R35" i="6"/>
  <c r="S35" i="6"/>
  <c r="U35" i="6"/>
  <c r="B36" i="6"/>
  <c r="C36" i="6"/>
  <c r="D36" i="6"/>
  <c r="E36" i="6"/>
  <c r="F36" i="6"/>
  <c r="G36" i="6"/>
  <c r="H36" i="6"/>
  <c r="I36" i="6"/>
  <c r="J36" i="6"/>
  <c r="K36" i="6"/>
  <c r="L36" i="6"/>
  <c r="M36" i="6"/>
  <c r="N36" i="6"/>
  <c r="O36" i="6"/>
  <c r="Q36" i="6"/>
  <c r="R36" i="6"/>
  <c r="S36" i="6"/>
  <c r="U36" i="6"/>
  <c r="B37" i="6"/>
  <c r="C37" i="6"/>
  <c r="D37" i="6"/>
  <c r="E37" i="6"/>
  <c r="F37" i="6"/>
  <c r="G37" i="6"/>
  <c r="H37" i="6"/>
  <c r="I37" i="6"/>
  <c r="J37" i="6"/>
  <c r="K37" i="6"/>
  <c r="L37" i="6"/>
  <c r="M37" i="6"/>
  <c r="N37" i="6"/>
  <c r="O37" i="6"/>
  <c r="Q37" i="6"/>
  <c r="R37" i="6"/>
  <c r="S37" i="6"/>
  <c r="U37" i="6"/>
  <c r="B38" i="6"/>
  <c r="C38" i="6"/>
  <c r="D38" i="6"/>
  <c r="E38" i="6"/>
  <c r="F38" i="6"/>
  <c r="G38" i="6"/>
  <c r="H38" i="6"/>
  <c r="I38" i="6"/>
  <c r="J38" i="6"/>
  <c r="K38" i="6"/>
  <c r="L38" i="6"/>
  <c r="M38" i="6"/>
  <c r="N38" i="6"/>
  <c r="O38" i="6"/>
  <c r="Q38" i="6"/>
  <c r="R38" i="6"/>
  <c r="S38" i="6"/>
  <c r="U38" i="6"/>
  <c r="B39" i="6"/>
  <c r="C39" i="6"/>
  <c r="D39" i="6"/>
  <c r="E39" i="6"/>
  <c r="F39" i="6"/>
  <c r="G39" i="6"/>
  <c r="H39" i="6"/>
  <c r="I39" i="6"/>
  <c r="J39" i="6"/>
  <c r="K39" i="6"/>
  <c r="L39" i="6"/>
  <c r="M39" i="6"/>
  <c r="N39" i="6"/>
  <c r="O39" i="6"/>
  <c r="Q39" i="6"/>
  <c r="R39" i="6"/>
  <c r="S39" i="6"/>
  <c r="U39" i="6"/>
  <c r="B40" i="6"/>
  <c r="C40" i="6"/>
  <c r="D40" i="6"/>
  <c r="E40" i="6"/>
  <c r="F40" i="6"/>
  <c r="G40" i="6"/>
  <c r="H40" i="6"/>
  <c r="I40" i="6"/>
  <c r="J40" i="6"/>
  <c r="K40" i="6"/>
  <c r="L40" i="6"/>
  <c r="M40" i="6"/>
  <c r="N40" i="6"/>
  <c r="O40" i="6"/>
  <c r="Q40" i="6"/>
  <c r="R40" i="6"/>
  <c r="S40" i="6"/>
  <c r="U40" i="6"/>
  <c r="B41" i="6"/>
  <c r="C41" i="6"/>
  <c r="D41" i="6"/>
  <c r="E41" i="6"/>
  <c r="F41" i="6"/>
  <c r="G41" i="6"/>
  <c r="H41" i="6"/>
  <c r="I41" i="6"/>
  <c r="J41" i="6"/>
  <c r="K41" i="6"/>
  <c r="L41" i="6"/>
  <c r="M41" i="6"/>
  <c r="N41" i="6"/>
  <c r="O41" i="6"/>
  <c r="Q41" i="6"/>
  <c r="R41" i="6"/>
  <c r="S41" i="6"/>
  <c r="U41" i="6"/>
  <c r="B42" i="6"/>
  <c r="C42" i="6"/>
  <c r="D42" i="6"/>
  <c r="E42" i="6"/>
  <c r="F42" i="6"/>
  <c r="G42" i="6"/>
  <c r="H42" i="6"/>
  <c r="I42" i="6"/>
  <c r="J42" i="6"/>
  <c r="K42" i="6"/>
  <c r="L42" i="6"/>
  <c r="M42" i="6"/>
  <c r="N42" i="6"/>
  <c r="O42" i="6"/>
  <c r="Q42" i="6"/>
  <c r="R42" i="6"/>
  <c r="S42" i="6"/>
  <c r="U42" i="6"/>
  <c r="B44" i="6"/>
  <c r="B46" i="6"/>
  <c r="C46" i="6"/>
  <c r="D46" i="6"/>
  <c r="E46" i="6"/>
  <c r="F46" i="6"/>
  <c r="G46" i="6"/>
  <c r="H46" i="6"/>
  <c r="I46" i="6"/>
  <c r="J46" i="6"/>
  <c r="K46" i="6"/>
  <c r="L46" i="6"/>
  <c r="M46" i="6"/>
  <c r="N46" i="6"/>
  <c r="O46" i="6"/>
  <c r="Q46" i="6"/>
  <c r="R46" i="6"/>
  <c r="S46" i="6"/>
  <c r="U46" i="6"/>
  <c r="B47" i="6"/>
  <c r="C47" i="6"/>
  <c r="D47" i="6"/>
  <c r="E47" i="6"/>
  <c r="F47" i="6"/>
  <c r="G47" i="6"/>
  <c r="H47" i="6"/>
  <c r="I47" i="6"/>
  <c r="J47" i="6"/>
  <c r="K47" i="6"/>
  <c r="L47" i="6"/>
  <c r="M47" i="6"/>
  <c r="N47" i="6"/>
  <c r="O47" i="6"/>
  <c r="Q47" i="6"/>
  <c r="R47" i="6"/>
  <c r="S47" i="6"/>
  <c r="U47" i="6"/>
  <c r="B48" i="6"/>
  <c r="C48" i="6"/>
  <c r="B49" i="6"/>
  <c r="C49" i="6"/>
  <c r="D49" i="6"/>
  <c r="E49" i="6"/>
  <c r="F49" i="6"/>
  <c r="G49" i="6"/>
  <c r="H49" i="6"/>
  <c r="I49" i="6"/>
  <c r="J49" i="6"/>
  <c r="K49" i="6"/>
  <c r="L49" i="6"/>
  <c r="M49" i="6"/>
  <c r="N49" i="6"/>
  <c r="O49" i="6"/>
  <c r="Q49" i="6"/>
  <c r="R49" i="6"/>
  <c r="S49" i="6"/>
  <c r="U49" i="6"/>
  <c r="B50" i="6"/>
  <c r="C50" i="6"/>
  <c r="D50" i="6"/>
  <c r="E50" i="6"/>
  <c r="F50" i="6"/>
  <c r="G50" i="6"/>
  <c r="H50" i="6"/>
  <c r="I50" i="6"/>
  <c r="J50" i="6"/>
  <c r="K50" i="6"/>
  <c r="L50" i="6"/>
  <c r="M50" i="6"/>
  <c r="N50" i="6"/>
  <c r="O50" i="6"/>
  <c r="Q50" i="6"/>
  <c r="R50" i="6"/>
  <c r="S50" i="6"/>
  <c r="U50" i="6"/>
  <c r="B51" i="6"/>
  <c r="C51" i="6"/>
  <c r="D51" i="6"/>
  <c r="E51" i="6"/>
  <c r="F51" i="6"/>
  <c r="G51" i="6"/>
  <c r="H51" i="6"/>
  <c r="I51" i="6"/>
  <c r="J51" i="6"/>
  <c r="K51" i="6"/>
  <c r="L51" i="6"/>
  <c r="M51" i="6"/>
  <c r="N51" i="6"/>
  <c r="O51" i="6"/>
  <c r="Q51" i="6"/>
  <c r="R51" i="6"/>
  <c r="S51" i="6"/>
  <c r="U51" i="6"/>
  <c r="B52" i="6"/>
  <c r="C52" i="6"/>
  <c r="D52" i="6"/>
  <c r="E52" i="6"/>
  <c r="F52" i="6"/>
  <c r="G52" i="6"/>
  <c r="H52" i="6"/>
  <c r="I52" i="6"/>
  <c r="J52" i="6"/>
  <c r="K52" i="6"/>
  <c r="L52" i="6"/>
  <c r="M52" i="6"/>
  <c r="N52" i="6"/>
  <c r="O52" i="6"/>
  <c r="Q52" i="6"/>
  <c r="R52" i="6"/>
  <c r="S52" i="6"/>
  <c r="U52" i="6"/>
  <c r="B53" i="6"/>
  <c r="C53" i="6"/>
  <c r="D53" i="6"/>
  <c r="E53" i="6"/>
  <c r="F53" i="6"/>
  <c r="G53" i="6"/>
  <c r="H53" i="6"/>
  <c r="I53" i="6"/>
  <c r="J53" i="6"/>
  <c r="K53" i="6"/>
  <c r="L53" i="6"/>
  <c r="M53" i="6"/>
  <c r="N53" i="6"/>
  <c r="O53" i="6"/>
  <c r="Q53" i="6"/>
  <c r="R53" i="6"/>
  <c r="S53" i="6"/>
  <c r="U53" i="6"/>
  <c r="B54" i="6"/>
  <c r="C54" i="6"/>
  <c r="D54" i="6"/>
  <c r="E54" i="6"/>
  <c r="F54" i="6"/>
  <c r="G54" i="6"/>
  <c r="H54" i="6"/>
  <c r="I54" i="6"/>
  <c r="J54" i="6"/>
  <c r="K54" i="6"/>
  <c r="L54" i="6"/>
  <c r="M54" i="6"/>
  <c r="N54" i="6"/>
  <c r="O54" i="6"/>
  <c r="Q54" i="6"/>
  <c r="R54" i="6"/>
  <c r="S54" i="6"/>
  <c r="U54" i="6"/>
  <c r="B55" i="6"/>
  <c r="C55" i="6"/>
  <c r="D55" i="6"/>
  <c r="E55" i="6"/>
  <c r="F55" i="6"/>
  <c r="G55" i="6"/>
  <c r="H55" i="6"/>
  <c r="I55" i="6"/>
  <c r="J55" i="6"/>
  <c r="K55" i="6"/>
  <c r="L55" i="6"/>
  <c r="M55" i="6"/>
  <c r="N55" i="6"/>
  <c r="O55" i="6"/>
  <c r="Q55" i="6"/>
  <c r="R55" i="6"/>
  <c r="S55" i="6"/>
  <c r="U55" i="6"/>
  <c r="B56" i="6"/>
  <c r="C56" i="6"/>
  <c r="D56" i="6"/>
  <c r="E56" i="6"/>
  <c r="F56" i="6"/>
  <c r="G56" i="6"/>
  <c r="H56" i="6"/>
  <c r="I56" i="6"/>
  <c r="J56" i="6"/>
  <c r="K56" i="6"/>
  <c r="L56" i="6"/>
  <c r="M56" i="6"/>
  <c r="N56" i="6"/>
  <c r="O56" i="6"/>
  <c r="Q56" i="6"/>
  <c r="R56" i="6"/>
  <c r="S56" i="6"/>
  <c r="U56" i="6"/>
  <c r="B57" i="6"/>
  <c r="C57" i="6"/>
  <c r="D57" i="6"/>
  <c r="E57" i="6"/>
  <c r="F57" i="6"/>
  <c r="G57" i="6"/>
  <c r="H57" i="6"/>
  <c r="I57" i="6"/>
  <c r="J57" i="6"/>
  <c r="K57" i="6"/>
  <c r="L57" i="6"/>
  <c r="M57" i="6"/>
  <c r="N57" i="6"/>
  <c r="O57" i="6"/>
  <c r="Q57" i="6"/>
  <c r="R57" i="6"/>
  <c r="S57" i="6"/>
  <c r="U57" i="6"/>
  <c r="B58" i="6"/>
  <c r="C58" i="6"/>
  <c r="D58" i="6"/>
  <c r="E58" i="6"/>
  <c r="F58" i="6"/>
  <c r="G58" i="6"/>
  <c r="H58" i="6"/>
  <c r="I58" i="6"/>
  <c r="J58" i="6"/>
  <c r="K58" i="6"/>
  <c r="L58" i="6"/>
  <c r="M58" i="6"/>
  <c r="N58" i="6"/>
  <c r="O58" i="6"/>
  <c r="Q58" i="6"/>
  <c r="R58" i="6"/>
  <c r="S58" i="6"/>
  <c r="U58" i="6"/>
  <c r="B59" i="6"/>
  <c r="C59" i="6"/>
  <c r="D59" i="6"/>
  <c r="E59" i="6"/>
  <c r="F59" i="6"/>
  <c r="G59" i="6"/>
  <c r="H59" i="6"/>
  <c r="I59" i="6"/>
  <c r="J59" i="6"/>
  <c r="K59" i="6"/>
  <c r="L59" i="6"/>
  <c r="M59" i="6"/>
  <c r="N59" i="6"/>
  <c r="O59" i="6"/>
  <c r="Q59" i="6"/>
  <c r="R59" i="6"/>
  <c r="S59" i="6"/>
  <c r="U59" i="6"/>
  <c r="B60" i="6"/>
  <c r="C60" i="6"/>
  <c r="D60" i="6"/>
  <c r="E60" i="6"/>
  <c r="F60" i="6"/>
  <c r="G60" i="6"/>
  <c r="H60" i="6"/>
  <c r="I60" i="6"/>
  <c r="J60" i="6"/>
  <c r="K60" i="6"/>
  <c r="L60" i="6"/>
  <c r="M60" i="6"/>
  <c r="N60" i="6"/>
  <c r="O60" i="6"/>
  <c r="Q60" i="6"/>
  <c r="R60" i="6"/>
  <c r="S60" i="6"/>
  <c r="B61" i="6"/>
  <c r="C61" i="6"/>
  <c r="D61" i="6"/>
  <c r="E61" i="6"/>
  <c r="F61" i="6"/>
  <c r="G61" i="6"/>
  <c r="H61" i="6"/>
  <c r="I61" i="6"/>
  <c r="J61" i="6"/>
  <c r="K61" i="6"/>
  <c r="L61" i="6"/>
  <c r="M61" i="6"/>
  <c r="N61" i="6"/>
  <c r="O61" i="6"/>
  <c r="Q61" i="6"/>
  <c r="R61" i="6"/>
  <c r="S61" i="6"/>
  <c r="U61" i="6"/>
  <c r="B62" i="6"/>
  <c r="C62" i="6"/>
  <c r="D62" i="6"/>
  <c r="E62" i="6"/>
  <c r="F62" i="6"/>
  <c r="G62" i="6"/>
  <c r="H62" i="6"/>
  <c r="I62" i="6"/>
  <c r="J62" i="6"/>
  <c r="K62" i="6"/>
  <c r="L62" i="6"/>
  <c r="M62" i="6"/>
  <c r="N62" i="6"/>
  <c r="O62" i="6"/>
  <c r="Q62" i="6"/>
  <c r="R62" i="6"/>
  <c r="S62" i="6"/>
  <c r="U62" i="6"/>
  <c r="B63" i="6"/>
  <c r="C63" i="6"/>
  <c r="B64" i="6"/>
  <c r="C64" i="6"/>
  <c r="D64" i="6"/>
  <c r="E64" i="6"/>
  <c r="F64" i="6"/>
  <c r="G64" i="6"/>
  <c r="H64" i="6"/>
  <c r="I64" i="6"/>
  <c r="J64" i="6"/>
  <c r="K64" i="6"/>
  <c r="L64" i="6"/>
  <c r="M64" i="6"/>
  <c r="N64" i="6"/>
  <c r="O64" i="6"/>
  <c r="Q64" i="6"/>
  <c r="R64" i="6"/>
  <c r="S64" i="6"/>
  <c r="U64" i="6"/>
  <c r="B65" i="6"/>
  <c r="C65" i="6"/>
  <c r="D65" i="6"/>
  <c r="E65" i="6"/>
  <c r="F65" i="6"/>
  <c r="G65" i="6"/>
  <c r="H65" i="6"/>
  <c r="I65" i="6"/>
  <c r="J65" i="6"/>
  <c r="K65" i="6"/>
  <c r="L65" i="6"/>
  <c r="M65" i="6"/>
  <c r="N65" i="6"/>
  <c r="O65" i="6"/>
  <c r="Q65" i="6"/>
  <c r="R65" i="6"/>
  <c r="S65" i="6"/>
  <c r="U65" i="6"/>
  <c r="B66" i="6"/>
  <c r="C66" i="6"/>
  <c r="D66" i="6"/>
  <c r="E66" i="6"/>
  <c r="F66" i="6"/>
  <c r="G66" i="6"/>
  <c r="H66" i="6"/>
  <c r="I66" i="6"/>
  <c r="J66" i="6"/>
  <c r="K66" i="6"/>
  <c r="L66" i="6"/>
  <c r="M66" i="6"/>
  <c r="N66" i="6"/>
  <c r="O66" i="6"/>
  <c r="Q66" i="6"/>
  <c r="R66" i="6"/>
  <c r="S66" i="6"/>
  <c r="U66" i="6"/>
  <c r="B67" i="6"/>
  <c r="C67" i="6"/>
  <c r="D67" i="6"/>
  <c r="E67" i="6"/>
  <c r="F67" i="6"/>
  <c r="G67" i="6"/>
  <c r="H67" i="6"/>
  <c r="I67" i="6"/>
  <c r="J67" i="6"/>
  <c r="K67" i="6"/>
  <c r="L67" i="6"/>
  <c r="M67" i="6"/>
  <c r="N67" i="6"/>
  <c r="O67" i="6"/>
  <c r="U67" i="6"/>
  <c r="B72" i="6"/>
  <c r="B81" i="6"/>
  <c r="B82" i="6"/>
  <c r="C82" i="6"/>
  <c r="B83" i="6"/>
  <c r="C83" i="6"/>
  <c r="D83" i="6"/>
  <c r="E83" i="6"/>
  <c r="F83" i="6"/>
  <c r="G83" i="6"/>
  <c r="H83" i="6"/>
  <c r="I83" i="6"/>
  <c r="J83" i="6"/>
  <c r="K83" i="6"/>
  <c r="L83" i="6"/>
  <c r="M83" i="6"/>
  <c r="N83" i="6"/>
  <c r="O83" i="6"/>
  <c r="Q83" i="6"/>
  <c r="R83" i="6"/>
  <c r="S83" i="6"/>
  <c r="U83" i="6"/>
  <c r="B84" i="6"/>
  <c r="C84" i="6"/>
  <c r="D84" i="6"/>
  <c r="E84" i="6"/>
  <c r="F84" i="6"/>
  <c r="G84" i="6"/>
  <c r="H84" i="6"/>
  <c r="I84" i="6"/>
  <c r="J84" i="6"/>
  <c r="K84" i="6"/>
  <c r="L84" i="6"/>
  <c r="M84" i="6"/>
  <c r="N84" i="6"/>
  <c r="O84" i="6"/>
  <c r="Q84" i="6"/>
  <c r="R84" i="6"/>
  <c r="S84" i="6"/>
  <c r="U84" i="6"/>
  <c r="B85" i="6"/>
  <c r="C85" i="6"/>
  <c r="D85" i="6"/>
  <c r="E85" i="6"/>
  <c r="F85" i="6"/>
  <c r="G85" i="6"/>
  <c r="H85" i="6"/>
  <c r="I85" i="6"/>
  <c r="J85" i="6"/>
  <c r="K85" i="6"/>
  <c r="L85" i="6"/>
  <c r="M85" i="6"/>
  <c r="N85" i="6"/>
  <c r="O85" i="6"/>
  <c r="Q85" i="6"/>
  <c r="R85" i="6"/>
  <c r="S85" i="6"/>
  <c r="U85" i="6"/>
  <c r="B86" i="6"/>
  <c r="C86" i="6"/>
  <c r="D86" i="6"/>
  <c r="E86" i="6"/>
  <c r="F86" i="6"/>
  <c r="G86" i="6"/>
  <c r="H86" i="6"/>
  <c r="I86" i="6"/>
  <c r="J86" i="6"/>
  <c r="K86" i="6"/>
  <c r="L86" i="6"/>
  <c r="M86" i="6"/>
  <c r="N86" i="6"/>
  <c r="O86" i="6"/>
  <c r="Q86" i="6"/>
  <c r="R86" i="6"/>
  <c r="S86" i="6"/>
  <c r="U86" i="6"/>
  <c r="B89" i="6"/>
  <c r="B91" i="6"/>
  <c r="C91" i="6"/>
  <c r="D91" i="6"/>
  <c r="E91" i="6"/>
  <c r="F91" i="6"/>
  <c r="G91" i="6"/>
  <c r="H91" i="6"/>
  <c r="I91" i="6"/>
  <c r="J91" i="6"/>
  <c r="K91" i="6"/>
  <c r="L91" i="6"/>
  <c r="M91" i="6"/>
  <c r="N91" i="6"/>
  <c r="O91" i="6"/>
  <c r="Q91" i="6"/>
  <c r="R91" i="6"/>
  <c r="S91" i="6"/>
  <c r="U91" i="6"/>
  <c r="B92" i="6"/>
  <c r="C92" i="6"/>
  <c r="D92" i="6"/>
  <c r="E92" i="6"/>
  <c r="F92" i="6"/>
  <c r="G92" i="6"/>
  <c r="H92" i="6"/>
  <c r="I92" i="6"/>
  <c r="J92" i="6"/>
  <c r="K92" i="6"/>
  <c r="L92" i="6"/>
  <c r="M92" i="6"/>
  <c r="N92" i="6"/>
  <c r="O92" i="6"/>
  <c r="Q92" i="6"/>
  <c r="R92" i="6"/>
  <c r="S92" i="6"/>
  <c r="U92" i="6"/>
  <c r="B93" i="6"/>
  <c r="C93" i="6"/>
  <c r="D93" i="6"/>
  <c r="E93" i="6"/>
  <c r="F93" i="6"/>
  <c r="G93" i="6"/>
  <c r="H93" i="6"/>
  <c r="I93" i="6"/>
  <c r="J93" i="6"/>
  <c r="K93" i="6"/>
  <c r="L93" i="6"/>
  <c r="M93" i="6"/>
  <c r="N93" i="6"/>
  <c r="O93" i="6"/>
  <c r="Q93" i="6"/>
  <c r="R93" i="6"/>
  <c r="S93" i="6"/>
  <c r="U93" i="6"/>
  <c r="B94" i="6"/>
  <c r="C94" i="6"/>
  <c r="D94" i="6"/>
  <c r="E94" i="6"/>
  <c r="F94" i="6"/>
  <c r="G94" i="6"/>
  <c r="H94" i="6"/>
  <c r="I94" i="6"/>
  <c r="J94" i="6"/>
  <c r="K94" i="6"/>
  <c r="L94" i="6"/>
  <c r="M94" i="6"/>
  <c r="N94" i="6"/>
  <c r="O94" i="6"/>
  <c r="Q94" i="6"/>
  <c r="R94" i="6"/>
  <c r="S94" i="6"/>
  <c r="U94" i="6"/>
  <c r="B95" i="6"/>
  <c r="C95" i="6"/>
  <c r="D95" i="6"/>
  <c r="E95" i="6"/>
  <c r="F95" i="6"/>
  <c r="G95" i="6"/>
  <c r="H95" i="6"/>
  <c r="I95" i="6"/>
  <c r="J95" i="6"/>
  <c r="K95" i="6"/>
  <c r="L95" i="6"/>
  <c r="M95" i="6"/>
  <c r="N95" i="6"/>
  <c r="O95" i="6"/>
  <c r="Q95" i="6"/>
  <c r="R95" i="6"/>
  <c r="S95" i="6"/>
  <c r="U95" i="6"/>
  <c r="B96" i="6"/>
  <c r="C96" i="6"/>
  <c r="D96" i="6"/>
  <c r="E96" i="6"/>
  <c r="F96" i="6"/>
  <c r="G96" i="6"/>
  <c r="H96" i="6"/>
  <c r="I96" i="6"/>
  <c r="J96" i="6"/>
  <c r="K96" i="6"/>
  <c r="L96" i="6"/>
  <c r="M96" i="6"/>
  <c r="N96" i="6"/>
  <c r="O96" i="6"/>
  <c r="Q96" i="6"/>
  <c r="R96" i="6"/>
  <c r="S96" i="6"/>
  <c r="U96" i="6"/>
  <c r="B97" i="6"/>
  <c r="C97" i="6"/>
  <c r="D97" i="6"/>
  <c r="E97" i="6"/>
  <c r="F97" i="6"/>
  <c r="G97" i="6"/>
  <c r="H97" i="6"/>
  <c r="I97" i="6"/>
  <c r="J97" i="6"/>
  <c r="K97" i="6"/>
  <c r="L97" i="6"/>
  <c r="M97" i="6"/>
  <c r="N97" i="6"/>
  <c r="O97" i="6"/>
  <c r="Q97" i="6"/>
  <c r="R97" i="6"/>
  <c r="S97" i="6"/>
  <c r="U97" i="6"/>
  <c r="B98" i="6"/>
  <c r="C98" i="6"/>
  <c r="D98" i="6"/>
  <c r="E98" i="6"/>
  <c r="F98" i="6"/>
  <c r="G98" i="6"/>
  <c r="H98" i="6"/>
  <c r="I98" i="6"/>
  <c r="J98" i="6"/>
  <c r="K98" i="6"/>
  <c r="L98" i="6"/>
  <c r="M98" i="6"/>
  <c r="N98" i="6"/>
  <c r="O98" i="6"/>
  <c r="Q98" i="6"/>
  <c r="R98" i="6"/>
  <c r="S98" i="6"/>
  <c r="U98" i="6"/>
  <c r="B99" i="6"/>
  <c r="C99" i="6"/>
  <c r="B101" i="6"/>
  <c r="B103" i="6"/>
  <c r="C103" i="6"/>
  <c r="D103" i="6"/>
  <c r="E103" i="6"/>
  <c r="F103" i="6"/>
  <c r="G103" i="6"/>
  <c r="H103" i="6"/>
  <c r="I103" i="6"/>
  <c r="J103" i="6"/>
  <c r="K103" i="6"/>
  <c r="L103" i="6"/>
  <c r="M103" i="6"/>
  <c r="N103" i="6"/>
  <c r="O103" i="6"/>
  <c r="Q103" i="6"/>
  <c r="R103" i="6"/>
  <c r="S103" i="6"/>
  <c r="U103" i="6"/>
  <c r="B104" i="6"/>
  <c r="C104" i="6"/>
  <c r="D104" i="6"/>
  <c r="E104" i="6"/>
  <c r="F104" i="6"/>
  <c r="G104" i="6"/>
  <c r="H104" i="6"/>
  <c r="I104" i="6"/>
  <c r="J104" i="6"/>
  <c r="K104" i="6"/>
  <c r="L104" i="6"/>
  <c r="M104" i="6"/>
  <c r="N104" i="6"/>
  <c r="O104" i="6"/>
  <c r="Q104" i="6"/>
  <c r="R104" i="6"/>
  <c r="S104" i="6"/>
  <c r="U104" i="6"/>
  <c r="B105" i="6"/>
  <c r="C105" i="6"/>
  <c r="D105" i="6"/>
  <c r="E105" i="6"/>
  <c r="F105" i="6"/>
  <c r="G105" i="6"/>
  <c r="H105" i="6"/>
  <c r="I105" i="6"/>
  <c r="J105" i="6"/>
  <c r="K105" i="6"/>
  <c r="L105" i="6"/>
  <c r="M105" i="6"/>
  <c r="N105" i="6"/>
  <c r="O105" i="6"/>
  <c r="Q105" i="6"/>
  <c r="R105" i="6"/>
  <c r="S105" i="6"/>
  <c r="B106" i="6"/>
  <c r="C106" i="6"/>
  <c r="D106" i="6"/>
  <c r="E106" i="6"/>
  <c r="F106" i="6"/>
  <c r="G106" i="6"/>
  <c r="H106" i="6"/>
  <c r="I106" i="6"/>
  <c r="J106" i="6"/>
  <c r="K106" i="6"/>
  <c r="L106" i="6"/>
  <c r="M106" i="6"/>
  <c r="N106" i="6"/>
  <c r="O106" i="6"/>
  <c r="Q106" i="6"/>
  <c r="R106" i="6"/>
  <c r="S106" i="6"/>
  <c r="U106" i="6"/>
  <c r="B107" i="6"/>
  <c r="C107" i="6"/>
  <c r="D107" i="6"/>
  <c r="E107" i="6"/>
  <c r="F107" i="6"/>
  <c r="G107" i="6"/>
  <c r="H107" i="6"/>
  <c r="I107" i="6"/>
  <c r="J107" i="6"/>
  <c r="K107" i="6"/>
  <c r="L107" i="6"/>
  <c r="M107" i="6"/>
  <c r="N107" i="6"/>
  <c r="O107" i="6"/>
  <c r="Q107" i="6"/>
  <c r="R107" i="6"/>
  <c r="S107" i="6"/>
  <c r="U107" i="6"/>
  <c r="B109" i="6"/>
  <c r="B111" i="6"/>
  <c r="C111" i="6"/>
  <c r="D111" i="6"/>
  <c r="E111" i="6"/>
  <c r="F111" i="6"/>
  <c r="G111" i="6"/>
  <c r="H111" i="6"/>
  <c r="I111" i="6"/>
  <c r="J111" i="6"/>
  <c r="K111" i="6"/>
  <c r="L111" i="6"/>
  <c r="M111" i="6"/>
  <c r="N111" i="6"/>
  <c r="O111" i="6"/>
  <c r="Q111" i="6"/>
  <c r="R111" i="6"/>
  <c r="S111" i="6"/>
  <c r="U111" i="6"/>
  <c r="B112" i="6"/>
  <c r="C112" i="6"/>
  <c r="B113" i="6"/>
  <c r="C113" i="6"/>
  <c r="D113" i="6"/>
  <c r="E113" i="6"/>
  <c r="F113" i="6"/>
  <c r="G113" i="6"/>
  <c r="H113" i="6"/>
  <c r="I113" i="6"/>
  <c r="J113" i="6"/>
  <c r="K113" i="6"/>
  <c r="L113" i="6"/>
  <c r="M113" i="6"/>
  <c r="N113" i="6"/>
  <c r="O113" i="6"/>
  <c r="Q113" i="6"/>
  <c r="R113" i="6"/>
  <c r="S113" i="6"/>
  <c r="U113" i="6"/>
  <c r="B114" i="6"/>
  <c r="C114" i="6"/>
  <c r="D114" i="6"/>
  <c r="E114" i="6"/>
  <c r="F114" i="6"/>
  <c r="G114" i="6"/>
  <c r="H114" i="6"/>
  <c r="I114" i="6"/>
  <c r="J114" i="6"/>
  <c r="K114" i="6"/>
  <c r="L114" i="6"/>
  <c r="M114" i="6"/>
  <c r="N114" i="6"/>
  <c r="O114" i="6"/>
  <c r="Q114" i="6"/>
  <c r="R114" i="6"/>
  <c r="S114" i="6"/>
  <c r="U114" i="6"/>
  <c r="B115" i="6"/>
  <c r="C115" i="6"/>
  <c r="D115" i="6"/>
  <c r="E115" i="6"/>
  <c r="F115" i="6"/>
  <c r="G115" i="6"/>
  <c r="H115" i="6"/>
  <c r="I115" i="6"/>
  <c r="J115" i="6"/>
  <c r="K115" i="6"/>
  <c r="L115" i="6"/>
  <c r="M115" i="6"/>
  <c r="N115" i="6"/>
  <c r="O115" i="6"/>
  <c r="Q115" i="6"/>
  <c r="R115" i="6"/>
  <c r="S115" i="6"/>
  <c r="U115" i="6"/>
  <c r="B116" i="6"/>
  <c r="C116" i="6"/>
  <c r="D116" i="6"/>
  <c r="E116" i="6"/>
  <c r="F116" i="6"/>
  <c r="G116" i="6"/>
  <c r="H116" i="6"/>
  <c r="I116" i="6"/>
  <c r="J116" i="6"/>
  <c r="K116" i="6"/>
  <c r="L116" i="6"/>
  <c r="M116" i="6"/>
  <c r="N116" i="6"/>
  <c r="O116" i="6"/>
  <c r="Q116" i="6"/>
  <c r="R116" i="6"/>
  <c r="S116" i="6"/>
  <c r="U116" i="6"/>
  <c r="B117" i="6"/>
  <c r="C117" i="6"/>
  <c r="D117" i="6"/>
  <c r="E117" i="6"/>
  <c r="F117" i="6"/>
  <c r="G117" i="6"/>
  <c r="H117" i="6"/>
  <c r="I117" i="6"/>
  <c r="J117" i="6"/>
  <c r="K117" i="6"/>
  <c r="L117" i="6"/>
  <c r="M117" i="6"/>
  <c r="N117" i="6"/>
  <c r="O117" i="6"/>
  <c r="Q117" i="6"/>
  <c r="R117" i="6"/>
  <c r="S117" i="6"/>
  <c r="U117" i="6"/>
  <c r="B118" i="6"/>
  <c r="C118" i="6"/>
  <c r="B119" i="6"/>
  <c r="D119" i="6"/>
  <c r="E119" i="6"/>
  <c r="F119" i="6"/>
  <c r="G119" i="6"/>
  <c r="H119" i="6"/>
  <c r="I119" i="6"/>
  <c r="J119" i="6"/>
  <c r="K119" i="6"/>
  <c r="L119" i="6"/>
  <c r="M119" i="6"/>
  <c r="N119" i="6"/>
  <c r="O119" i="6"/>
  <c r="Q119" i="6"/>
  <c r="U119" i="6"/>
  <c r="B120" i="6"/>
  <c r="D120" i="6"/>
  <c r="E120" i="6"/>
  <c r="F120" i="6"/>
  <c r="G120" i="6"/>
  <c r="H120" i="6"/>
  <c r="I120" i="6"/>
  <c r="J120" i="6"/>
  <c r="K120" i="6"/>
  <c r="L120" i="6"/>
  <c r="M120" i="6"/>
  <c r="N120" i="6"/>
  <c r="O120" i="6"/>
  <c r="Q120" i="6"/>
  <c r="U120" i="6"/>
  <c r="B121" i="6"/>
  <c r="D121" i="6"/>
  <c r="E121" i="6"/>
  <c r="F121" i="6"/>
  <c r="G121" i="6"/>
  <c r="H121" i="6"/>
  <c r="I121" i="6"/>
  <c r="J121" i="6"/>
  <c r="K121" i="6"/>
  <c r="L121" i="6"/>
  <c r="M121" i="6"/>
  <c r="N121" i="6"/>
  <c r="O121" i="6"/>
  <c r="Q121" i="6"/>
  <c r="U121" i="6"/>
  <c r="B122" i="6"/>
  <c r="D122" i="6"/>
  <c r="E122" i="6"/>
  <c r="F122" i="6"/>
  <c r="G122" i="6"/>
  <c r="H122" i="6"/>
  <c r="I122" i="6"/>
  <c r="J122" i="6"/>
  <c r="K122" i="6"/>
  <c r="L122" i="6"/>
  <c r="M122" i="6"/>
  <c r="N122" i="6"/>
  <c r="O122" i="6"/>
  <c r="Q122" i="6"/>
  <c r="U122" i="6"/>
  <c r="B123" i="6"/>
  <c r="D123" i="6"/>
  <c r="E123" i="6"/>
  <c r="F123" i="6"/>
  <c r="G123" i="6"/>
  <c r="H123" i="6"/>
  <c r="I123" i="6"/>
  <c r="J123" i="6"/>
  <c r="K123" i="6"/>
  <c r="L123" i="6"/>
  <c r="M123" i="6"/>
  <c r="N123" i="6"/>
  <c r="O123" i="6"/>
  <c r="Q123" i="6"/>
  <c r="U123" i="6"/>
  <c r="B124" i="6"/>
  <c r="D124" i="6"/>
  <c r="E124" i="6"/>
  <c r="F124" i="6"/>
  <c r="G124" i="6"/>
  <c r="H124" i="6"/>
  <c r="I124" i="6"/>
  <c r="J124" i="6"/>
  <c r="K124" i="6"/>
  <c r="L124" i="6"/>
  <c r="M124" i="6"/>
  <c r="N124" i="6"/>
  <c r="O124" i="6"/>
  <c r="Q124" i="6"/>
  <c r="U124" i="6"/>
  <c r="U125" i="6"/>
  <c r="B126" i="6"/>
  <c r="U126" i="6"/>
  <c r="B127" i="6"/>
  <c r="C127" i="6"/>
  <c r="D127" i="6"/>
  <c r="E127" i="6"/>
  <c r="F127" i="6"/>
  <c r="G127" i="6"/>
  <c r="H127" i="6"/>
  <c r="I127" i="6"/>
  <c r="J127" i="6"/>
  <c r="K127" i="6"/>
  <c r="L127" i="6"/>
  <c r="M127" i="6"/>
  <c r="N127" i="6"/>
  <c r="O127" i="6"/>
  <c r="Q127" i="6"/>
  <c r="R127" i="6"/>
  <c r="S127" i="6"/>
  <c r="U127" i="6"/>
  <c r="B128" i="6"/>
  <c r="C128" i="6"/>
  <c r="D128" i="6"/>
  <c r="E128" i="6"/>
  <c r="F128" i="6"/>
  <c r="G128" i="6"/>
  <c r="H128" i="6"/>
  <c r="I128" i="6"/>
  <c r="J128" i="6"/>
  <c r="K128" i="6"/>
  <c r="L128" i="6"/>
  <c r="M128" i="6"/>
  <c r="N128" i="6"/>
  <c r="O128" i="6"/>
  <c r="Q128" i="6"/>
  <c r="R128" i="6"/>
  <c r="S128" i="6"/>
  <c r="U128" i="6"/>
  <c r="B131" i="6"/>
  <c r="B141" i="6"/>
  <c r="B143" i="6"/>
  <c r="C143" i="6"/>
  <c r="D143" i="6"/>
  <c r="E143" i="6"/>
  <c r="F143" i="6"/>
  <c r="G143" i="6"/>
  <c r="H143" i="6"/>
  <c r="I143" i="6"/>
  <c r="J143" i="6"/>
  <c r="K143" i="6"/>
  <c r="L143" i="6"/>
  <c r="M143" i="6"/>
  <c r="N143" i="6"/>
  <c r="O143" i="6"/>
  <c r="Q143" i="6"/>
  <c r="R143" i="6"/>
  <c r="S143" i="6"/>
  <c r="U143" i="6"/>
  <c r="B144" i="6"/>
  <c r="C144" i="6"/>
  <c r="D144" i="6"/>
  <c r="E144" i="6"/>
  <c r="F144" i="6"/>
  <c r="G144" i="6"/>
  <c r="H144" i="6"/>
  <c r="I144" i="6"/>
  <c r="J144" i="6"/>
  <c r="K144" i="6"/>
  <c r="L144" i="6"/>
  <c r="M144" i="6"/>
  <c r="N144" i="6"/>
  <c r="O144" i="6"/>
  <c r="Q144" i="6"/>
  <c r="R144" i="6"/>
  <c r="S144" i="6"/>
  <c r="U144" i="6"/>
  <c r="B145" i="6"/>
  <c r="C145" i="6"/>
  <c r="D145" i="6"/>
  <c r="E145" i="6"/>
  <c r="F145" i="6"/>
  <c r="G145" i="6"/>
  <c r="H145" i="6"/>
  <c r="I145" i="6"/>
  <c r="J145" i="6"/>
  <c r="K145" i="6"/>
  <c r="L145" i="6"/>
  <c r="M145" i="6"/>
  <c r="N145" i="6"/>
  <c r="O145" i="6"/>
  <c r="Q145" i="6"/>
  <c r="R145" i="6"/>
  <c r="S145" i="6"/>
  <c r="U145" i="6"/>
  <c r="B146" i="6"/>
  <c r="C146" i="6"/>
  <c r="B147" i="6"/>
  <c r="C147" i="6"/>
  <c r="D147" i="6"/>
  <c r="E147" i="6"/>
  <c r="F147" i="6"/>
  <c r="G147" i="6"/>
  <c r="H147" i="6"/>
  <c r="I147" i="6"/>
  <c r="J147" i="6"/>
  <c r="K147" i="6"/>
  <c r="L147" i="6"/>
  <c r="M147" i="6"/>
  <c r="N147" i="6"/>
  <c r="O147" i="6"/>
  <c r="Q147" i="6"/>
  <c r="R147" i="6"/>
  <c r="S147" i="6"/>
  <c r="U147" i="6"/>
  <c r="B148" i="6"/>
  <c r="C148" i="6"/>
  <c r="D148" i="6"/>
  <c r="E148" i="6"/>
  <c r="F148" i="6"/>
  <c r="G148" i="6"/>
  <c r="H148" i="6"/>
  <c r="I148" i="6"/>
  <c r="J148" i="6"/>
  <c r="K148" i="6"/>
  <c r="L148" i="6"/>
  <c r="M148" i="6"/>
  <c r="N148" i="6"/>
  <c r="O148" i="6"/>
  <c r="Q148" i="6"/>
  <c r="R148" i="6"/>
  <c r="S148" i="6"/>
  <c r="U148" i="6"/>
  <c r="B149" i="6"/>
  <c r="C149" i="6"/>
  <c r="D149" i="6"/>
  <c r="E149" i="6"/>
  <c r="F149" i="6"/>
  <c r="G149" i="6"/>
  <c r="H149" i="6"/>
  <c r="I149" i="6"/>
  <c r="J149" i="6"/>
  <c r="K149" i="6"/>
  <c r="L149" i="6"/>
  <c r="M149" i="6"/>
  <c r="N149" i="6"/>
  <c r="O149" i="6"/>
  <c r="Q149" i="6"/>
  <c r="R149" i="6"/>
  <c r="S149" i="6"/>
  <c r="U149" i="6"/>
  <c r="B150" i="6"/>
  <c r="C150" i="6"/>
  <c r="B151" i="6"/>
  <c r="C151" i="6"/>
  <c r="B152" i="6"/>
  <c r="C152" i="6"/>
  <c r="D152" i="6"/>
  <c r="E152" i="6"/>
  <c r="F152" i="6"/>
  <c r="G152" i="6"/>
  <c r="H152" i="6"/>
  <c r="I152" i="6"/>
  <c r="J152" i="6"/>
  <c r="K152" i="6"/>
  <c r="L152" i="6"/>
  <c r="M152" i="6"/>
  <c r="N152" i="6"/>
  <c r="O152" i="6"/>
  <c r="Q152" i="6"/>
  <c r="R152" i="6"/>
  <c r="S152" i="6"/>
  <c r="U152" i="6"/>
  <c r="B153" i="6"/>
  <c r="C153" i="6"/>
  <c r="D153" i="6"/>
  <c r="E153" i="6"/>
  <c r="F153" i="6"/>
  <c r="G153" i="6"/>
  <c r="H153" i="6"/>
  <c r="I153" i="6"/>
  <c r="J153" i="6"/>
  <c r="K153" i="6"/>
  <c r="L153" i="6"/>
  <c r="M153" i="6"/>
  <c r="N153" i="6"/>
  <c r="O153" i="6"/>
  <c r="Q153" i="6"/>
  <c r="R153" i="6"/>
  <c r="S153" i="6"/>
  <c r="U153" i="6"/>
  <c r="B154" i="6"/>
  <c r="C154" i="6"/>
  <c r="D154" i="6"/>
  <c r="E154" i="6"/>
  <c r="F154" i="6"/>
  <c r="G154" i="6"/>
  <c r="H154" i="6"/>
  <c r="I154" i="6"/>
  <c r="J154" i="6"/>
  <c r="K154" i="6"/>
  <c r="L154" i="6"/>
  <c r="M154" i="6"/>
  <c r="N154" i="6"/>
  <c r="O154" i="6"/>
  <c r="Q154" i="6"/>
  <c r="R154" i="6"/>
  <c r="S154" i="6"/>
  <c r="U154" i="6"/>
  <c r="B155" i="6"/>
  <c r="C155" i="6"/>
  <c r="D155" i="6"/>
  <c r="E155" i="6"/>
  <c r="F155" i="6"/>
  <c r="G155" i="6"/>
  <c r="H155" i="6"/>
  <c r="I155" i="6"/>
  <c r="J155" i="6"/>
  <c r="K155" i="6"/>
  <c r="L155" i="6"/>
  <c r="M155" i="6"/>
  <c r="N155" i="6"/>
  <c r="O155" i="6"/>
  <c r="Q155" i="6"/>
  <c r="R155" i="6"/>
  <c r="S155" i="6"/>
  <c r="U155" i="6"/>
  <c r="B156" i="6"/>
  <c r="C156" i="6"/>
  <c r="D156" i="6"/>
  <c r="E156" i="6"/>
  <c r="F156" i="6"/>
  <c r="G156" i="6"/>
  <c r="H156" i="6"/>
  <c r="I156" i="6"/>
  <c r="J156" i="6"/>
  <c r="K156" i="6"/>
  <c r="L156" i="6"/>
  <c r="M156" i="6"/>
  <c r="N156" i="6"/>
  <c r="O156" i="6"/>
  <c r="Q156" i="6"/>
  <c r="R156" i="6"/>
  <c r="S156" i="6"/>
  <c r="U156" i="6"/>
  <c r="B157" i="6"/>
  <c r="C157" i="6"/>
  <c r="D157" i="6"/>
  <c r="E157" i="6"/>
  <c r="F157" i="6"/>
  <c r="G157" i="6"/>
  <c r="H157" i="6"/>
  <c r="I157" i="6"/>
  <c r="J157" i="6"/>
  <c r="K157" i="6"/>
  <c r="L157" i="6"/>
  <c r="M157" i="6"/>
  <c r="N157" i="6"/>
  <c r="O157" i="6"/>
  <c r="Q157" i="6"/>
  <c r="R157" i="6"/>
  <c r="S157" i="6"/>
  <c r="U157" i="6"/>
  <c r="B158" i="6"/>
  <c r="C158" i="6"/>
  <c r="D158" i="6"/>
  <c r="E158" i="6"/>
  <c r="F158" i="6"/>
  <c r="G158" i="6"/>
  <c r="H158" i="6"/>
  <c r="I158" i="6"/>
  <c r="J158" i="6"/>
  <c r="K158" i="6"/>
  <c r="L158" i="6"/>
  <c r="M158" i="6"/>
  <c r="N158" i="6"/>
  <c r="O158" i="6"/>
  <c r="Q158" i="6"/>
  <c r="R158" i="6"/>
  <c r="S158" i="6"/>
  <c r="U158" i="6"/>
  <c r="B159" i="6"/>
  <c r="C159" i="6"/>
  <c r="D159" i="6"/>
  <c r="E159" i="6"/>
  <c r="F159" i="6"/>
  <c r="G159" i="6"/>
  <c r="H159" i="6"/>
  <c r="I159" i="6"/>
  <c r="J159" i="6"/>
  <c r="K159" i="6"/>
  <c r="L159" i="6"/>
  <c r="M159" i="6"/>
  <c r="N159" i="6"/>
  <c r="O159" i="6"/>
  <c r="Q159" i="6"/>
  <c r="R159" i="6"/>
  <c r="S159" i="6"/>
  <c r="U159" i="6"/>
  <c r="B160" i="6"/>
  <c r="C160" i="6"/>
  <c r="B161" i="6"/>
  <c r="C161" i="6"/>
  <c r="B162" i="6"/>
  <c r="C162" i="6"/>
  <c r="B163" i="6"/>
  <c r="C163" i="6"/>
  <c r="D163" i="6"/>
  <c r="E163" i="6"/>
  <c r="F163" i="6"/>
  <c r="G163" i="6"/>
  <c r="H163" i="6"/>
  <c r="I163" i="6"/>
  <c r="J163" i="6"/>
  <c r="K163" i="6"/>
  <c r="L163" i="6"/>
  <c r="M163" i="6"/>
  <c r="N163" i="6"/>
  <c r="O163" i="6"/>
  <c r="Q163" i="6"/>
  <c r="R163" i="6"/>
  <c r="S163" i="6"/>
  <c r="B165" i="6"/>
  <c r="B167" i="6"/>
  <c r="C167" i="6"/>
  <c r="D167" i="6"/>
  <c r="E167" i="6"/>
  <c r="F167" i="6"/>
  <c r="G167" i="6"/>
  <c r="H167" i="6"/>
  <c r="I167" i="6"/>
  <c r="J167" i="6"/>
  <c r="K167" i="6"/>
  <c r="L167" i="6"/>
  <c r="M167" i="6"/>
  <c r="N167" i="6"/>
  <c r="O167" i="6"/>
  <c r="Q167" i="6"/>
  <c r="R167" i="6"/>
  <c r="S167" i="6"/>
  <c r="U167" i="6"/>
  <c r="B168" i="6"/>
  <c r="C168" i="6"/>
  <c r="D168" i="6"/>
  <c r="E168" i="6"/>
  <c r="F168" i="6"/>
  <c r="G168" i="6"/>
  <c r="H168" i="6"/>
  <c r="I168" i="6"/>
  <c r="J168" i="6"/>
  <c r="K168" i="6"/>
  <c r="L168" i="6"/>
  <c r="M168" i="6"/>
  <c r="N168" i="6"/>
  <c r="O168" i="6"/>
  <c r="Q168" i="6"/>
  <c r="R168" i="6"/>
  <c r="S168" i="6"/>
  <c r="U168" i="6"/>
  <c r="B169" i="6"/>
  <c r="C169" i="6"/>
  <c r="D169" i="6"/>
  <c r="E169" i="6"/>
  <c r="F169" i="6"/>
  <c r="G169" i="6"/>
  <c r="H169" i="6"/>
  <c r="I169" i="6"/>
  <c r="J169" i="6"/>
  <c r="K169" i="6"/>
  <c r="L169" i="6"/>
  <c r="M169" i="6"/>
  <c r="N169" i="6"/>
  <c r="O169" i="6"/>
  <c r="Q169" i="6"/>
  <c r="R169" i="6"/>
  <c r="S169" i="6"/>
  <c r="U169" i="6"/>
  <c r="B170" i="6"/>
  <c r="C170" i="6"/>
  <c r="D170" i="6"/>
  <c r="E170" i="6"/>
  <c r="F170" i="6"/>
  <c r="G170" i="6"/>
  <c r="H170" i="6"/>
  <c r="I170" i="6"/>
  <c r="J170" i="6"/>
  <c r="K170" i="6"/>
  <c r="L170" i="6"/>
  <c r="M170" i="6"/>
  <c r="N170" i="6"/>
  <c r="O170" i="6"/>
  <c r="Q170" i="6"/>
  <c r="R170" i="6"/>
  <c r="S170" i="6"/>
  <c r="U170" i="6"/>
  <c r="B171" i="6"/>
  <c r="C171" i="6"/>
  <c r="D171" i="6"/>
  <c r="E171" i="6"/>
  <c r="F171" i="6"/>
  <c r="G171" i="6"/>
  <c r="H171" i="6"/>
  <c r="I171" i="6"/>
  <c r="J171" i="6"/>
  <c r="K171" i="6"/>
  <c r="L171" i="6"/>
  <c r="M171" i="6"/>
  <c r="N171" i="6"/>
  <c r="O171" i="6"/>
  <c r="Q171" i="6"/>
  <c r="R171" i="6"/>
  <c r="S171" i="6"/>
  <c r="U171" i="6"/>
  <c r="B172" i="6"/>
  <c r="C172" i="6"/>
  <c r="D172" i="6"/>
  <c r="E172" i="6"/>
  <c r="F172" i="6"/>
  <c r="G172" i="6"/>
  <c r="H172" i="6"/>
  <c r="I172" i="6"/>
  <c r="J172" i="6"/>
  <c r="K172" i="6"/>
  <c r="L172" i="6"/>
  <c r="M172" i="6"/>
  <c r="N172" i="6"/>
  <c r="O172" i="6"/>
  <c r="Q172" i="6"/>
  <c r="R172" i="6"/>
  <c r="S172" i="6"/>
  <c r="U172" i="6"/>
  <c r="B173" i="6"/>
  <c r="C173" i="6"/>
  <c r="D173" i="6"/>
  <c r="E173" i="6"/>
  <c r="F173" i="6"/>
  <c r="G173" i="6"/>
  <c r="H173" i="6"/>
  <c r="I173" i="6"/>
  <c r="J173" i="6"/>
  <c r="K173" i="6"/>
  <c r="L173" i="6"/>
  <c r="M173" i="6"/>
  <c r="N173" i="6"/>
  <c r="O173" i="6"/>
  <c r="Q173" i="6"/>
  <c r="R173" i="6"/>
  <c r="S173" i="6"/>
  <c r="U173" i="6"/>
  <c r="B174" i="6"/>
  <c r="C174" i="6"/>
  <c r="D174" i="6"/>
  <c r="E174" i="6"/>
  <c r="F174" i="6"/>
  <c r="G174" i="6"/>
  <c r="H174" i="6"/>
  <c r="I174" i="6"/>
  <c r="J174" i="6"/>
  <c r="K174" i="6"/>
  <c r="L174" i="6"/>
  <c r="M174" i="6"/>
  <c r="N174" i="6"/>
  <c r="O174" i="6"/>
  <c r="Q174" i="6"/>
  <c r="R174" i="6"/>
  <c r="S174" i="6"/>
  <c r="U174" i="6"/>
  <c r="B175" i="6"/>
  <c r="C175" i="6"/>
  <c r="D175" i="6"/>
  <c r="E175" i="6"/>
  <c r="F175" i="6"/>
  <c r="G175" i="6"/>
  <c r="H175" i="6"/>
  <c r="I175" i="6"/>
  <c r="J175" i="6"/>
  <c r="K175" i="6"/>
  <c r="L175" i="6"/>
  <c r="M175" i="6"/>
  <c r="N175" i="6"/>
  <c r="O175" i="6"/>
  <c r="Q175" i="6"/>
  <c r="R175" i="6"/>
  <c r="S175" i="6"/>
  <c r="U175" i="6"/>
  <c r="B176" i="6"/>
  <c r="C176" i="6"/>
  <c r="D176" i="6"/>
  <c r="E176" i="6"/>
  <c r="F176" i="6"/>
  <c r="G176" i="6"/>
  <c r="H176" i="6"/>
  <c r="I176" i="6"/>
  <c r="J176" i="6"/>
  <c r="K176" i="6"/>
  <c r="L176" i="6"/>
  <c r="M176" i="6"/>
  <c r="N176" i="6"/>
  <c r="O176" i="6"/>
  <c r="Q176" i="6"/>
  <c r="R176" i="6"/>
  <c r="S176" i="6"/>
  <c r="U176" i="6"/>
  <c r="B177" i="6"/>
  <c r="C177" i="6"/>
  <c r="D177" i="6"/>
  <c r="E177" i="6"/>
  <c r="F177" i="6"/>
  <c r="G177" i="6"/>
  <c r="H177" i="6"/>
  <c r="I177" i="6"/>
  <c r="J177" i="6"/>
  <c r="K177" i="6"/>
  <c r="L177" i="6"/>
  <c r="M177" i="6"/>
  <c r="N177" i="6"/>
  <c r="O177" i="6"/>
  <c r="Q177" i="6"/>
  <c r="R177" i="6"/>
  <c r="S177" i="6"/>
  <c r="U177" i="6"/>
  <c r="B179" i="6"/>
  <c r="B182" i="6"/>
  <c r="C182" i="6"/>
  <c r="D182" i="6"/>
  <c r="E182" i="6"/>
  <c r="F182" i="6"/>
  <c r="G182" i="6"/>
  <c r="H182" i="6"/>
  <c r="I182" i="6"/>
  <c r="J182" i="6"/>
  <c r="K182" i="6"/>
  <c r="L182" i="6"/>
  <c r="M182" i="6"/>
  <c r="N182" i="6"/>
  <c r="O182" i="6"/>
  <c r="Q182" i="6"/>
  <c r="R182" i="6"/>
  <c r="S182" i="6"/>
  <c r="U182" i="6"/>
  <c r="B183" i="6"/>
  <c r="C183" i="6"/>
  <c r="D183" i="6"/>
  <c r="E183" i="6"/>
  <c r="F183" i="6"/>
  <c r="G183" i="6"/>
  <c r="H183" i="6"/>
  <c r="I183" i="6"/>
  <c r="J183" i="6"/>
  <c r="K183" i="6"/>
  <c r="L183" i="6"/>
  <c r="M183" i="6"/>
  <c r="N183" i="6"/>
  <c r="O183" i="6"/>
  <c r="Q183" i="6"/>
  <c r="R183" i="6"/>
  <c r="S183" i="6"/>
  <c r="U183" i="6"/>
  <c r="B184" i="6"/>
  <c r="C184" i="6"/>
  <c r="D184" i="6"/>
  <c r="E184" i="6"/>
  <c r="F184" i="6"/>
  <c r="G184" i="6"/>
  <c r="H184" i="6"/>
  <c r="I184" i="6"/>
  <c r="J184" i="6"/>
  <c r="K184" i="6"/>
  <c r="L184" i="6"/>
  <c r="M184" i="6"/>
  <c r="N184" i="6"/>
  <c r="O184" i="6"/>
  <c r="U184" i="6"/>
  <c r="B185" i="6"/>
  <c r="C185" i="6"/>
  <c r="B186" i="6"/>
  <c r="U186" i="6"/>
  <c r="B187" i="6"/>
  <c r="C187" i="6"/>
  <c r="D187" i="6"/>
  <c r="E187" i="6"/>
  <c r="F187" i="6"/>
  <c r="G187" i="6"/>
  <c r="H187" i="6"/>
  <c r="I187" i="6"/>
  <c r="J187" i="6"/>
  <c r="K187" i="6"/>
  <c r="L187" i="6"/>
  <c r="M187" i="6"/>
  <c r="N187" i="6"/>
  <c r="O187" i="6"/>
  <c r="Q187" i="6"/>
  <c r="R187" i="6"/>
  <c r="S187" i="6"/>
  <c r="U187" i="6"/>
  <c r="B188" i="6"/>
  <c r="U188" i="6"/>
  <c r="B189" i="6"/>
  <c r="C189" i="6"/>
  <c r="D189" i="6"/>
  <c r="E189" i="6"/>
  <c r="F189" i="6"/>
  <c r="G189" i="6"/>
  <c r="H189" i="6"/>
  <c r="I189" i="6"/>
  <c r="J189" i="6"/>
  <c r="K189" i="6"/>
  <c r="L189" i="6"/>
  <c r="M189" i="6"/>
  <c r="N189" i="6"/>
  <c r="O189" i="6"/>
  <c r="Q189" i="6"/>
  <c r="R189" i="6"/>
  <c r="S189" i="6"/>
  <c r="U189" i="6"/>
  <c r="U190" i="6"/>
  <c r="B191" i="6"/>
  <c r="C191" i="6"/>
  <c r="D191" i="6"/>
  <c r="E191" i="6"/>
  <c r="F191" i="6"/>
  <c r="G191" i="6"/>
  <c r="H191" i="6"/>
  <c r="I191" i="6"/>
  <c r="J191" i="6"/>
  <c r="K191" i="6"/>
  <c r="L191" i="6"/>
  <c r="M191" i="6"/>
  <c r="N191" i="6"/>
  <c r="O191" i="6"/>
  <c r="Q191" i="6"/>
  <c r="R191" i="6"/>
  <c r="S191" i="6"/>
  <c r="U191" i="6"/>
  <c r="B192" i="6"/>
  <c r="C192" i="6"/>
  <c r="D192" i="6"/>
  <c r="E192" i="6"/>
  <c r="F192" i="6"/>
  <c r="G192" i="6"/>
  <c r="H192" i="6"/>
  <c r="I192" i="6"/>
  <c r="J192" i="6"/>
  <c r="K192" i="6"/>
  <c r="L192" i="6"/>
  <c r="M192" i="6"/>
  <c r="N192" i="6"/>
  <c r="O192" i="6"/>
  <c r="Q192" i="6"/>
  <c r="R192" i="6"/>
  <c r="S192" i="6"/>
  <c r="U192" i="6"/>
  <c r="B194" i="6"/>
  <c r="C194" i="6"/>
  <c r="D194" i="6"/>
  <c r="E194" i="6"/>
  <c r="F194" i="6"/>
  <c r="G194" i="6"/>
  <c r="H194" i="6"/>
  <c r="I194" i="6"/>
  <c r="J194" i="6"/>
  <c r="K194" i="6"/>
  <c r="L194" i="6"/>
  <c r="M194" i="6"/>
  <c r="N194" i="6"/>
  <c r="O194" i="6"/>
  <c r="Q194" i="6"/>
  <c r="R194" i="6"/>
  <c r="S194" i="6"/>
  <c r="U194" i="6"/>
  <c r="B195" i="6"/>
  <c r="C195" i="6"/>
  <c r="D195" i="6"/>
  <c r="E195" i="6"/>
  <c r="F195" i="6"/>
  <c r="G195" i="6"/>
  <c r="H195" i="6"/>
  <c r="I195" i="6"/>
  <c r="J195" i="6"/>
  <c r="K195" i="6"/>
  <c r="L195" i="6"/>
  <c r="M195" i="6"/>
  <c r="N195" i="6"/>
  <c r="O195" i="6"/>
  <c r="Q195" i="6"/>
  <c r="R195" i="6"/>
  <c r="S195" i="6"/>
  <c r="U195" i="6"/>
  <c r="B196" i="6"/>
  <c r="C196" i="6"/>
  <c r="D196" i="6"/>
  <c r="E196" i="6"/>
  <c r="F196" i="6"/>
  <c r="G196" i="6"/>
  <c r="H196" i="6"/>
  <c r="I196" i="6"/>
  <c r="J196" i="6"/>
  <c r="K196" i="6"/>
  <c r="L196" i="6"/>
  <c r="M196" i="6"/>
  <c r="N196" i="6"/>
  <c r="O196" i="6"/>
  <c r="Q196" i="6"/>
  <c r="R196" i="6"/>
  <c r="S196" i="6"/>
  <c r="U196" i="6"/>
  <c r="B197" i="6"/>
  <c r="C197" i="6"/>
  <c r="D197" i="6"/>
  <c r="E197" i="6"/>
  <c r="F197" i="6"/>
  <c r="G197" i="6"/>
  <c r="H197" i="6"/>
  <c r="I197" i="6"/>
  <c r="J197" i="6"/>
  <c r="K197" i="6"/>
  <c r="L197" i="6"/>
  <c r="M197" i="6"/>
  <c r="N197" i="6"/>
  <c r="O197" i="6"/>
  <c r="Q197" i="6"/>
  <c r="R197" i="6"/>
  <c r="S197" i="6"/>
  <c r="U197" i="6"/>
  <c r="B198" i="6"/>
  <c r="C198" i="6"/>
  <c r="D198" i="6"/>
  <c r="E198" i="6"/>
  <c r="F198" i="6"/>
  <c r="G198" i="6"/>
  <c r="H198" i="6"/>
  <c r="I198" i="6"/>
  <c r="J198" i="6"/>
  <c r="K198" i="6"/>
  <c r="L198" i="6"/>
  <c r="M198" i="6"/>
  <c r="N198" i="6"/>
  <c r="O198" i="6"/>
  <c r="Q198" i="6"/>
  <c r="R198" i="6"/>
  <c r="S198" i="6"/>
  <c r="U198" i="6"/>
  <c r="B199" i="6"/>
  <c r="C199" i="6"/>
  <c r="D199" i="6"/>
  <c r="E199" i="6"/>
  <c r="F199" i="6"/>
  <c r="G199" i="6"/>
  <c r="H199" i="6"/>
  <c r="I199" i="6"/>
  <c r="J199" i="6"/>
  <c r="K199" i="6"/>
  <c r="L199" i="6"/>
  <c r="M199" i="6"/>
  <c r="N199" i="6"/>
  <c r="O199" i="6"/>
  <c r="Q199" i="6"/>
  <c r="R199" i="6"/>
  <c r="S199" i="6"/>
  <c r="U199" i="6"/>
  <c r="B200" i="6"/>
  <c r="C200" i="6"/>
  <c r="D200" i="6"/>
  <c r="E200" i="6"/>
  <c r="F200" i="6"/>
  <c r="G200" i="6"/>
  <c r="H200" i="6"/>
  <c r="I200" i="6"/>
  <c r="J200" i="6"/>
  <c r="K200" i="6"/>
  <c r="L200" i="6"/>
  <c r="M200" i="6"/>
  <c r="N200" i="6"/>
  <c r="O200" i="6"/>
  <c r="Q200" i="6"/>
  <c r="R200" i="6"/>
  <c r="S200" i="6"/>
  <c r="U200" i="6"/>
  <c r="B201" i="6"/>
  <c r="C201" i="6"/>
  <c r="D201" i="6"/>
  <c r="E201" i="6"/>
  <c r="F201" i="6"/>
  <c r="G201" i="6"/>
  <c r="H201" i="6"/>
  <c r="I201" i="6"/>
  <c r="J201" i="6"/>
  <c r="K201" i="6"/>
  <c r="L201" i="6"/>
  <c r="M201" i="6"/>
  <c r="N201" i="6"/>
  <c r="O201" i="6"/>
  <c r="Q201" i="6"/>
  <c r="R201" i="6"/>
  <c r="S201" i="6"/>
  <c r="U201" i="6"/>
  <c r="B202" i="6"/>
  <c r="C202" i="6"/>
  <c r="D202" i="6"/>
  <c r="E202" i="6"/>
  <c r="F202" i="6"/>
  <c r="G202" i="6"/>
  <c r="H202" i="6"/>
  <c r="I202" i="6"/>
  <c r="J202" i="6"/>
  <c r="K202" i="6"/>
  <c r="L202" i="6"/>
  <c r="M202" i="6"/>
  <c r="N202" i="6"/>
  <c r="O202" i="6"/>
  <c r="Q202" i="6"/>
  <c r="R202" i="6"/>
  <c r="S202" i="6"/>
  <c r="U202" i="6"/>
  <c r="B203" i="6"/>
  <c r="C203" i="6"/>
  <c r="D203" i="6"/>
  <c r="E203" i="6"/>
  <c r="F203" i="6"/>
  <c r="G203" i="6"/>
  <c r="H203" i="6"/>
  <c r="I203" i="6"/>
  <c r="J203" i="6"/>
  <c r="K203" i="6"/>
  <c r="L203" i="6"/>
  <c r="M203" i="6"/>
  <c r="N203" i="6"/>
  <c r="O203" i="6"/>
  <c r="Q203" i="6"/>
  <c r="R203" i="6"/>
  <c r="S203" i="6"/>
  <c r="U203" i="6"/>
  <c r="B204" i="6"/>
  <c r="C204" i="6"/>
  <c r="D204" i="6"/>
  <c r="E204" i="6"/>
  <c r="F204" i="6"/>
  <c r="G204" i="6"/>
  <c r="H204" i="6"/>
  <c r="I204" i="6"/>
  <c r="J204" i="6"/>
  <c r="K204" i="6"/>
  <c r="L204" i="6"/>
  <c r="M204" i="6"/>
  <c r="N204" i="6"/>
  <c r="O204" i="6"/>
  <c r="Q204" i="6"/>
  <c r="R204" i="6"/>
  <c r="S204" i="6"/>
  <c r="U204" i="6"/>
  <c r="B205" i="6"/>
  <c r="C205" i="6"/>
  <c r="D205" i="6"/>
  <c r="E205" i="6"/>
  <c r="F205" i="6"/>
  <c r="G205" i="6"/>
  <c r="H205" i="6"/>
  <c r="I205" i="6"/>
  <c r="J205" i="6"/>
  <c r="K205" i="6"/>
  <c r="L205" i="6"/>
  <c r="M205" i="6"/>
  <c r="N205" i="6"/>
  <c r="O205" i="6"/>
  <c r="Q205" i="6"/>
  <c r="R205" i="6"/>
  <c r="S205" i="6"/>
  <c r="U205" i="6"/>
  <c r="B206" i="6"/>
  <c r="C206" i="6"/>
  <c r="D206" i="6"/>
  <c r="E206" i="6"/>
  <c r="F206" i="6"/>
  <c r="G206" i="6"/>
  <c r="H206" i="6"/>
  <c r="I206" i="6"/>
  <c r="J206" i="6"/>
  <c r="K206" i="6"/>
  <c r="L206" i="6"/>
  <c r="M206" i="6"/>
  <c r="N206" i="6"/>
  <c r="O206" i="6"/>
  <c r="Q206" i="6"/>
  <c r="R206" i="6"/>
  <c r="S206" i="6"/>
  <c r="U206" i="6"/>
  <c r="B207" i="6"/>
  <c r="C207" i="6"/>
  <c r="B208" i="6"/>
  <c r="C208" i="6"/>
  <c r="B209" i="6"/>
  <c r="C209" i="6"/>
  <c r="B210" i="6"/>
  <c r="C210" i="6"/>
  <c r="D210" i="6"/>
  <c r="E210" i="6"/>
  <c r="F210" i="6"/>
  <c r="G210" i="6"/>
  <c r="H210" i="6"/>
  <c r="I210" i="6"/>
  <c r="J210" i="6"/>
  <c r="K210" i="6"/>
  <c r="L210" i="6"/>
  <c r="M210" i="6"/>
  <c r="N210" i="6"/>
  <c r="O210" i="6"/>
  <c r="Q210" i="6"/>
  <c r="R210" i="6"/>
  <c r="S210" i="6"/>
  <c r="U210" i="6"/>
  <c r="B211" i="6"/>
  <c r="C211" i="6"/>
  <c r="B212" i="6"/>
  <c r="C212" i="6"/>
  <c r="D212" i="6"/>
  <c r="E212" i="6"/>
  <c r="F212" i="6"/>
  <c r="G212" i="6"/>
  <c r="H212" i="6"/>
  <c r="I212" i="6"/>
  <c r="J212" i="6"/>
  <c r="K212" i="6"/>
  <c r="L212" i="6"/>
  <c r="M212" i="6"/>
  <c r="N212" i="6"/>
  <c r="O212" i="6"/>
  <c r="Q212" i="6"/>
  <c r="R212" i="6"/>
  <c r="S212" i="6"/>
  <c r="U212" i="6"/>
  <c r="B213" i="6"/>
  <c r="C213" i="6"/>
  <c r="D213" i="6"/>
  <c r="E213" i="6"/>
  <c r="F213" i="6"/>
  <c r="G213" i="6"/>
  <c r="H213" i="6"/>
  <c r="I213" i="6"/>
  <c r="J213" i="6"/>
  <c r="K213" i="6"/>
  <c r="L213" i="6"/>
  <c r="M213" i="6"/>
  <c r="N213" i="6"/>
  <c r="O213" i="6"/>
  <c r="Q213" i="6"/>
  <c r="R213" i="6"/>
  <c r="S213" i="6"/>
  <c r="U213" i="6"/>
  <c r="B214" i="6"/>
  <c r="C214" i="6"/>
  <c r="D214" i="6"/>
  <c r="E214" i="6"/>
  <c r="F214" i="6"/>
  <c r="G214" i="6"/>
  <c r="H214" i="6"/>
  <c r="I214" i="6"/>
  <c r="J214" i="6"/>
  <c r="K214" i="6"/>
  <c r="L214" i="6"/>
  <c r="M214" i="6"/>
  <c r="N214" i="6"/>
  <c r="O214" i="6"/>
  <c r="Q214" i="6"/>
  <c r="R214" i="6"/>
  <c r="S214" i="6"/>
  <c r="U214" i="6"/>
  <c r="B215" i="6"/>
  <c r="C215" i="6"/>
  <c r="D215" i="6"/>
  <c r="E215" i="6"/>
  <c r="F215" i="6"/>
  <c r="G215" i="6"/>
  <c r="H215" i="6"/>
  <c r="I215" i="6"/>
  <c r="J215" i="6"/>
  <c r="K215" i="6"/>
  <c r="L215" i="6"/>
  <c r="M215" i="6"/>
  <c r="N215" i="6"/>
  <c r="O215" i="6"/>
  <c r="Q215" i="6"/>
  <c r="R215" i="6"/>
  <c r="S215" i="6"/>
  <c r="U215" i="6"/>
  <c r="B216" i="6"/>
  <c r="C216" i="6"/>
  <c r="D216" i="6"/>
  <c r="E216" i="6"/>
  <c r="F216" i="6"/>
  <c r="G216" i="6"/>
  <c r="H216" i="6"/>
  <c r="I216" i="6"/>
  <c r="J216" i="6"/>
  <c r="K216" i="6"/>
  <c r="L216" i="6"/>
  <c r="M216" i="6"/>
  <c r="N216" i="6"/>
  <c r="O216" i="6"/>
  <c r="U216" i="6"/>
  <c r="B221" i="6"/>
  <c r="B231" i="6"/>
  <c r="C231" i="6"/>
  <c r="B232" i="6"/>
  <c r="C232" i="6"/>
  <c r="D232" i="6"/>
  <c r="E232" i="6"/>
  <c r="F232" i="6"/>
  <c r="G232" i="6"/>
  <c r="H232" i="6"/>
  <c r="I232" i="6"/>
  <c r="J232" i="6"/>
  <c r="K232" i="6"/>
  <c r="L232" i="6"/>
  <c r="M232" i="6"/>
  <c r="N232" i="6"/>
  <c r="O232" i="6"/>
  <c r="Q232" i="6"/>
  <c r="R232" i="6"/>
  <c r="S232" i="6"/>
  <c r="U232" i="6"/>
  <c r="B233" i="6"/>
  <c r="C233" i="6"/>
  <c r="D233" i="6"/>
  <c r="E233" i="6"/>
  <c r="F233" i="6"/>
  <c r="G233" i="6"/>
  <c r="H233" i="6"/>
  <c r="I233" i="6"/>
  <c r="J233" i="6"/>
  <c r="K233" i="6"/>
  <c r="L233" i="6"/>
  <c r="M233" i="6"/>
  <c r="N233" i="6"/>
  <c r="O233" i="6"/>
  <c r="Q233" i="6"/>
  <c r="R233" i="6"/>
  <c r="S233" i="6"/>
  <c r="U233" i="6"/>
  <c r="B234" i="6"/>
  <c r="C234" i="6"/>
  <c r="D234" i="6"/>
  <c r="E234" i="6"/>
  <c r="F234" i="6"/>
  <c r="G234" i="6"/>
  <c r="H234" i="6"/>
  <c r="I234" i="6"/>
  <c r="J234" i="6"/>
  <c r="K234" i="6"/>
  <c r="L234" i="6"/>
  <c r="M234" i="6"/>
  <c r="N234" i="6"/>
  <c r="O234" i="6"/>
  <c r="Q234" i="6"/>
  <c r="R234" i="6"/>
  <c r="S234" i="6"/>
  <c r="U234" i="6"/>
  <c r="B235" i="6"/>
  <c r="C235" i="6"/>
  <c r="D235" i="6"/>
  <c r="E235" i="6"/>
  <c r="F235" i="6"/>
  <c r="G235" i="6"/>
  <c r="H235" i="6"/>
  <c r="I235" i="6"/>
  <c r="J235" i="6"/>
  <c r="K235" i="6"/>
  <c r="L235" i="6"/>
  <c r="M235" i="6"/>
  <c r="N235" i="6"/>
  <c r="O235" i="6"/>
  <c r="Q235" i="6"/>
  <c r="R235" i="6"/>
  <c r="S235" i="6"/>
  <c r="U235" i="6"/>
  <c r="B237" i="6"/>
  <c r="B238" i="6"/>
  <c r="C238" i="6"/>
  <c r="B239" i="6"/>
  <c r="C239" i="6"/>
  <c r="D239" i="6"/>
  <c r="E239" i="6"/>
  <c r="F239" i="6"/>
  <c r="G239" i="6"/>
  <c r="H239" i="6"/>
  <c r="I239" i="6"/>
  <c r="J239" i="6"/>
  <c r="K239" i="6"/>
  <c r="L239" i="6"/>
  <c r="M239" i="6"/>
  <c r="N239" i="6"/>
  <c r="O239" i="6"/>
  <c r="Q239" i="6"/>
  <c r="R239" i="6"/>
  <c r="S239" i="6"/>
  <c r="U239" i="6"/>
  <c r="B240" i="6"/>
  <c r="C240" i="6"/>
  <c r="D240" i="6"/>
  <c r="E240" i="6"/>
  <c r="F240" i="6"/>
  <c r="G240" i="6"/>
  <c r="H240" i="6"/>
  <c r="I240" i="6"/>
  <c r="J240" i="6"/>
  <c r="K240" i="6"/>
  <c r="L240" i="6"/>
  <c r="M240" i="6"/>
  <c r="N240" i="6"/>
  <c r="O240" i="6"/>
  <c r="Q240" i="6"/>
  <c r="R240" i="6"/>
  <c r="S240" i="6"/>
  <c r="U240" i="6"/>
  <c r="B241" i="6"/>
  <c r="C241" i="6"/>
  <c r="D241" i="6"/>
  <c r="E241" i="6"/>
  <c r="F241" i="6"/>
  <c r="G241" i="6"/>
  <c r="H241" i="6"/>
  <c r="I241" i="6"/>
  <c r="J241" i="6"/>
  <c r="K241" i="6"/>
  <c r="L241" i="6"/>
  <c r="M241" i="6"/>
  <c r="N241" i="6"/>
  <c r="O241" i="6"/>
  <c r="Q241" i="6"/>
  <c r="R241" i="6"/>
  <c r="S241" i="6"/>
  <c r="U241" i="6"/>
  <c r="B242" i="6"/>
  <c r="C242" i="6"/>
  <c r="D242" i="6"/>
  <c r="E242" i="6"/>
  <c r="F242" i="6"/>
  <c r="G242" i="6"/>
  <c r="H242" i="6"/>
  <c r="I242" i="6"/>
  <c r="J242" i="6"/>
  <c r="K242" i="6"/>
  <c r="L242" i="6"/>
  <c r="M242" i="6"/>
  <c r="N242" i="6"/>
  <c r="O242" i="6"/>
  <c r="Q242" i="6"/>
  <c r="R242" i="6"/>
  <c r="S242" i="6"/>
  <c r="U242" i="6"/>
  <c r="B244" i="6"/>
  <c r="B245" i="6"/>
  <c r="C245" i="6"/>
  <c r="B246" i="6"/>
  <c r="C246" i="6"/>
  <c r="D246" i="6"/>
  <c r="E246" i="6"/>
  <c r="F246" i="6"/>
  <c r="G246" i="6"/>
  <c r="H246" i="6"/>
  <c r="I246" i="6"/>
  <c r="J246" i="6"/>
  <c r="K246" i="6"/>
  <c r="L246" i="6"/>
  <c r="M246" i="6"/>
  <c r="N246" i="6"/>
  <c r="O246" i="6"/>
  <c r="Q246" i="6"/>
  <c r="R246" i="6"/>
  <c r="S246" i="6"/>
  <c r="B247" i="6"/>
  <c r="C247" i="6"/>
  <c r="D247" i="6"/>
  <c r="E247" i="6"/>
  <c r="F247" i="6"/>
  <c r="G247" i="6"/>
  <c r="H247" i="6"/>
  <c r="I247" i="6"/>
  <c r="J247" i="6"/>
  <c r="K247" i="6"/>
  <c r="L247" i="6"/>
  <c r="M247" i="6"/>
  <c r="N247" i="6"/>
  <c r="O247" i="6"/>
  <c r="Q247" i="6"/>
  <c r="R247" i="6"/>
  <c r="S247" i="6"/>
  <c r="B248" i="6"/>
  <c r="C248" i="6"/>
  <c r="D248" i="6"/>
  <c r="E248" i="6"/>
  <c r="F248" i="6"/>
  <c r="G248" i="6"/>
  <c r="H248" i="6"/>
  <c r="I248" i="6"/>
  <c r="J248" i="6"/>
  <c r="K248" i="6"/>
  <c r="L248" i="6"/>
  <c r="M248" i="6"/>
  <c r="N248" i="6"/>
  <c r="O248" i="6"/>
  <c r="Q248" i="6"/>
  <c r="R248" i="6"/>
  <c r="S248" i="6"/>
  <c r="B249" i="6"/>
  <c r="C249" i="6"/>
  <c r="D249" i="6"/>
  <c r="E249" i="6"/>
  <c r="F249" i="6"/>
  <c r="G249" i="6"/>
  <c r="H249" i="6"/>
  <c r="I249" i="6"/>
  <c r="J249" i="6"/>
  <c r="K249" i="6"/>
  <c r="L249" i="6"/>
  <c r="M249" i="6"/>
  <c r="N249" i="6"/>
  <c r="O249" i="6"/>
  <c r="Q249" i="6"/>
  <c r="R249" i="6"/>
  <c r="S249" i="6"/>
  <c r="B251" i="6"/>
  <c r="B253" i="6"/>
  <c r="C253" i="6"/>
  <c r="D253" i="6"/>
  <c r="E253" i="6"/>
  <c r="F253" i="6"/>
  <c r="G253" i="6"/>
  <c r="H253" i="6"/>
  <c r="I253" i="6"/>
  <c r="J253" i="6"/>
  <c r="K253" i="6"/>
  <c r="L253" i="6"/>
  <c r="M253" i="6"/>
  <c r="N253" i="6"/>
  <c r="O253" i="6"/>
  <c r="Q253" i="6"/>
  <c r="R253" i="6"/>
  <c r="S253" i="6"/>
  <c r="U253" i="6"/>
  <c r="B254" i="6"/>
  <c r="C254" i="6"/>
  <c r="D254" i="6"/>
  <c r="E254" i="6"/>
  <c r="F254" i="6"/>
  <c r="G254" i="6"/>
  <c r="H254" i="6"/>
  <c r="I254" i="6"/>
  <c r="J254" i="6"/>
  <c r="K254" i="6"/>
  <c r="L254" i="6"/>
  <c r="M254" i="6"/>
  <c r="N254" i="6"/>
  <c r="O254" i="6"/>
  <c r="Q254" i="6"/>
  <c r="R254" i="6"/>
  <c r="S254" i="6"/>
  <c r="U254" i="6"/>
  <c r="B255" i="6"/>
  <c r="C255" i="6"/>
  <c r="D255" i="6"/>
  <c r="E255" i="6"/>
  <c r="F255" i="6"/>
  <c r="G255" i="6"/>
  <c r="H255" i="6"/>
  <c r="I255" i="6"/>
  <c r="J255" i="6"/>
  <c r="K255" i="6"/>
  <c r="L255" i="6"/>
  <c r="M255" i="6"/>
  <c r="N255" i="6"/>
  <c r="O255" i="6"/>
  <c r="Q255" i="6"/>
  <c r="R255" i="6"/>
  <c r="S255" i="6"/>
  <c r="U255" i="6"/>
  <c r="B256" i="6"/>
  <c r="C256" i="6"/>
  <c r="D256" i="6"/>
  <c r="E256" i="6"/>
  <c r="F256" i="6"/>
  <c r="G256" i="6"/>
  <c r="H256" i="6"/>
  <c r="I256" i="6"/>
  <c r="J256" i="6"/>
  <c r="K256" i="6"/>
  <c r="L256" i="6"/>
  <c r="M256" i="6"/>
  <c r="N256" i="6"/>
  <c r="O256" i="6"/>
  <c r="Q256" i="6"/>
  <c r="R256" i="6"/>
  <c r="S256" i="6"/>
  <c r="U256" i="6"/>
  <c r="B257" i="6"/>
  <c r="C257" i="6"/>
  <c r="D257" i="6"/>
  <c r="E257" i="6"/>
  <c r="F257" i="6"/>
  <c r="G257" i="6"/>
  <c r="H257" i="6"/>
  <c r="I257" i="6"/>
  <c r="J257" i="6"/>
  <c r="K257" i="6"/>
  <c r="L257" i="6"/>
  <c r="M257" i="6"/>
  <c r="N257" i="6"/>
  <c r="O257" i="6"/>
  <c r="Q257" i="6"/>
  <c r="R257" i="6"/>
  <c r="S257" i="6"/>
  <c r="U257" i="6"/>
  <c r="B258" i="6"/>
  <c r="C258" i="6"/>
  <c r="D258" i="6"/>
  <c r="E258" i="6"/>
  <c r="F258" i="6"/>
  <c r="G258" i="6"/>
  <c r="H258" i="6"/>
  <c r="I258" i="6"/>
  <c r="J258" i="6"/>
  <c r="K258" i="6"/>
  <c r="L258" i="6"/>
  <c r="M258" i="6"/>
  <c r="N258" i="6"/>
  <c r="O258" i="6"/>
  <c r="Q258" i="6"/>
  <c r="R258" i="6"/>
  <c r="S258" i="6"/>
  <c r="U258" i="6"/>
  <c r="B259" i="6"/>
  <c r="C259" i="6"/>
  <c r="D259" i="6"/>
  <c r="E259" i="6"/>
  <c r="F259" i="6"/>
  <c r="G259" i="6"/>
  <c r="H259" i="6"/>
  <c r="I259" i="6"/>
  <c r="J259" i="6"/>
  <c r="K259" i="6"/>
  <c r="L259" i="6"/>
  <c r="M259" i="6"/>
  <c r="N259" i="6"/>
  <c r="O259" i="6"/>
  <c r="Q259" i="6"/>
  <c r="R259" i="6"/>
  <c r="S259" i="6"/>
  <c r="U259" i="6"/>
  <c r="B260" i="6"/>
  <c r="C260" i="6"/>
  <c r="D260" i="6"/>
  <c r="E260" i="6"/>
  <c r="F260" i="6"/>
  <c r="G260" i="6"/>
  <c r="H260" i="6"/>
  <c r="I260" i="6"/>
  <c r="J260" i="6"/>
  <c r="K260" i="6"/>
  <c r="L260" i="6"/>
  <c r="M260" i="6"/>
  <c r="N260" i="6"/>
  <c r="O260" i="6"/>
  <c r="Q260" i="6"/>
  <c r="R260" i="6"/>
  <c r="S260" i="6"/>
  <c r="U260" i="6"/>
  <c r="B262" i="6"/>
  <c r="B264" i="6"/>
  <c r="C264" i="6"/>
  <c r="D264" i="6"/>
  <c r="E264" i="6"/>
  <c r="F264" i="6"/>
  <c r="G264" i="6"/>
  <c r="H264" i="6"/>
  <c r="I264" i="6"/>
  <c r="J264" i="6"/>
  <c r="K264" i="6"/>
  <c r="L264" i="6"/>
  <c r="M264" i="6"/>
  <c r="N264" i="6"/>
  <c r="O264" i="6"/>
  <c r="Q264" i="6"/>
  <c r="R264" i="6"/>
  <c r="S264" i="6"/>
  <c r="U264" i="6"/>
  <c r="V264" i="6"/>
  <c r="B265" i="6"/>
  <c r="C265" i="6"/>
  <c r="D265" i="6"/>
  <c r="E265" i="6"/>
  <c r="F265" i="6"/>
  <c r="G265" i="6"/>
  <c r="H265" i="6"/>
  <c r="I265" i="6"/>
  <c r="J265" i="6"/>
  <c r="K265" i="6"/>
  <c r="L265" i="6"/>
  <c r="M265" i="6"/>
  <c r="N265" i="6"/>
  <c r="O265" i="6"/>
  <c r="Q265" i="6"/>
  <c r="R265" i="6"/>
  <c r="S265" i="6"/>
  <c r="U265" i="6"/>
  <c r="B266" i="6"/>
  <c r="C266" i="6"/>
  <c r="D266" i="6"/>
  <c r="E266" i="6"/>
  <c r="F266" i="6"/>
  <c r="G266" i="6"/>
  <c r="H266" i="6"/>
  <c r="I266" i="6"/>
  <c r="J266" i="6"/>
  <c r="K266" i="6"/>
  <c r="L266" i="6"/>
  <c r="M266" i="6"/>
  <c r="N266" i="6"/>
  <c r="O266" i="6"/>
  <c r="Q266" i="6"/>
  <c r="R266" i="6"/>
  <c r="S266" i="6"/>
  <c r="U266" i="6"/>
  <c r="V266" i="6"/>
  <c r="B267" i="6"/>
  <c r="C267" i="6"/>
  <c r="D267" i="6"/>
  <c r="E267" i="6"/>
  <c r="F267" i="6"/>
  <c r="G267" i="6"/>
  <c r="H267" i="6"/>
  <c r="I267" i="6"/>
  <c r="J267" i="6"/>
  <c r="K267" i="6"/>
  <c r="L267" i="6"/>
  <c r="M267" i="6"/>
  <c r="N267" i="6"/>
  <c r="O267" i="6"/>
  <c r="Q267" i="6"/>
  <c r="R267" i="6"/>
  <c r="S267" i="6"/>
  <c r="U267" i="6"/>
  <c r="V267" i="6"/>
  <c r="Q4" i="5"/>
  <c r="R4" i="5"/>
  <c r="Q5" i="5"/>
  <c r="R5" i="5"/>
  <c r="Q6" i="5"/>
  <c r="R6" i="5"/>
  <c r="Q7" i="5"/>
  <c r="R7" i="5"/>
  <c r="Q8" i="5"/>
  <c r="R8" i="5"/>
  <c r="Q9" i="5"/>
  <c r="R9" i="5"/>
  <c r="Q10" i="5"/>
  <c r="R10" i="5"/>
  <c r="Q11" i="5"/>
  <c r="R11" i="5"/>
  <c r="Q12" i="5"/>
  <c r="R12" i="5"/>
  <c r="Q13" i="5"/>
  <c r="R13" i="5"/>
  <c r="Q14" i="5"/>
  <c r="R14" i="5"/>
  <c r="Q15" i="5"/>
  <c r="R15" i="5"/>
  <c r="Q16" i="5"/>
  <c r="R16" i="5"/>
  <c r="Q17" i="5"/>
  <c r="R17" i="5"/>
  <c r="Q18" i="5"/>
  <c r="R18" i="5"/>
  <c r="Q19" i="5"/>
  <c r="R19" i="5"/>
  <c r="Q20" i="5"/>
  <c r="R20" i="5"/>
  <c r="Q21" i="5"/>
  <c r="R21" i="5"/>
  <c r="Q22" i="5"/>
  <c r="R22" i="5"/>
  <c r="Q23" i="5"/>
  <c r="R23" i="5"/>
  <c r="Q24" i="5"/>
  <c r="R24" i="5"/>
  <c r="Q25" i="5"/>
  <c r="R25" i="5"/>
  <c r="Q27" i="5"/>
  <c r="R27" i="5"/>
  <c r="Q28" i="5"/>
  <c r="R28" i="5"/>
  <c r="Q29" i="5"/>
  <c r="R29" i="5"/>
  <c r="Q30" i="5"/>
  <c r="R30" i="5"/>
  <c r="Q31" i="5"/>
  <c r="R31" i="5"/>
  <c r="Q32" i="5"/>
  <c r="R32" i="5"/>
  <c r="Q33" i="5"/>
  <c r="R33" i="5"/>
  <c r="Q34" i="5"/>
  <c r="R34" i="5"/>
  <c r="Q35" i="5"/>
  <c r="R35" i="5"/>
  <c r="Q36" i="5"/>
  <c r="R36" i="5"/>
  <c r="Q37" i="5"/>
  <c r="R37" i="5"/>
  <c r="Q38" i="5"/>
  <c r="R38" i="5"/>
  <c r="Q39" i="5"/>
  <c r="R39" i="5"/>
  <c r="Q40" i="5"/>
  <c r="R40" i="5"/>
  <c r="Q41" i="5"/>
  <c r="R41" i="5"/>
  <c r="Q42" i="5"/>
  <c r="R42" i="5"/>
  <c r="Q43" i="5"/>
  <c r="R43" i="5"/>
  <c r="Q44" i="5"/>
  <c r="R44" i="5"/>
  <c r="Q45" i="5"/>
  <c r="R45" i="5"/>
  <c r="Q46" i="5"/>
  <c r="R46" i="5"/>
  <c r="Q47" i="5"/>
  <c r="R47" i="5"/>
  <c r="Q48" i="5"/>
  <c r="R48" i="5"/>
  <c r="Q49" i="5"/>
  <c r="R49" i="5"/>
  <c r="Q50" i="5"/>
  <c r="R50" i="5"/>
  <c r="Q51" i="5"/>
  <c r="R51" i="5"/>
  <c r="Q52" i="5"/>
  <c r="R52" i="5"/>
  <c r="Q53" i="5"/>
  <c r="R53" i="5"/>
  <c r="Q54" i="5"/>
  <c r="R54" i="5"/>
  <c r="Q55" i="5"/>
  <c r="R55" i="5"/>
  <c r="Q56" i="5"/>
  <c r="R56" i="5"/>
  <c r="Q57" i="5"/>
  <c r="R57" i="5"/>
  <c r="Q58" i="5"/>
  <c r="R58" i="5"/>
  <c r="Q59" i="5"/>
  <c r="R59" i="5"/>
  <c r="Q60" i="5"/>
  <c r="R60" i="5"/>
  <c r="Q61" i="5"/>
  <c r="R61" i="5"/>
  <c r="Q62" i="5"/>
  <c r="R62" i="5"/>
  <c r="Q63" i="5"/>
  <c r="R63" i="5"/>
  <c r="Q64" i="5"/>
  <c r="R64" i="5"/>
  <c r="Q65" i="5"/>
  <c r="R65" i="5"/>
  <c r="Q66" i="5"/>
  <c r="R66" i="5"/>
  <c r="Q67" i="5"/>
  <c r="R67" i="5"/>
  <c r="Q68" i="5"/>
  <c r="R68" i="5"/>
  <c r="Q69" i="5"/>
  <c r="R69" i="5"/>
  <c r="Q70" i="5"/>
  <c r="R70" i="5"/>
  <c r="Q71" i="5"/>
  <c r="R71" i="5"/>
  <c r="Q72" i="5"/>
  <c r="R72" i="5"/>
  <c r="Q73" i="5"/>
  <c r="R73" i="5"/>
  <c r="Q74" i="5"/>
  <c r="R74" i="5"/>
  <c r="Q75" i="5"/>
  <c r="R75" i="5"/>
  <c r="Q76" i="5"/>
  <c r="R76" i="5"/>
  <c r="Q77" i="5"/>
  <c r="R77" i="5"/>
  <c r="Q78" i="5"/>
  <c r="R78" i="5"/>
  <c r="Q79" i="5"/>
  <c r="R79" i="5"/>
  <c r="Q80" i="5"/>
  <c r="R80" i="5"/>
  <c r="Q81" i="5"/>
  <c r="R81" i="5"/>
  <c r="Q82" i="5"/>
  <c r="R82" i="5"/>
  <c r="Q83" i="5"/>
  <c r="R83" i="5"/>
  <c r="Q84" i="5"/>
  <c r="R84" i="5"/>
  <c r="Q85" i="5"/>
  <c r="R85" i="5"/>
  <c r="Q86" i="5"/>
  <c r="R86" i="5"/>
  <c r="Q87" i="5"/>
  <c r="R87" i="5"/>
  <c r="Q88" i="5"/>
  <c r="R88" i="5"/>
  <c r="Q89" i="5"/>
  <c r="R89" i="5"/>
  <c r="Q90" i="5"/>
  <c r="R90" i="5"/>
  <c r="Q91" i="5"/>
  <c r="R91" i="5"/>
  <c r="E93" i="5"/>
  <c r="F93" i="5"/>
  <c r="G93" i="5"/>
  <c r="H93" i="5"/>
  <c r="I93" i="5"/>
  <c r="J93" i="5"/>
  <c r="K93" i="5"/>
  <c r="L93" i="5"/>
  <c r="M93" i="5"/>
  <c r="N93" i="5"/>
  <c r="O93" i="5"/>
  <c r="P93" i="5"/>
  <c r="Q93" i="5"/>
  <c r="R93" i="5"/>
  <c r="S93" i="5"/>
  <c r="T93" i="5"/>
  <c r="U93" i="5"/>
  <c r="V93" i="5"/>
  <c r="F94" i="5"/>
  <c r="H94" i="5"/>
  <c r="J94" i="5"/>
  <c r="L94" i="5"/>
  <c r="N94" i="5"/>
  <c r="P94" i="5"/>
  <c r="R94" i="5"/>
  <c r="T94" i="5"/>
  <c r="V94" i="5"/>
  <c r="E96" i="5"/>
  <c r="F96" i="5"/>
  <c r="G96" i="5"/>
  <c r="I96" i="5"/>
  <c r="J96" i="5"/>
  <c r="K96" i="5"/>
  <c r="L96" i="5"/>
  <c r="M96" i="5"/>
  <c r="N96" i="5"/>
  <c r="O96" i="5"/>
  <c r="P96" i="5"/>
  <c r="Q96" i="5"/>
  <c r="R96" i="5"/>
  <c r="S96" i="5"/>
  <c r="T96" i="5"/>
  <c r="U96" i="5"/>
  <c r="V96" i="5"/>
  <c r="W96" i="5"/>
  <c r="T2" i="11"/>
  <c r="T3" i="11"/>
  <c r="E4" i="11"/>
  <c r="T4" i="11"/>
  <c r="E5" i="11"/>
  <c r="T5" i="11"/>
  <c r="E6" i="11"/>
  <c r="I6" i="11"/>
  <c r="L6" i="11"/>
  <c r="T6" i="11"/>
  <c r="E7" i="11"/>
  <c r="I7" i="11"/>
  <c r="L7" i="11"/>
  <c r="T7" i="11"/>
  <c r="BD7" i="11"/>
  <c r="BE7" i="11"/>
  <c r="C8" i="11"/>
  <c r="E8" i="11"/>
  <c r="I8" i="11"/>
  <c r="L8" i="11"/>
  <c r="T8" i="11"/>
  <c r="BD8" i="11"/>
  <c r="BE8" i="11"/>
  <c r="BL8" i="11"/>
  <c r="BM8" i="11"/>
  <c r="BN8" i="11"/>
  <c r="BO8" i="11"/>
  <c r="BP8" i="11"/>
  <c r="BQ8" i="11"/>
  <c r="E9" i="11"/>
  <c r="I9" i="11"/>
  <c r="L9" i="11"/>
  <c r="T9" i="11"/>
  <c r="BD9" i="11"/>
  <c r="BE9" i="11"/>
  <c r="BL9" i="11"/>
  <c r="BM9" i="11"/>
  <c r="BN9" i="11"/>
  <c r="BO9" i="11"/>
  <c r="BP9" i="11"/>
  <c r="BQ9" i="11"/>
  <c r="E10" i="11"/>
  <c r="I10" i="11"/>
  <c r="L10" i="11"/>
  <c r="V10" i="11"/>
  <c r="T10" i="11" s="1"/>
  <c r="W10" i="11"/>
  <c r="X10" i="11"/>
  <c r="Y10" i="11"/>
  <c r="BD10" i="11"/>
  <c r="BE10" i="11"/>
  <c r="BL10" i="11"/>
  <c r="BM10" i="11"/>
  <c r="BN10" i="11"/>
  <c r="BO10" i="11"/>
  <c r="BP10" i="11"/>
  <c r="BQ10" i="11"/>
  <c r="I11" i="11"/>
  <c r="L11" i="11"/>
  <c r="T11" i="11"/>
  <c r="BD11" i="11"/>
  <c r="BE11" i="11"/>
  <c r="BL11" i="11"/>
  <c r="BM11" i="11"/>
  <c r="BN11" i="11"/>
  <c r="BO11" i="11"/>
  <c r="BP11" i="11"/>
  <c r="BQ11" i="11"/>
  <c r="E12" i="11"/>
  <c r="I12" i="11"/>
  <c r="L12" i="11"/>
  <c r="T12" i="11"/>
  <c r="BD12" i="11"/>
  <c r="BE12" i="11"/>
  <c r="BL12" i="11"/>
  <c r="BM12" i="11"/>
  <c r="BN12" i="11"/>
  <c r="BO12" i="11"/>
  <c r="BP12" i="11"/>
  <c r="BQ12" i="11"/>
  <c r="E13" i="11"/>
  <c r="I13" i="11"/>
  <c r="L13" i="11"/>
  <c r="T13" i="11"/>
  <c r="BD13" i="11"/>
  <c r="BE13" i="11"/>
  <c r="I14" i="11"/>
  <c r="L14" i="11"/>
  <c r="T14" i="11"/>
  <c r="BD14" i="11"/>
  <c r="BE14" i="11"/>
  <c r="E15" i="11"/>
  <c r="I15" i="11"/>
  <c r="L15" i="11"/>
  <c r="T15" i="11"/>
  <c r="BD15" i="11"/>
  <c r="BE15" i="11"/>
  <c r="L16" i="11"/>
  <c r="T16" i="11"/>
  <c r="BD16" i="11"/>
  <c r="BE16" i="11"/>
  <c r="BL16" i="11"/>
  <c r="BM16" i="11"/>
  <c r="BN16" i="11"/>
  <c r="BO16" i="11"/>
  <c r="BP16" i="11"/>
  <c r="BQ16" i="11"/>
  <c r="L17" i="11"/>
  <c r="BD17" i="11"/>
  <c r="BE17" i="11"/>
  <c r="BL17" i="11"/>
  <c r="BM17" i="11"/>
  <c r="BN17" i="11"/>
  <c r="BO17" i="11"/>
  <c r="BP17" i="11"/>
  <c r="BQ17" i="11"/>
  <c r="L18" i="11"/>
  <c r="BD18" i="11"/>
  <c r="BE18" i="11"/>
  <c r="BL18" i="11"/>
  <c r="BM18" i="11"/>
  <c r="BN18" i="11"/>
  <c r="BO18" i="11"/>
  <c r="BP18" i="11"/>
  <c r="BQ18" i="11"/>
  <c r="BD19" i="11"/>
  <c r="BE19" i="11"/>
  <c r="BD20" i="11"/>
  <c r="BE20" i="11"/>
  <c r="BD21" i="11"/>
  <c r="BE21" i="11"/>
  <c r="BD22" i="11"/>
  <c r="BE22" i="11"/>
  <c r="BL22" i="11"/>
  <c r="BM22" i="11"/>
  <c r="BN22" i="11"/>
  <c r="BO22" i="11"/>
  <c r="BP22" i="11"/>
  <c r="BQ22" i="11"/>
  <c r="BD23" i="11"/>
  <c r="BE23" i="11"/>
  <c r="BL23" i="11"/>
  <c r="BM23" i="11"/>
  <c r="BN23" i="11"/>
  <c r="BO23" i="11"/>
  <c r="BP23" i="11"/>
  <c r="BQ23" i="11"/>
  <c r="BD24" i="11"/>
  <c r="BE24" i="11"/>
  <c r="BL24" i="11"/>
  <c r="BM24" i="11"/>
  <c r="BN24" i="11"/>
  <c r="BO24" i="11"/>
  <c r="BP24" i="11"/>
  <c r="BQ24" i="11"/>
  <c r="BD25" i="11"/>
  <c r="BE25" i="11"/>
  <c r="C26" i="11"/>
  <c r="BD26" i="11"/>
  <c r="BE26" i="11"/>
  <c r="C27" i="11"/>
  <c r="BD27" i="11"/>
  <c r="BE27" i="11"/>
  <c r="BL27" i="11"/>
  <c r="BM27" i="11"/>
  <c r="BN27" i="11"/>
  <c r="BO27" i="11"/>
  <c r="BP27" i="11"/>
  <c r="BQ27" i="11"/>
  <c r="C28" i="11"/>
  <c r="BD28" i="11"/>
  <c r="BE28" i="11"/>
  <c r="BD29" i="11"/>
  <c r="BE29" i="11"/>
  <c r="BL29" i="11"/>
  <c r="BM29" i="11"/>
  <c r="BN29" i="11"/>
  <c r="BO29" i="11"/>
  <c r="BP29" i="11"/>
  <c r="BQ29" i="11"/>
  <c r="BD30" i="11"/>
  <c r="BE30" i="11"/>
  <c r="BL30" i="11"/>
  <c r="BM30" i="11"/>
  <c r="BN30" i="11"/>
  <c r="BO30" i="11"/>
  <c r="BP30" i="11"/>
  <c r="BQ30" i="11"/>
  <c r="BD31" i="11"/>
  <c r="BE31" i="11"/>
  <c r="BL31" i="11"/>
  <c r="BM31" i="11"/>
  <c r="BN31" i="11"/>
  <c r="BO31" i="11"/>
  <c r="BP31" i="11"/>
  <c r="BQ31" i="11"/>
  <c r="BD32" i="11"/>
  <c r="BA5" i="11" s="1"/>
  <c r="BA33" i="11"/>
  <c r="D39" i="11"/>
  <c r="G40" i="1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F14" i="1"/>
  <c r="BF15" i="1"/>
  <c r="BF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F17" i="1"/>
  <c r="BF18" i="1"/>
  <c r="BF19" i="1"/>
  <c r="BF20" i="1"/>
  <c r="BF21" i="1"/>
  <c r="BF22" i="1"/>
  <c r="BF23" i="1"/>
  <c r="BF24" i="1"/>
  <c r="BF25" i="1"/>
  <c r="BF26"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F27" i="1"/>
  <c r="BF28" i="1"/>
  <c r="BF32" i="1"/>
  <c r="BF33" i="1"/>
  <c r="BF34" i="1"/>
  <c r="BF35" i="1"/>
  <c r="BF36" i="1"/>
  <c r="BF37" i="1"/>
  <c r="BF38" i="1"/>
  <c r="BF39" i="1"/>
  <c r="BF40" i="1"/>
  <c r="BF41" i="1"/>
  <c r="BF42" i="1"/>
  <c r="BF46" i="1"/>
  <c r="BF47"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F48" i="1"/>
  <c r="BF49" i="1"/>
  <c r="BF50" i="1"/>
  <c r="BF51" i="1"/>
  <c r="BF52" i="1"/>
  <c r="BF53" i="1"/>
  <c r="BF54" i="1"/>
  <c r="BF55" i="1"/>
  <c r="BF56" i="1"/>
  <c r="BF57" i="1"/>
  <c r="BF58" i="1"/>
  <c r="BF59" i="1"/>
  <c r="BF60" i="1"/>
  <c r="BF61" i="1"/>
  <c r="BF62"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F63" i="1"/>
  <c r="BF64" i="1"/>
  <c r="BF65" i="1"/>
  <c r="BF66" i="1"/>
  <c r="BF67" i="1"/>
  <c r="BF68" i="1"/>
  <c r="BF69" i="1"/>
  <c r="BF70" i="1"/>
  <c r="BF71" i="1"/>
  <c r="BF72" i="1"/>
  <c r="BF73" i="1"/>
  <c r="BF74" i="1"/>
  <c r="BF75" i="1"/>
  <c r="BF76" i="1"/>
  <c r="BF77" i="1"/>
  <c r="BF78" i="1"/>
  <c r="BF79" i="1"/>
  <c r="BF80" i="1"/>
  <c r="BF81" i="1"/>
  <c r="E82" i="1"/>
  <c r="F82" i="1"/>
  <c r="G82" i="1"/>
  <c r="H82" i="1"/>
  <c r="I82" i="1"/>
  <c r="J82" i="1"/>
  <c r="K82" i="1"/>
  <c r="L82" i="1"/>
  <c r="M82" i="1"/>
  <c r="N82" i="1"/>
  <c r="O82" i="1"/>
  <c r="P82" i="1"/>
  <c r="Q82" i="1"/>
  <c r="R82" i="1"/>
  <c r="S82" i="1"/>
  <c r="T82" i="1"/>
  <c r="U82" i="1"/>
  <c r="V82" i="1"/>
  <c r="W82" i="1"/>
  <c r="X82" i="1"/>
  <c r="Y82" i="1"/>
  <c r="Z82" i="1"/>
  <c r="AA82" i="1"/>
  <c r="AB82" i="1"/>
  <c r="AC82" i="1"/>
  <c r="AE82" i="1"/>
  <c r="AF82" i="1"/>
  <c r="AG82" i="1"/>
  <c r="AH82" i="1"/>
  <c r="AI82" i="1"/>
  <c r="AK82" i="1"/>
  <c r="AL82" i="1"/>
  <c r="AM82" i="1"/>
  <c r="AN82" i="1"/>
  <c r="AO82" i="1"/>
  <c r="AP82" i="1"/>
  <c r="AQ82" i="1"/>
  <c r="AR82" i="1"/>
  <c r="AS82" i="1"/>
  <c r="AT82" i="1"/>
  <c r="AU82" i="1"/>
  <c r="AV82" i="1"/>
  <c r="AW82" i="1"/>
  <c r="AX82" i="1"/>
  <c r="AY82" i="1"/>
  <c r="AZ82" i="1"/>
  <c r="BA82" i="1"/>
  <c r="BB82" i="1"/>
  <c r="BC82" i="1"/>
  <c r="BD82" i="1"/>
  <c r="BF82" i="1"/>
  <c r="BF83" i="1"/>
  <c r="BF84" i="1"/>
  <c r="BF85" i="1"/>
  <c r="BF86"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F113"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A134" i="1"/>
  <c r="E137" i="1"/>
  <c r="F137" i="1"/>
  <c r="G137" i="1"/>
  <c r="H137" i="1"/>
  <c r="I137" i="1"/>
  <c r="J137" i="1"/>
  <c r="K137" i="1"/>
  <c r="L137" i="1"/>
  <c r="M137" i="1"/>
  <c r="N137" i="1"/>
  <c r="O137" i="1"/>
  <c r="P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E139" i="1"/>
  <c r="F139" i="1"/>
  <c r="G139" i="1"/>
  <c r="H139" i="1"/>
  <c r="I139" i="1"/>
  <c r="J139" i="1"/>
  <c r="K139" i="1"/>
  <c r="L139" i="1"/>
  <c r="M139" i="1"/>
  <c r="N139" i="1"/>
  <c r="O139" i="1"/>
  <c r="P139" i="1"/>
  <c r="Q139"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AW139" i="1"/>
  <c r="AX139" i="1"/>
  <c r="AY139" i="1"/>
  <c r="AZ139" i="1"/>
  <c r="BA139" i="1"/>
  <c r="BB139" i="1"/>
  <c r="BC139" i="1"/>
  <c r="BD139" i="1"/>
  <c r="BF143" i="1"/>
  <c r="BF144" i="1"/>
  <c r="BF145" i="1"/>
  <c r="E146" i="1"/>
  <c r="F146"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F146" i="1"/>
  <c r="BF147" i="1"/>
  <c r="BF148" i="1"/>
  <c r="BF149"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AW150" i="1"/>
  <c r="AX150" i="1"/>
  <c r="AY150" i="1"/>
  <c r="AZ150" i="1"/>
  <c r="BA150" i="1"/>
  <c r="BB150" i="1"/>
  <c r="BC150" i="1"/>
  <c r="BD150" i="1"/>
  <c r="BF150" i="1"/>
  <c r="E151" i="1"/>
  <c r="F151" i="1"/>
  <c r="G151" i="1"/>
  <c r="H151" i="1"/>
  <c r="I151" i="1"/>
  <c r="J151" i="1"/>
  <c r="K151" i="1"/>
  <c r="L151" i="1"/>
  <c r="M151" i="1"/>
  <c r="N151" i="1"/>
  <c r="O151" i="1"/>
  <c r="P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F151" i="1"/>
  <c r="BF152" i="1"/>
  <c r="BF153" i="1"/>
  <c r="BF154" i="1"/>
  <c r="BF155" i="1"/>
  <c r="BF156" i="1"/>
  <c r="BF157" i="1"/>
  <c r="BF158" i="1"/>
  <c r="BF159" i="1"/>
  <c r="E160" i="1"/>
  <c r="F160" i="1"/>
  <c r="G160" i="1"/>
  <c r="H160" i="1"/>
  <c r="I160" i="1"/>
  <c r="J160" i="1"/>
  <c r="K160" i="1"/>
  <c r="L160" i="1"/>
  <c r="M160" i="1"/>
  <c r="N160" i="1"/>
  <c r="O160" i="1"/>
  <c r="P160" i="1"/>
  <c r="Q160" i="1"/>
  <c r="R160" i="1"/>
  <c r="S160" i="1"/>
  <c r="T160" i="1"/>
  <c r="U160" i="1"/>
  <c r="V160" i="1"/>
  <c r="W160" i="1"/>
  <c r="X160" i="1"/>
  <c r="Y160" i="1"/>
  <c r="Z160" i="1"/>
  <c r="AA160" i="1"/>
  <c r="AB160" i="1"/>
  <c r="AC160" i="1"/>
  <c r="AD160" i="1"/>
  <c r="AE160" i="1"/>
  <c r="AF160" i="1"/>
  <c r="AG160" i="1"/>
  <c r="AH160" i="1"/>
  <c r="AJ160" i="1"/>
  <c r="AK160" i="1"/>
  <c r="AL160" i="1"/>
  <c r="AM160" i="1"/>
  <c r="AN160" i="1"/>
  <c r="AO160" i="1"/>
  <c r="AP160" i="1"/>
  <c r="AQ160" i="1"/>
  <c r="AR160" i="1"/>
  <c r="AS160" i="1"/>
  <c r="AT160" i="1"/>
  <c r="AU160" i="1"/>
  <c r="AV160" i="1"/>
  <c r="AW160" i="1"/>
  <c r="AX160" i="1"/>
  <c r="AY160" i="1"/>
  <c r="AZ160" i="1"/>
  <c r="BA160" i="1"/>
  <c r="BB160" i="1"/>
  <c r="BC160" i="1"/>
  <c r="BD160" i="1"/>
  <c r="BF160" i="1"/>
  <c r="E161" i="1"/>
  <c r="F161" i="1"/>
  <c r="G161" i="1"/>
  <c r="H161" i="1"/>
  <c r="I161" i="1"/>
  <c r="J161" i="1"/>
  <c r="K161" i="1"/>
  <c r="L161" i="1"/>
  <c r="M161" i="1"/>
  <c r="N161" i="1"/>
  <c r="O161" i="1"/>
  <c r="P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AW161" i="1"/>
  <c r="AX161" i="1"/>
  <c r="AY161" i="1"/>
  <c r="AZ161" i="1"/>
  <c r="BA161" i="1"/>
  <c r="BB161" i="1"/>
  <c r="BC161" i="1"/>
  <c r="BD161" i="1"/>
  <c r="BF161" i="1"/>
  <c r="E162" i="1"/>
  <c r="F162" i="1"/>
  <c r="G162" i="1"/>
  <c r="H162" i="1"/>
  <c r="I162" i="1"/>
  <c r="J162" i="1"/>
  <c r="K162" i="1"/>
  <c r="L162" i="1"/>
  <c r="M162" i="1"/>
  <c r="N162" i="1"/>
  <c r="O162" i="1"/>
  <c r="P162" i="1"/>
  <c r="Q162"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AW162" i="1"/>
  <c r="AX162" i="1"/>
  <c r="AY162" i="1"/>
  <c r="AZ162" i="1"/>
  <c r="BA162" i="1"/>
  <c r="BB162" i="1"/>
  <c r="BC162" i="1"/>
  <c r="BD162"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E185" i="1"/>
  <c r="F185"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F185" i="1"/>
  <c r="BF186" i="1"/>
  <c r="BF187" i="1"/>
  <c r="BF188" i="1"/>
  <c r="BF189" i="1"/>
  <c r="BF190" i="1"/>
  <c r="BF191" i="1"/>
  <c r="BF192"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F193" i="1"/>
  <c r="BF194" i="1"/>
  <c r="BF195" i="1"/>
  <c r="BF196" i="1"/>
  <c r="BF197" i="1"/>
  <c r="BF198" i="1"/>
  <c r="BF199" i="1"/>
  <c r="BF200" i="1"/>
  <c r="BF201" i="1"/>
  <c r="BF202" i="1"/>
  <c r="BF203" i="1"/>
  <c r="BF204" i="1"/>
  <c r="BF205" i="1"/>
  <c r="BF206" i="1"/>
  <c r="E207" i="1"/>
  <c r="F207" i="1"/>
  <c r="G207" i="1"/>
  <c r="H207" i="1"/>
  <c r="I207" i="1"/>
  <c r="J207" i="1"/>
  <c r="K207" i="1"/>
  <c r="L207" i="1"/>
  <c r="M207" i="1"/>
  <c r="N207" i="1"/>
  <c r="O207" i="1"/>
  <c r="P207" i="1"/>
  <c r="Q207"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AW207" i="1"/>
  <c r="AX207" i="1"/>
  <c r="AY207" i="1"/>
  <c r="AZ207" i="1"/>
  <c r="BA207" i="1"/>
  <c r="BB207" i="1"/>
  <c r="BC207" i="1"/>
  <c r="BD207" i="1"/>
  <c r="BF207" i="1"/>
  <c r="E208" i="1"/>
  <c r="F208" i="1"/>
  <c r="G208" i="1"/>
  <c r="H208" i="1"/>
  <c r="I208" i="1"/>
  <c r="J208" i="1"/>
  <c r="K208" i="1"/>
  <c r="L208" i="1"/>
  <c r="M208" i="1"/>
  <c r="N208" i="1"/>
  <c r="O208" i="1"/>
  <c r="P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AW208" i="1"/>
  <c r="AX208" i="1"/>
  <c r="AY208" i="1"/>
  <c r="AZ208" i="1"/>
  <c r="BA208" i="1"/>
  <c r="BB208" i="1"/>
  <c r="BC208" i="1"/>
  <c r="BD208" i="1"/>
  <c r="BF208" i="1"/>
  <c r="E209"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F209" i="1"/>
  <c r="BF210" i="1"/>
  <c r="E211" i="1"/>
  <c r="F211"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F211" i="1"/>
  <c r="BF212" i="1"/>
  <c r="BF213" i="1"/>
  <c r="BF214" i="1"/>
  <c r="BF215" i="1"/>
  <c r="BF216" i="1"/>
  <c r="E231" i="1"/>
  <c r="F231" i="1"/>
  <c r="G231" i="1"/>
  <c r="H231" i="1"/>
  <c r="I231" i="1"/>
  <c r="J231" i="1"/>
  <c r="K231" i="1"/>
  <c r="L231" i="1"/>
  <c r="M231" i="1"/>
  <c r="N231" i="1"/>
  <c r="O231" i="1"/>
  <c r="P231" i="1"/>
  <c r="Q231" i="1"/>
  <c r="R231" i="1"/>
  <c r="S231" i="1"/>
  <c r="T231" i="1"/>
  <c r="U231" i="1"/>
  <c r="V231" i="1"/>
  <c r="W231" i="1"/>
  <c r="X231" i="1"/>
  <c r="Y231" i="1"/>
  <c r="Z231" i="1"/>
  <c r="AA231" i="1"/>
  <c r="AB231" i="1"/>
  <c r="AC231" i="1"/>
  <c r="AE231" i="1"/>
  <c r="AF231" i="1"/>
  <c r="AG231" i="1"/>
  <c r="AH231" i="1"/>
  <c r="AI231" i="1"/>
  <c r="AK231" i="1"/>
  <c r="AL231" i="1"/>
  <c r="AM231" i="1"/>
  <c r="AN231" i="1"/>
  <c r="AO231" i="1"/>
  <c r="AP231" i="1"/>
  <c r="AQ231" i="1"/>
  <c r="AR231" i="1"/>
  <c r="AS231" i="1"/>
  <c r="AT231" i="1"/>
  <c r="AU231" i="1"/>
  <c r="AV231" i="1"/>
  <c r="AW231" i="1"/>
  <c r="AX231" i="1"/>
  <c r="AY231" i="1"/>
  <c r="AZ231" i="1"/>
  <c r="BA231" i="1"/>
  <c r="BB231" i="1"/>
  <c r="BC231" i="1"/>
  <c r="BD231" i="1"/>
  <c r="BF231" i="1"/>
  <c r="BF232" i="1"/>
  <c r="BF233" i="1"/>
  <c r="BF234" i="1"/>
  <c r="BF235" i="1"/>
  <c r="E238" i="1"/>
  <c r="F238" i="1"/>
  <c r="G238" i="1"/>
  <c r="H238" i="1"/>
  <c r="I238" i="1"/>
  <c r="J238" i="1"/>
  <c r="K238" i="1"/>
  <c r="L238" i="1"/>
  <c r="M238" i="1"/>
  <c r="N238" i="1"/>
  <c r="O238" i="1"/>
  <c r="P238" i="1"/>
  <c r="Q238" i="1"/>
  <c r="R238" i="1"/>
  <c r="S238" i="1"/>
  <c r="T238" i="1"/>
  <c r="U238" i="1"/>
  <c r="V238" i="1"/>
  <c r="W238" i="1"/>
  <c r="X238" i="1"/>
  <c r="Y238" i="1"/>
  <c r="Z238" i="1"/>
  <c r="AA238" i="1"/>
  <c r="AB238" i="1"/>
  <c r="AC238" i="1"/>
  <c r="AE238" i="1"/>
  <c r="AF238" i="1"/>
  <c r="AG238" i="1"/>
  <c r="AH238" i="1"/>
  <c r="AI238" i="1"/>
  <c r="AJ238" i="1"/>
  <c r="AK238" i="1"/>
  <c r="AL238" i="1"/>
  <c r="AM238" i="1"/>
  <c r="AN238" i="1"/>
  <c r="AO238" i="1"/>
  <c r="AP238" i="1"/>
  <c r="AQ238" i="1"/>
  <c r="AR238" i="1"/>
  <c r="AS238" i="1"/>
  <c r="AT238" i="1"/>
  <c r="AU238" i="1"/>
  <c r="AV238" i="1"/>
  <c r="AW238" i="1"/>
  <c r="AX238" i="1"/>
  <c r="AY238" i="1"/>
  <c r="AZ238" i="1"/>
  <c r="BA238" i="1"/>
  <c r="BB238" i="1"/>
  <c r="BC238" i="1"/>
  <c r="BD238" i="1"/>
  <c r="BF238" i="1"/>
  <c r="BF239" i="1"/>
  <c r="BF240" i="1"/>
  <c r="BF241" i="1"/>
  <c r="BF242" i="1"/>
  <c r="E245" i="1"/>
  <c r="F245" i="1"/>
  <c r="G245" i="1"/>
  <c r="H245" i="1"/>
  <c r="I245" i="1"/>
  <c r="J245" i="1"/>
  <c r="K245" i="1"/>
  <c r="L245" i="1"/>
  <c r="M245" i="1"/>
  <c r="N245" i="1"/>
  <c r="O245" i="1"/>
  <c r="P245" i="1"/>
  <c r="Q245" i="1"/>
  <c r="R245" i="1"/>
  <c r="S245" i="1"/>
  <c r="T245" i="1"/>
  <c r="U245" i="1"/>
  <c r="V245" i="1"/>
  <c r="W245" i="1"/>
  <c r="X245" i="1"/>
  <c r="Y245" i="1"/>
  <c r="Z245" i="1"/>
  <c r="AA245" i="1"/>
  <c r="AB245" i="1"/>
  <c r="AC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F245" i="1"/>
  <c r="BF246" i="1"/>
  <c r="BF247" i="1"/>
  <c r="BF248" i="1"/>
  <c r="BF249" i="1"/>
  <c r="E273" i="1"/>
  <c r="F273" i="1"/>
  <c r="G273" i="1"/>
  <c r="H273" i="1"/>
  <c r="I273" i="1"/>
  <c r="J273" i="1"/>
  <c r="K273" i="1"/>
  <c r="L273" i="1"/>
  <c r="M273" i="1"/>
  <c r="N273" i="1"/>
  <c r="O273" i="1"/>
  <c r="P273" i="1"/>
  <c r="Q273"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AW273" i="1"/>
  <c r="AX273" i="1"/>
  <c r="AY273" i="1"/>
  <c r="AZ273" i="1"/>
  <c r="BA273" i="1"/>
  <c r="BB273" i="1"/>
  <c r="BC273" i="1"/>
  <c r="BD273" i="1"/>
  <c r="BF273" i="1"/>
  <c r="E275" i="1"/>
  <c r="F275" i="1"/>
  <c r="G275" i="1"/>
  <c r="H275" i="1"/>
  <c r="I275" i="1"/>
  <c r="J275" i="1"/>
  <c r="K275" i="1"/>
  <c r="L275" i="1"/>
  <c r="M275" i="1"/>
  <c r="N275" i="1"/>
  <c r="O275" i="1"/>
  <c r="P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F275" i="1"/>
  <c r="E277" i="1"/>
  <c r="F277" i="1"/>
  <c r="G277" i="1"/>
  <c r="H277" i="1"/>
  <c r="I277" i="1"/>
  <c r="J277" i="1"/>
  <c r="K277" i="1"/>
  <c r="L277" i="1"/>
  <c r="M277" i="1"/>
  <c r="N277" i="1"/>
  <c r="O277" i="1"/>
  <c r="P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AW277" i="1"/>
  <c r="AX277" i="1"/>
  <c r="AY277" i="1"/>
  <c r="AZ277" i="1"/>
  <c r="BA277" i="1"/>
  <c r="BB277" i="1"/>
  <c r="BC277" i="1"/>
  <c r="BD277" i="1"/>
  <c r="BF277" i="1"/>
  <c r="E279" i="1"/>
  <c r="F279" i="1"/>
  <c r="G279" i="1"/>
  <c r="H279" i="1"/>
  <c r="I279" i="1"/>
  <c r="J279" i="1"/>
  <c r="K279" i="1"/>
  <c r="L279" i="1"/>
  <c r="M279" i="1"/>
  <c r="N279" i="1"/>
  <c r="O279" i="1"/>
  <c r="P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AW279" i="1"/>
  <c r="AX279" i="1"/>
  <c r="AY279" i="1"/>
  <c r="AZ279" i="1"/>
  <c r="BA279" i="1"/>
  <c r="BB279" i="1"/>
  <c r="BC279" i="1"/>
  <c r="BD279" i="1"/>
  <c r="BF279" i="1"/>
  <c r="E281" i="1"/>
  <c r="F281" i="1"/>
  <c r="G281" i="1"/>
  <c r="H281" i="1"/>
  <c r="I281" i="1"/>
  <c r="J281" i="1"/>
  <c r="K281" i="1"/>
  <c r="L281" i="1"/>
  <c r="M281" i="1"/>
  <c r="N281" i="1"/>
  <c r="O281" i="1"/>
  <c r="P281" i="1"/>
  <c r="Q281"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AW281" i="1"/>
  <c r="AX281" i="1"/>
  <c r="AY281" i="1"/>
  <c r="AZ281" i="1"/>
  <c r="BA281" i="1"/>
  <c r="BB281" i="1"/>
  <c r="BC281" i="1"/>
  <c r="BD281" i="1"/>
  <c r="BF281" i="1"/>
  <c r="E284" i="1"/>
  <c r="F284" i="1"/>
  <c r="G284" i="1"/>
  <c r="H284" i="1"/>
  <c r="I284" i="1"/>
  <c r="J284" i="1"/>
  <c r="K284" i="1"/>
  <c r="L284" i="1"/>
  <c r="M284" i="1"/>
  <c r="N284" i="1"/>
  <c r="O284" i="1"/>
  <c r="P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AW284" i="1"/>
  <c r="AX284" i="1"/>
  <c r="AY284" i="1"/>
  <c r="AZ284" i="1"/>
  <c r="BA284" i="1"/>
  <c r="BB284" i="1"/>
  <c r="BC284" i="1"/>
  <c r="BD284" i="1"/>
  <c r="BF284" i="1"/>
  <c r="E289" i="1"/>
  <c r="F289" i="1"/>
  <c r="G289" i="1"/>
  <c r="H289" i="1"/>
  <c r="I289" i="1"/>
  <c r="J289" i="1"/>
  <c r="K289" i="1"/>
  <c r="L289" i="1"/>
  <c r="M289" i="1"/>
  <c r="N289" i="1"/>
  <c r="O289" i="1"/>
  <c r="P289" i="1"/>
  <c r="Q289"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AW289" i="1"/>
  <c r="AX289" i="1"/>
  <c r="AY289" i="1"/>
  <c r="AZ289" i="1"/>
  <c r="BA289" i="1"/>
  <c r="BB289" i="1"/>
  <c r="BC289" i="1"/>
  <c r="BD289" i="1"/>
  <c r="BF289"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F291" i="1"/>
  <c r="E293" i="1"/>
  <c r="F293" i="1"/>
  <c r="G293" i="1"/>
  <c r="H293" i="1"/>
  <c r="I293" i="1"/>
  <c r="J293" i="1"/>
  <c r="K293" i="1"/>
  <c r="L293" i="1"/>
  <c r="M293" i="1"/>
  <c r="N293" i="1"/>
  <c r="O293" i="1"/>
  <c r="P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AW293" i="1"/>
  <c r="AX293" i="1"/>
  <c r="AY293" i="1"/>
  <c r="AZ293" i="1"/>
  <c r="BA293" i="1"/>
  <c r="BB293" i="1"/>
  <c r="BC293" i="1"/>
  <c r="BD293" i="1"/>
  <c r="BF293"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F295" i="1"/>
  <c r="E297" i="1"/>
  <c r="F297" i="1"/>
  <c r="G297" i="1"/>
  <c r="H297" i="1"/>
  <c r="I297" i="1"/>
  <c r="J297" i="1"/>
  <c r="K297" i="1"/>
  <c r="L297" i="1"/>
  <c r="M297" i="1"/>
  <c r="N297" i="1"/>
  <c r="O297" i="1"/>
  <c r="P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F297"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F300" i="1"/>
  <c r="BF302" i="1"/>
  <c r="E304" i="1"/>
  <c r="F304"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E305" i="1"/>
  <c r="F305" i="1"/>
  <c r="G305" i="1"/>
  <c r="H305" i="1"/>
  <c r="I305" i="1"/>
  <c r="J305" i="1"/>
  <c r="K305" i="1"/>
  <c r="L305" i="1"/>
  <c r="M305" i="1"/>
  <c r="N305" i="1"/>
  <c r="O305" i="1"/>
  <c r="P305" i="1"/>
  <c r="Q305"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AW305" i="1"/>
  <c r="AX305" i="1"/>
  <c r="AY305" i="1"/>
  <c r="AZ305" i="1"/>
  <c r="BA305" i="1"/>
  <c r="BB305" i="1"/>
  <c r="BC305" i="1"/>
  <c r="BD305"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AW307" i="1"/>
  <c r="AX307" i="1"/>
  <c r="AY307" i="1"/>
  <c r="AZ307" i="1"/>
  <c r="BA307" i="1"/>
  <c r="BB307" i="1"/>
  <c r="BC307" i="1"/>
  <c r="BD307"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AW308" i="1"/>
  <c r="AX308" i="1"/>
  <c r="AY308" i="1"/>
  <c r="AZ308" i="1"/>
  <c r="BA308" i="1"/>
  <c r="BB308" i="1"/>
  <c r="BC308" i="1"/>
  <c r="BD308" i="1"/>
  <c r="E309" i="1"/>
  <c r="F309" i="1"/>
  <c r="G309" i="1"/>
  <c r="H309" i="1"/>
  <c r="I309" i="1"/>
  <c r="J309" i="1"/>
  <c r="K309" i="1"/>
  <c r="L309" i="1"/>
  <c r="M309" i="1"/>
  <c r="N309" i="1"/>
  <c r="O309" i="1"/>
  <c r="P309" i="1"/>
  <c r="Q309"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AW309" i="1"/>
  <c r="AX309" i="1"/>
  <c r="AY309" i="1"/>
  <c r="AZ309" i="1"/>
  <c r="BA309" i="1"/>
  <c r="BB309" i="1"/>
  <c r="BC309" i="1"/>
  <c r="BD309" i="1"/>
  <c r="E310" i="1"/>
  <c r="F310" i="1"/>
  <c r="G310" i="1"/>
  <c r="H310" i="1"/>
  <c r="I310" i="1"/>
  <c r="J310" i="1"/>
  <c r="K310" i="1"/>
  <c r="L310" i="1"/>
  <c r="M310" i="1"/>
  <c r="N310" i="1"/>
  <c r="O310" i="1"/>
  <c r="P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AW310" i="1"/>
  <c r="AX310" i="1"/>
  <c r="AY310" i="1"/>
  <c r="AZ310" i="1"/>
  <c r="BA310" i="1"/>
  <c r="BB310" i="1"/>
  <c r="BC310" i="1"/>
  <c r="BD310" i="1"/>
  <c r="E311" i="1"/>
  <c r="F311" i="1"/>
  <c r="G311" i="1"/>
  <c r="H311" i="1"/>
  <c r="I311" i="1"/>
  <c r="J311" i="1"/>
  <c r="K311" i="1"/>
  <c r="L311" i="1"/>
  <c r="M311" i="1"/>
  <c r="N311" i="1"/>
  <c r="O311" i="1"/>
  <c r="P311" i="1"/>
  <c r="Q311"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AW311" i="1"/>
  <c r="AX311" i="1"/>
  <c r="AY311" i="1"/>
  <c r="AZ311" i="1"/>
  <c r="BA311" i="1"/>
  <c r="BB311" i="1"/>
  <c r="BC311" i="1"/>
  <c r="BD311" i="1"/>
  <c r="E312" i="1"/>
  <c r="F312" i="1"/>
  <c r="G312" i="1"/>
  <c r="H312" i="1"/>
  <c r="I312" i="1"/>
  <c r="J312" i="1"/>
  <c r="K312" i="1"/>
  <c r="L312" i="1"/>
  <c r="M312" i="1"/>
  <c r="N312" i="1"/>
  <c r="O312" i="1"/>
  <c r="P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AW312" i="1"/>
  <c r="AX312" i="1"/>
  <c r="AY312" i="1"/>
  <c r="AZ312" i="1"/>
  <c r="BA312" i="1"/>
  <c r="BB312" i="1"/>
  <c r="BC312" i="1"/>
  <c r="BD312" i="1"/>
  <c r="E313" i="1"/>
  <c r="F313" i="1"/>
  <c r="G313" i="1"/>
  <c r="H313" i="1"/>
  <c r="I313" i="1"/>
  <c r="J313" i="1"/>
  <c r="K313" i="1"/>
  <c r="L313" i="1"/>
  <c r="M313" i="1"/>
  <c r="N313" i="1"/>
  <c r="O313" i="1"/>
  <c r="P313" i="1"/>
  <c r="Q313"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AW313" i="1"/>
  <c r="AX313" i="1"/>
  <c r="AY313" i="1"/>
  <c r="AZ313" i="1"/>
  <c r="BA313" i="1"/>
  <c r="BB313" i="1"/>
  <c r="BC313" i="1"/>
  <c r="BD313"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AW319" i="1"/>
  <c r="AX319" i="1"/>
  <c r="AY319" i="1"/>
  <c r="AZ319" i="1"/>
  <c r="BA319" i="1"/>
  <c r="BB319" i="1"/>
  <c r="BC319" i="1"/>
  <c r="BD319" i="1"/>
  <c r="E321" i="1"/>
  <c r="F321" i="1"/>
  <c r="G321" i="1"/>
  <c r="H321" i="1"/>
  <c r="I321" i="1"/>
  <c r="J321" i="1"/>
  <c r="K321" i="1"/>
  <c r="L321" i="1"/>
  <c r="M321" i="1"/>
  <c r="N321" i="1"/>
  <c r="O321" i="1"/>
  <c r="P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AW321" i="1"/>
  <c r="AX321" i="1"/>
  <c r="AY321" i="1"/>
  <c r="AZ321" i="1"/>
  <c r="BA321" i="1"/>
  <c r="BB321" i="1"/>
  <c r="BC321" i="1"/>
  <c r="BD321"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AW323" i="1"/>
  <c r="AX323" i="1"/>
  <c r="AY323" i="1"/>
  <c r="AZ323" i="1"/>
  <c r="BA323" i="1"/>
  <c r="BB323" i="1"/>
  <c r="BC323" i="1"/>
  <c r="BD323"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AW325" i="1"/>
  <c r="AX325" i="1"/>
  <c r="AY325" i="1"/>
  <c r="AZ325" i="1"/>
  <c r="BA325" i="1"/>
  <c r="BB325" i="1"/>
  <c r="BC325" i="1"/>
  <c r="BD325" i="1"/>
  <c r="BF325" i="1"/>
  <c r="E327" i="1"/>
  <c r="F327" i="1"/>
  <c r="G327" i="1"/>
  <c r="H327" i="1"/>
  <c r="I327" i="1"/>
  <c r="J327" i="1"/>
  <c r="K327" i="1"/>
  <c r="L327" i="1"/>
  <c r="M327" i="1"/>
  <c r="N327" i="1"/>
  <c r="O327" i="1"/>
  <c r="P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AW327" i="1"/>
  <c r="AX327" i="1"/>
  <c r="AY327" i="1"/>
  <c r="AZ327" i="1"/>
  <c r="BA327" i="1"/>
  <c r="BB327" i="1"/>
  <c r="BC327" i="1"/>
  <c r="BD327" i="1"/>
  <c r="E330" i="1"/>
  <c r="F330" i="1"/>
  <c r="G330" i="1"/>
  <c r="H330" i="1"/>
  <c r="I330" i="1"/>
  <c r="J330" i="1"/>
  <c r="K330" i="1"/>
  <c r="L330" i="1"/>
  <c r="M330" i="1"/>
  <c r="N330" i="1"/>
  <c r="O330" i="1"/>
  <c r="P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AW330" i="1"/>
  <c r="AX330" i="1"/>
  <c r="AY330" i="1"/>
  <c r="AZ330" i="1"/>
  <c r="BA330" i="1"/>
  <c r="BB330" i="1"/>
  <c r="BC330" i="1"/>
  <c r="BD330" i="1"/>
  <c r="E336" i="1"/>
  <c r="F336" i="1"/>
  <c r="G336" i="1"/>
  <c r="H336" i="1"/>
  <c r="I336" i="1"/>
  <c r="J336" i="1"/>
  <c r="K336" i="1"/>
  <c r="L336" i="1"/>
  <c r="M336" i="1"/>
  <c r="N336" i="1"/>
  <c r="O336" i="1"/>
  <c r="P336" i="1"/>
  <c r="Q336"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AW336" i="1"/>
  <c r="AX336" i="1"/>
  <c r="AY336" i="1"/>
  <c r="AZ336" i="1"/>
  <c r="BA336" i="1"/>
  <c r="BB336" i="1"/>
  <c r="BC336" i="1"/>
  <c r="BD336" i="1"/>
  <c r="E338" i="1"/>
  <c r="F338" i="1"/>
  <c r="G338" i="1"/>
  <c r="H338" i="1"/>
  <c r="I338" i="1"/>
  <c r="J338" i="1"/>
  <c r="K338" i="1"/>
  <c r="L338" i="1"/>
  <c r="M338" i="1"/>
  <c r="N338" i="1"/>
  <c r="O338" i="1"/>
  <c r="P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E340" i="1"/>
  <c r="F340" i="1"/>
  <c r="G340" i="1"/>
  <c r="H340" i="1"/>
  <c r="I340" i="1"/>
  <c r="J340" i="1"/>
  <c r="K340" i="1"/>
  <c r="L340" i="1"/>
  <c r="M340" i="1"/>
  <c r="N340" i="1"/>
  <c r="O340" i="1"/>
  <c r="P340" i="1"/>
  <c r="Q340"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AW340" i="1"/>
  <c r="AX340" i="1"/>
  <c r="AY340" i="1"/>
  <c r="AZ340" i="1"/>
  <c r="BA340" i="1"/>
  <c r="BB340" i="1"/>
  <c r="BC340" i="1"/>
  <c r="BD340" i="1"/>
  <c r="E342" i="1"/>
  <c r="F342" i="1"/>
  <c r="G342" i="1"/>
  <c r="H342" i="1"/>
  <c r="I342" i="1"/>
  <c r="J342" i="1"/>
  <c r="K342" i="1"/>
  <c r="L342" i="1"/>
  <c r="M342" i="1"/>
  <c r="N342" i="1"/>
  <c r="O342" i="1"/>
  <c r="P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AW342" i="1"/>
  <c r="AX342" i="1"/>
  <c r="AY342" i="1"/>
  <c r="AZ342" i="1"/>
  <c r="BA342" i="1"/>
  <c r="BB342" i="1"/>
  <c r="BC342" i="1"/>
  <c r="BD342" i="1"/>
  <c r="BF342" i="1"/>
  <c r="E344" i="1"/>
  <c r="F344"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E347" i="1"/>
  <c r="F347" i="1"/>
  <c r="G347" i="1"/>
  <c r="H347" i="1"/>
  <c r="I347" i="1"/>
  <c r="J347" i="1"/>
  <c r="K347" i="1"/>
  <c r="L347" i="1"/>
  <c r="M347" i="1"/>
  <c r="N347" i="1"/>
  <c r="O347" i="1"/>
  <c r="P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E351" i="1"/>
  <c r="F351" i="1"/>
  <c r="G351" i="1"/>
  <c r="H351" i="1"/>
  <c r="I351" i="1"/>
  <c r="J351" i="1"/>
  <c r="K351" i="1"/>
  <c r="L351" i="1"/>
  <c r="M351" i="1"/>
  <c r="N351" i="1"/>
  <c r="O351" i="1"/>
  <c r="P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AW351" i="1"/>
  <c r="AX351" i="1"/>
  <c r="AY351" i="1"/>
  <c r="AZ351" i="1"/>
  <c r="BA351" i="1"/>
  <c r="BB351" i="1"/>
  <c r="BC351" i="1"/>
  <c r="BD351" i="1"/>
  <c r="E352" i="1"/>
  <c r="F352" i="1"/>
  <c r="G352" i="1"/>
  <c r="H352" i="1"/>
  <c r="I352" i="1"/>
  <c r="J352" i="1"/>
  <c r="K352" i="1"/>
  <c r="L352" i="1"/>
  <c r="M352" i="1"/>
  <c r="N352" i="1"/>
  <c r="O352" i="1"/>
  <c r="P352" i="1"/>
  <c r="Q352"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AW352" i="1"/>
  <c r="AX352" i="1"/>
  <c r="AY352" i="1"/>
  <c r="AZ352" i="1"/>
  <c r="BA352" i="1"/>
  <c r="BB352" i="1"/>
  <c r="BC352" i="1"/>
  <c r="BD352" i="1"/>
  <c r="BG352" i="1"/>
  <c r="E353" i="1"/>
  <c r="F353" i="1"/>
  <c r="G353" i="1"/>
  <c r="H353" i="1"/>
  <c r="I353" i="1"/>
  <c r="J353" i="1"/>
  <c r="K353" i="1"/>
  <c r="L353" i="1"/>
  <c r="M353" i="1"/>
  <c r="N353" i="1"/>
  <c r="O353" i="1"/>
  <c r="P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AW353" i="1"/>
  <c r="AX353" i="1"/>
  <c r="AY353" i="1"/>
  <c r="AZ353" i="1"/>
  <c r="BA353" i="1"/>
  <c r="BB353" i="1"/>
  <c r="BC353" i="1"/>
  <c r="BD353" i="1"/>
  <c r="BG353" i="1"/>
  <c r="E354" i="1"/>
  <c r="F354" i="1"/>
  <c r="G354" i="1"/>
  <c r="H354" i="1"/>
  <c r="I354" i="1"/>
  <c r="J354" i="1"/>
  <c r="K354" i="1"/>
  <c r="L354" i="1"/>
  <c r="M354" i="1"/>
  <c r="N354" i="1"/>
  <c r="O354" i="1"/>
  <c r="P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AW354" i="1"/>
  <c r="AX354" i="1"/>
  <c r="AY354" i="1"/>
  <c r="AZ354" i="1"/>
  <c r="BA354" i="1"/>
  <c r="BB354" i="1"/>
  <c r="BC354" i="1"/>
  <c r="BD354" i="1"/>
  <c r="BG354" i="1"/>
  <c r="E355" i="1"/>
  <c r="F355"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G355" i="1"/>
  <c r="E356" i="1"/>
  <c r="F356" i="1"/>
  <c r="G356" i="1"/>
  <c r="H356" i="1"/>
  <c r="I356" i="1"/>
  <c r="J356" i="1"/>
  <c r="K356" i="1"/>
  <c r="L356" i="1"/>
  <c r="M356" i="1"/>
  <c r="N356" i="1"/>
  <c r="O356" i="1"/>
  <c r="P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G356" i="1"/>
  <c r="E357" i="1"/>
  <c r="F357" i="1"/>
  <c r="G357" i="1"/>
  <c r="H357" i="1"/>
  <c r="I357" i="1"/>
  <c r="J357" i="1"/>
  <c r="K357" i="1"/>
  <c r="L357" i="1"/>
  <c r="M357" i="1"/>
  <c r="N357" i="1"/>
  <c r="O357" i="1"/>
  <c r="P357" i="1"/>
  <c r="Q357"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AW357" i="1"/>
  <c r="AX357" i="1"/>
  <c r="AY357" i="1"/>
  <c r="AZ357" i="1"/>
  <c r="BA357" i="1"/>
  <c r="BB357" i="1"/>
  <c r="BC357" i="1"/>
  <c r="BD357" i="1"/>
  <c r="J4" i="3"/>
  <c r="K4" i="3"/>
  <c r="L4" i="3"/>
  <c r="M4" i="3"/>
  <c r="N4" i="3"/>
  <c r="J5" i="3"/>
  <c r="K5" i="3"/>
  <c r="L5" i="3"/>
  <c r="M5" i="3"/>
  <c r="N5" i="3"/>
  <c r="J6" i="3"/>
  <c r="K6" i="3"/>
  <c r="L6" i="3"/>
  <c r="M6" i="3"/>
  <c r="N6" i="3"/>
  <c r="J7" i="3"/>
  <c r="K7" i="3"/>
  <c r="L7" i="3"/>
  <c r="M7" i="3"/>
  <c r="N7" i="3"/>
  <c r="J8" i="3"/>
  <c r="K8" i="3"/>
  <c r="L8" i="3"/>
  <c r="M8" i="3"/>
  <c r="N8" i="3"/>
  <c r="J9" i="3"/>
  <c r="K9" i="3"/>
  <c r="L9" i="3"/>
  <c r="M9" i="3"/>
  <c r="N9" i="3"/>
  <c r="J10" i="3"/>
  <c r="K10" i="3"/>
  <c r="L10" i="3"/>
  <c r="M10" i="3"/>
  <c r="N10" i="3"/>
  <c r="J11" i="3"/>
  <c r="K11" i="3"/>
  <c r="L11" i="3"/>
  <c r="M11" i="3"/>
  <c r="N11" i="3"/>
  <c r="J12" i="3"/>
  <c r="K12" i="3"/>
  <c r="L12" i="3"/>
  <c r="M12" i="3"/>
  <c r="N12" i="3"/>
  <c r="J13" i="3"/>
  <c r="K13" i="3"/>
  <c r="L13" i="3"/>
  <c r="M13" i="3"/>
  <c r="N13" i="3"/>
  <c r="J14" i="3"/>
  <c r="K14" i="3"/>
  <c r="L14" i="3"/>
  <c r="M14" i="3"/>
  <c r="N14" i="3"/>
  <c r="J15" i="3"/>
  <c r="K15" i="3"/>
  <c r="L15" i="3"/>
  <c r="M15" i="3"/>
  <c r="N15" i="3"/>
  <c r="J16" i="3"/>
  <c r="K16" i="3"/>
  <c r="L16" i="3"/>
  <c r="M16" i="3"/>
  <c r="N16" i="3"/>
  <c r="J17" i="3"/>
  <c r="K17" i="3"/>
  <c r="L17" i="3"/>
  <c r="M17" i="3"/>
  <c r="N17" i="3"/>
  <c r="J18" i="3"/>
  <c r="K18" i="3"/>
  <c r="L18" i="3"/>
  <c r="M18" i="3"/>
  <c r="N18" i="3"/>
  <c r="J19" i="3"/>
  <c r="K19" i="3"/>
  <c r="L19" i="3"/>
  <c r="M19" i="3"/>
  <c r="N19" i="3"/>
  <c r="J20" i="3"/>
  <c r="K20" i="3"/>
  <c r="L20" i="3"/>
  <c r="M20" i="3"/>
  <c r="N20" i="3"/>
  <c r="J21" i="3"/>
  <c r="K21" i="3"/>
  <c r="L21" i="3"/>
  <c r="M21" i="3"/>
  <c r="N21" i="3"/>
  <c r="J22" i="3"/>
  <c r="K22" i="3"/>
  <c r="L22" i="3"/>
  <c r="M22" i="3"/>
  <c r="N22" i="3"/>
  <c r="J23" i="3"/>
  <c r="K23" i="3"/>
  <c r="L23" i="3"/>
  <c r="M23" i="3"/>
  <c r="N23" i="3"/>
  <c r="J24" i="3"/>
  <c r="K24" i="3"/>
  <c r="L24" i="3"/>
  <c r="M24" i="3"/>
  <c r="N24" i="3"/>
  <c r="J25" i="3"/>
  <c r="K25" i="3"/>
  <c r="L25" i="3"/>
  <c r="M25" i="3"/>
  <c r="N25" i="3"/>
  <c r="J26" i="3"/>
  <c r="K26" i="3"/>
  <c r="L26" i="3"/>
  <c r="M26" i="3"/>
  <c r="N26" i="3"/>
  <c r="J27" i="3"/>
  <c r="K27" i="3"/>
  <c r="L27" i="3"/>
  <c r="M27" i="3"/>
  <c r="N27" i="3"/>
  <c r="J28" i="3"/>
  <c r="K28" i="3"/>
  <c r="L28" i="3"/>
  <c r="M28" i="3"/>
  <c r="N28" i="3"/>
  <c r="J29" i="3"/>
  <c r="K29" i="3"/>
  <c r="L29" i="3"/>
  <c r="M29" i="3"/>
  <c r="N29" i="3"/>
  <c r="J30" i="3"/>
  <c r="K30" i="3"/>
  <c r="L30" i="3"/>
  <c r="M30" i="3"/>
  <c r="N30" i="3"/>
  <c r="J31" i="3"/>
  <c r="K31" i="3"/>
  <c r="L31" i="3"/>
  <c r="M31" i="3"/>
  <c r="N31" i="3"/>
  <c r="J32" i="3"/>
  <c r="K32" i="3"/>
  <c r="L32" i="3"/>
  <c r="M32" i="3"/>
  <c r="N32" i="3"/>
  <c r="J33" i="3"/>
  <c r="K33" i="3"/>
  <c r="L33" i="3"/>
  <c r="M33" i="3"/>
  <c r="N33" i="3"/>
  <c r="J34" i="3"/>
  <c r="K34" i="3"/>
  <c r="L34" i="3"/>
  <c r="M34" i="3"/>
  <c r="N34" i="3"/>
  <c r="J35" i="3"/>
  <c r="K35" i="3"/>
  <c r="L35" i="3"/>
  <c r="M35" i="3"/>
  <c r="N35" i="3"/>
  <c r="J36" i="3"/>
  <c r="K36" i="3"/>
  <c r="L36" i="3"/>
  <c r="M36" i="3"/>
  <c r="N36" i="3"/>
  <c r="J37" i="3"/>
  <c r="K37" i="3"/>
  <c r="L37" i="3"/>
  <c r="M37" i="3"/>
  <c r="N37" i="3"/>
  <c r="J38" i="3"/>
  <c r="K38" i="3"/>
  <c r="L38" i="3"/>
  <c r="M38" i="3"/>
  <c r="N38" i="3"/>
  <c r="J39" i="3"/>
  <c r="K39" i="3"/>
  <c r="L39" i="3"/>
  <c r="M39" i="3"/>
  <c r="N39" i="3"/>
  <c r="J40" i="3"/>
  <c r="K40" i="3"/>
  <c r="L40" i="3"/>
  <c r="M40" i="3"/>
  <c r="N40" i="3"/>
  <c r="J41" i="3"/>
  <c r="K41" i="3"/>
  <c r="L41" i="3"/>
  <c r="M41" i="3"/>
  <c r="N41" i="3"/>
  <c r="J42" i="3"/>
  <c r="K42" i="3"/>
  <c r="L42" i="3"/>
  <c r="M42" i="3"/>
  <c r="N42" i="3"/>
  <c r="J43" i="3"/>
  <c r="K43" i="3"/>
  <c r="L43" i="3"/>
  <c r="M43" i="3"/>
  <c r="N43" i="3"/>
  <c r="J44" i="3"/>
  <c r="K44" i="3"/>
  <c r="L44" i="3"/>
  <c r="M44" i="3"/>
  <c r="N44" i="3"/>
  <c r="J45" i="3"/>
  <c r="K45" i="3"/>
  <c r="L45" i="3"/>
  <c r="M45" i="3"/>
  <c r="N45" i="3"/>
  <c r="J46" i="3"/>
  <c r="K46" i="3"/>
  <c r="L46" i="3"/>
  <c r="M46" i="3"/>
  <c r="N46" i="3"/>
  <c r="J47" i="3"/>
  <c r="K47" i="3"/>
  <c r="L47" i="3"/>
  <c r="M47" i="3"/>
  <c r="N47" i="3"/>
  <c r="J48" i="3"/>
  <c r="K48" i="3"/>
  <c r="L48" i="3"/>
  <c r="M48" i="3"/>
  <c r="N48" i="3"/>
  <c r="J49" i="3"/>
  <c r="K49" i="3"/>
  <c r="L49" i="3"/>
  <c r="M49" i="3"/>
  <c r="N49" i="3"/>
  <c r="J50" i="3"/>
  <c r="K50" i="3"/>
  <c r="L50" i="3"/>
  <c r="M50" i="3"/>
  <c r="N50" i="3"/>
  <c r="J51" i="3"/>
  <c r="K51" i="3"/>
  <c r="L51" i="3"/>
  <c r="M51" i="3"/>
  <c r="N51" i="3"/>
  <c r="J52" i="3"/>
  <c r="K52" i="3"/>
  <c r="L52" i="3"/>
  <c r="M52" i="3"/>
  <c r="N52" i="3"/>
  <c r="J53" i="3"/>
  <c r="K53" i="3"/>
  <c r="L53" i="3"/>
  <c r="M53" i="3"/>
  <c r="N53" i="3"/>
  <c r="J54" i="3"/>
  <c r="K54" i="3"/>
  <c r="L54" i="3"/>
  <c r="M54" i="3"/>
  <c r="N54" i="3"/>
  <c r="J55" i="3"/>
  <c r="K55" i="3"/>
  <c r="L55" i="3"/>
  <c r="M55" i="3"/>
  <c r="N55" i="3"/>
  <c r="J56" i="3"/>
  <c r="K56" i="3"/>
  <c r="L56" i="3"/>
  <c r="M56" i="3"/>
  <c r="N56" i="3"/>
  <c r="J57" i="3"/>
  <c r="K57" i="3"/>
  <c r="L57" i="3"/>
  <c r="M57" i="3"/>
  <c r="N57" i="3"/>
  <c r="J58" i="3"/>
  <c r="K58" i="3"/>
  <c r="L58" i="3"/>
  <c r="M58" i="3"/>
  <c r="N58" i="3"/>
  <c r="J59" i="3"/>
  <c r="K59" i="3"/>
  <c r="L59" i="3"/>
  <c r="M59" i="3"/>
  <c r="N59" i="3"/>
  <c r="J60" i="3"/>
  <c r="K60" i="3"/>
  <c r="L60" i="3"/>
  <c r="M60" i="3"/>
  <c r="N60" i="3"/>
  <c r="J61" i="3"/>
  <c r="K61" i="3"/>
  <c r="L61" i="3"/>
  <c r="M61" i="3"/>
  <c r="N61" i="3"/>
  <c r="J62" i="3"/>
  <c r="K62" i="3"/>
  <c r="L62" i="3"/>
  <c r="M62" i="3"/>
  <c r="N62" i="3"/>
  <c r="J63" i="3"/>
  <c r="K63" i="3"/>
  <c r="L63" i="3"/>
  <c r="M63" i="3"/>
  <c r="N63" i="3"/>
  <c r="J64" i="3"/>
  <c r="K64" i="3"/>
  <c r="L64" i="3"/>
  <c r="M64" i="3"/>
  <c r="N64" i="3"/>
  <c r="J65" i="3"/>
  <c r="K65" i="3"/>
  <c r="L65" i="3"/>
  <c r="M65" i="3"/>
  <c r="N65" i="3"/>
  <c r="J66" i="3"/>
  <c r="K66" i="3"/>
  <c r="L66" i="3"/>
  <c r="M66" i="3"/>
  <c r="N66" i="3"/>
  <c r="J67" i="3"/>
  <c r="K67" i="3"/>
  <c r="L67" i="3"/>
  <c r="M67" i="3"/>
  <c r="N67" i="3"/>
  <c r="J68" i="3"/>
  <c r="K68" i="3"/>
  <c r="L68" i="3"/>
  <c r="M68" i="3"/>
  <c r="N68" i="3"/>
  <c r="J69" i="3"/>
  <c r="K69" i="3"/>
  <c r="L69" i="3"/>
  <c r="M69" i="3"/>
  <c r="N69" i="3"/>
  <c r="J70" i="3"/>
  <c r="K70" i="3"/>
  <c r="L70" i="3"/>
  <c r="M70" i="3"/>
  <c r="N70" i="3"/>
  <c r="J71" i="3"/>
  <c r="K71" i="3"/>
  <c r="L71" i="3"/>
  <c r="M71" i="3"/>
  <c r="N71" i="3"/>
  <c r="J72" i="3"/>
  <c r="K72" i="3"/>
  <c r="L72" i="3"/>
  <c r="M72" i="3"/>
  <c r="N72" i="3"/>
  <c r="J73" i="3"/>
  <c r="K73" i="3"/>
  <c r="L73" i="3"/>
  <c r="M73" i="3"/>
  <c r="N73" i="3"/>
  <c r="J74" i="3"/>
  <c r="K74" i="3"/>
  <c r="L74" i="3"/>
  <c r="M74" i="3"/>
  <c r="N74" i="3"/>
  <c r="J75" i="3"/>
  <c r="K75" i="3"/>
  <c r="L75" i="3"/>
  <c r="M75" i="3"/>
  <c r="N75" i="3"/>
  <c r="J76" i="3"/>
  <c r="K76" i="3"/>
  <c r="L76" i="3"/>
  <c r="M76" i="3"/>
  <c r="N76" i="3"/>
  <c r="J77" i="3"/>
  <c r="K77" i="3"/>
  <c r="L77" i="3"/>
  <c r="M77" i="3"/>
  <c r="N77" i="3"/>
  <c r="J78" i="3"/>
  <c r="K78" i="3"/>
  <c r="L78" i="3"/>
  <c r="M78" i="3"/>
  <c r="N78" i="3"/>
  <c r="J79" i="3"/>
  <c r="K79" i="3"/>
  <c r="L79" i="3"/>
  <c r="M79" i="3"/>
  <c r="N79" i="3"/>
  <c r="J80" i="3"/>
  <c r="K80" i="3"/>
  <c r="L80" i="3"/>
  <c r="M80" i="3"/>
  <c r="N80" i="3"/>
  <c r="J81" i="3"/>
  <c r="K81" i="3"/>
  <c r="L81" i="3"/>
  <c r="M81" i="3"/>
  <c r="N81" i="3"/>
  <c r="J82" i="3"/>
  <c r="K82" i="3"/>
  <c r="L82" i="3"/>
  <c r="M82" i="3"/>
  <c r="N82" i="3"/>
  <c r="J83" i="3"/>
  <c r="K83" i="3"/>
  <c r="L83" i="3"/>
  <c r="M83" i="3"/>
  <c r="N83" i="3"/>
  <c r="J84" i="3"/>
  <c r="K84" i="3"/>
  <c r="L84" i="3"/>
  <c r="M84" i="3"/>
  <c r="N84" i="3"/>
  <c r="J85" i="3"/>
  <c r="K85" i="3"/>
  <c r="L85" i="3"/>
  <c r="M85" i="3"/>
  <c r="N85" i="3"/>
  <c r="J86" i="3"/>
  <c r="K86" i="3"/>
  <c r="L86" i="3"/>
  <c r="M86" i="3"/>
  <c r="N86" i="3"/>
  <c r="J87" i="3"/>
  <c r="K87" i="3"/>
  <c r="L87" i="3"/>
  <c r="M87" i="3"/>
  <c r="N87" i="3"/>
  <c r="J88" i="3"/>
  <c r="K88" i="3"/>
  <c r="L88" i="3"/>
  <c r="M88" i="3"/>
  <c r="N88" i="3"/>
  <c r="J89" i="3"/>
  <c r="K89" i="3"/>
  <c r="L89" i="3"/>
  <c r="M89" i="3"/>
  <c r="N89" i="3"/>
  <c r="J90" i="3"/>
  <c r="K90" i="3"/>
  <c r="L90" i="3"/>
  <c r="M90" i="3"/>
  <c r="N90" i="3"/>
  <c r="J91" i="3"/>
  <c r="K91" i="3"/>
  <c r="L91" i="3"/>
  <c r="M91" i="3"/>
  <c r="N91" i="3"/>
  <c r="J92" i="3"/>
  <c r="K92" i="3"/>
  <c r="L92" i="3"/>
  <c r="M92" i="3"/>
  <c r="N92" i="3"/>
  <c r="J93" i="3"/>
  <c r="K93" i="3"/>
  <c r="L93" i="3"/>
  <c r="M93" i="3"/>
  <c r="N93" i="3"/>
  <c r="J94" i="3"/>
  <c r="K94" i="3"/>
  <c r="L94" i="3"/>
  <c r="M94" i="3"/>
  <c r="N94" i="3"/>
  <c r="J95" i="3"/>
  <c r="K95" i="3"/>
  <c r="L95" i="3"/>
  <c r="M95" i="3"/>
  <c r="N95" i="3"/>
  <c r="J96" i="3"/>
  <c r="K96" i="3"/>
  <c r="L96" i="3"/>
  <c r="M96" i="3"/>
  <c r="N96" i="3"/>
  <c r="J97" i="3"/>
  <c r="K97" i="3"/>
  <c r="L97" i="3"/>
  <c r="M97" i="3"/>
  <c r="N97" i="3"/>
  <c r="J98" i="3"/>
  <c r="K98" i="3"/>
  <c r="L98" i="3"/>
  <c r="M98" i="3"/>
  <c r="N98" i="3"/>
  <c r="J99" i="3"/>
  <c r="K99" i="3"/>
  <c r="L99" i="3"/>
  <c r="M99" i="3"/>
  <c r="N99" i="3"/>
  <c r="J100" i="3"/>
  <c r="K100" i="3"/>
  <c r="L100" i="3"/>
  <c r="M100" i="3"/>
  <c r="N100" i="3"/>
  <c r="J101" i="3"/>
  <c r="K101" i="3"/>
  <c r="L101" i="3"/>
  <c r="M101" i="3"/>
  <c r="N101" i="3"/>
  <c r="J102" i="3"/>
  <c r="K102" i="3"/>
  <c r="L102" i="3"/>
  <c r="M102" i="3"/>
  <c r="N102" i="3"/>
  <c r="J103" i="3"/>
  <c r="K103" i="3"/>
  <c r="L103" i="3"/>
  <c r="M103" i="3"/>
  <c r="N103" i="3"/>
  <c r="J104" i="3"/>
  <c r="K104" i="3"/>
  <c r="L104" i="3"/>
  <c r="M104" i="3"/>
  <c r="N104" i="3"/>
  <c r="J105" i="3"/>
  <c r="K105" i="3"/>
  <c r="L105" i="3"/>
  <c r="M105" i="3"/>
  <c r="N105" i="3"/>
  <c r="J106" i="3"/>
  <c r="K106" i="3"/>
  <c r="L106" i="3"/>
  <c r="M106" i="3"/>
  <c r="N106" i="3"/>
  <c r="J107" i="3"/>
  <c r="K107" i="3"/>
  <c r="L107" i="3"/>
  <c r="M107" i="3"/>
  <c r="N107" i="3"/>
  <c r="J108" i="3"/>
  <c r="K108" i="3"/>
  <c r="L108" i="3"/>
  <c r="M108" i="3"/>
  <c r="N108" i="3"/>
  <c r="J109" i="3"/>
  <c r="K109" i="3"/>
  <c r="L109" i="3"/>
  <c r="M109" i="3"/>
  <c r="N109" i="3"/>
  <c r="J110" i="3"/>
  <c r="K110" i="3"/>
  <c r="L110" i="3"/>
  <c r="M110" i="3"/>
  <c r="N110" i="3"/>
  <c r="J111" i="3"/>
  <c r="K111" i="3"/>
  <c r="L111" i="3"/>
  <c r="M111" i="3"/>
  <c r="N111" i="3"/>
  <c r="J112" i="3"/>
  <c r="K112" i="3"/>
  <c r="L112" i="3"/>
  <c r="M112" i="3"/>
  <c r="N112" i="3"/>
  <c r="J113" i="3"/>
  <c r="K113" i="3"/>
  <c r="L113" i="3"/>
  <c r="M113" i="3"/>
  <c r="N113" i="3"/>
  <c r="J114" i="3"/>
  <c r="K114" i="3"/>
  <c r="L114" i="3"/>
  <c r="M114" i="3"/>
  <c r="N114" i="3"/>
  <c r="J115" i="3"/>
  <c r="K115" i="3"/>
  <c r="L115" i="3"/>
  <c r="M115" i="3"/>
  <c r="N115" i="3"/>
  <c r="J116" i="3"/>
  <c r="K116" i="3"/>
  <c r="L116" i="3"/>
  <c r="M116" i="3"/>
  <c r="N116" i="3"/>
  <c r="J117" i="3"/>
  <c r="K117" i="3"/>
  <c r="L117" i="3"/>
  <c r="M117" i="3"/>
  <c r="N117" i="3"/>
  <c r="J118" i="3"/>
  <c r="K118" i="3"/>
  <c r="L118" i="3"/>
  <c r="M118" i="3"/>
  <c r="N118" i="3"/>
  <c r="J119" i="3"/>
  <c r="K119" i="3"/>
  <c r="L119" i="3"/>
  <c r="M119" i="3"/>
  <c r="N119" i="3"/>
  <c r="J120" i="3"/>
  <c r="K120" i="3"/>
  <c r="L120" i="3"/>
  <c r="M120" i="3"/>
  <c r="N120" i="3"/>
  <c r="J121" i="3"/>
  <c r="K121" i="3"/>
  <c r="L121" i="3"/>
  <c r="M121" i="3"/>
  <c r="N121" i="3"/>
  <c r="J122" i="3"/>
  <c r="K122" i="3"/>
  <c r="L122" i="3"/>
  <c r="M122" i="3"/>
  <c r="N122" i="3"/>
  <c r="J123" i="3"/>
  <c r="K123" i="3"/>
  <c r="L123" i="3"/>
  <c r="M123" i="3"/>
  <c r="N123" i="3"/>
  <c r="J124" i="3"/>
  <c r="K124" i="3"/>
  <c r="L124" i="3"/>
  <c r="M124" i="3"/>
  <c r="N124" i="3"/>
  <c r="J125" i="3"/>
  <c r="K125" i="3"/>
  <c r="L125" i="3"/>
  <c r="M125" i="3"/>
  <c r="N125" i="3"/>
  <c r="J126" i="3"/>
  <c r="K126" i="3"/>
  <c r="L126" i="3"/>
  <c r="M126" i="3"/>
  <c r="N126" i="3"/>
  <c r="J127" i="3"/>
  <c r="K127" i="3"/>
  <c r="L127" i="3"/>
  <c r="M127" i="3"/>
  <c r="N127" i="3"/>
  <c r="J128" i="3"/>
  <c r="K128" i="3"/>
  <c r="L128" i="3"/>
  <c r="M128" i="3"/>
  <c r="N128" i="3"/>
  <c r="J129" i="3"/>
  <c r="K129" i="3"/>
  <c r="L129" i="3"/>
  <c r="M129" i="3"/>
  <c r="N129" i="3"/>
  <c r="J130" i="3"/>
  <c r="K130" i="3"/>
  <c r="L130" i="3"/>
  <c r="M130" i="3"/>
  <c r="N130" i="3"/>
  <c r="J131" i="3"/>
  <c r="K131" i="3"/>
  <c r="L131" i="3"/>
  <c r="M131" i="3"/>
  <c r="N131" i="3"/>
  <c r="J132" i="3"/>
  <c r="K132" i="3"/>
  <c r="L132" i="3"/>
  <c r="M132" i="3"/>
  <c r="N132" i="3"/>
  <c r="J133" i="3"/>
  <c r="K133" i="3"/>
  <c r="L133" i="3"/>
  <c r="M133" i="3"/>
  <c r="N133" i="3"/>
  <c r="J134" i="3"/>
  <c r="K134" i="3"/>
  <c r="L134" i="3"/>
  <c r="M134" i="3"/>
  <c r="N134" i="3"/>
  <c r="J135" i="3"/>
  <c r="K135" i="3"/>
  <c r="L135" i="3"/>
  <c r="M135" i="3"/>
  <c r="N135" i="3"/>
  <c r="J136" i="3"/>
  <c r="K136" i="3"/>
  <c r="L136" i="3"/>
  <c r="M136" i="3"/>
  <c r="N136" i="3"/>
  <c r="J137" i="3"/>
  <c r="K137" i="3"/>
  <c r="L137" i="3"/>
  <c r="M137" i="3"/>
  <c r="N137" i="3"/>
  <c r="J138" i="3"/>
  <c r="K138" i="3"/>
  <c r="L138" i="3"/>
  <c r="M138" i="3"/>
  <c r="N138" i="3"/>
  <c r="J139" i="3"/>
  <c r="K139" i="3"/>
  <c r="L139" i="3"/>
  <c r="M139" i="3"/>
  <c r="N139" i="3"/>
  <c r="J140" i="3"/>
  <c r="K140" i="3"/>
  <c r="L140" i="3"/>
  <c r="M140" i="3"/>
  <c r="N140" i="3"/>
  <c r="J141" i="3"/>
  <c r="K141" i="3"/>
  <c r="L141" i="3"/>
  <c r="M141" i="3"/>
  <c r="N141" i="3"/>
  <c r="J142" i="3"/>
  <c r="K142" i="3"/>
  <c r="L142" i="3"/>
  <c r="M142" i="3"/>
  <c r="N142" i="3"/>
  <c r="J143" i="3"/>
  <c r="K143" i="3"/>
  <c r="L143" i="3"/>
  <c r="M143" i="3"/>
  <c r="N143" i="3"/>
  <c r="J144" i="3"/>
  <c r="K144" i="3"/>
  <c r="L144" i="3"/>
  <c r="M144" i="3"/>
  <c r="N144" i="3"/>
  <c r="J145" i="3"/>
  <c r="K145" i="3"/>
  <c r="L145" i="3"/>
  <c r="M145" i="3"/>
  <c r="N145" i="3"/>
  <c r="J146" i="3"/>
  <c r="K146" i="3"/>
  <c r="L146" i="3"/>
  <c r="M146" i="3"/>
  <c r="N146" i="3"/>
  <c r="J147" i="3"/>
  <c r="K147" i="3"/>
  <c r="L147" i="3"/>
  <c r="M147" i="3"/>
  <c r="N147" i="3"/>
  <c r="J148" i="3"/>
  <c r="K148" i="3"/>
  <c r="L148" i="3"/>
  <c r="M148" i="3"/>
  <c r="N148" i="3"/>
  <c r="J149" i="3"/>
  <c r="K149" i="3"/>
  <c r="L149" i="3"/>
  <c r="M149" i="3"/>
  <c r="N149" i="3"/>
  <c r="J150" i="3"/>
  <c r="K150" i="3"/>
  <c r="L150" i="3"/>
  <c r="M150" i="3"/>
  <c r="N150" i="3"/>
  <c r="J151" i="3"/>
  <c r="K151" i="3"/>
  <c r="L151" i="3"/>
  <c r="M151" i="3"/>
  <c r="N151" i="3"/>
  <c r="J152" i="3"/>
  <c r="K152" i="3"/>
  <c r="L152" i="3"/>
  <c r="M152" i="3"/>
  <c r="N152" i="3"/>
  <c r="J153" i="3"/>
  <c r="K153" i="3"/>
  <c r="L153" i="3"/>
  <c r="M153" i="3"/>
  <c r="N153" i="3"/>
  <c r="J154" i="3"/>
  <c r="K154" i="3"/>
  <c r="L154" i="3"/>
  <c r="M154" i="3"/>
  <c r="N154" i="3"/>
  <c r="J155" i="3"/>
  <c r="K155" i="3"/>
  <c r="L155" i="3"/>
  <c r="M155" i="3"/>
  <c r="N155" i="3"/>
  <c r="J156" i="3"/>
  <c r="K156" i="3"/>
  <c r="L156" i="3"/>
  <c r="M156" i="3"/>
  <c r="N156" i="3"/>
  <c r="J157" i="3"/>
  <c r="K157" i="3"/>
  <c r="L157" i="3"/>
  <c r="M157" i="3"/>
  <c r="N157" i="3"/>
  <c r="J158" i="3"/>
  <c r="K158" i="3"/>
  <c r="L158" i="3"/>
  <c r="M158" i="3"/>
  <c r="N158" i="3"/>
  <c r="J159" i="3"/>
  <c r="K159" i="3"/>
  <c r="L159" i="3"/>
  <c r="M159" i="3"/>
  <c r="N159" i="3"/>
  <c r="J160" i="3"/>
  <c r="K160" i="3"/>
  <c r="L160" i="3"/>
  <c r="M160" i="3"/>
  <c r="N160" i="3"/>
  <c r="J161" i="3"/>
  <c r="K161" i="3"/>
  <c r="L161" i="3"/>
  <c r="M161" i="3"/>
  <c r="N161" i="3"/>
  <c r="J162" i="3"/>
  <c r="K162" i="3"/>
  <c r="L162" i="3"/>
  <c r="M162" i="3"/>
  <c r="N162" i="3"/>
  <c r="J163" i="3"/>
  <c r="K163" i="3"/>
  <c r="L163" i="3"/>
  <c r="M163" i="3"/>
  <c r="N163" i="3"/>
  <c r="J164" i="3"/>
  <c r="K164" i="3"/>
  <c r="L164" i="3"/>
  <c r="M164" i="3"/>
  <c r="N164" i="3"/>
  <c r="J165" i="3"/>
  <c r="K165" i="3"/>
  <c r="L165" i="3"/>
  <c r="M165" i="3"/>
  <c r="N165" i="3"/>
  <c r="J166" i="3"/>
  <c r="K166" i="3"/>
  <c r="L166" i="3"/>
  <c r="M166" i="3"/>
  <c r="N166" i="3"/>
  <c r="J167" i="3"/>
  <c r="K167" i="3"/>
  <c r="L167" i="3"/>
  <c r="M167" i="3"/>
  <c r="N167" i="3"/>
  <c r="J168" i="3"/>
  <c r="K168" i="3"/>
  <c r="L168" i="3"/>
  <c r="M168" i="3"/>
  <c r="N168" i="3"/>
  <c r="J169" i="3"/>
  <c r="K169" i="3"/>
  <c r="L169" i="3"/>
  <c r="M169" i="3"/>
  <c r="N169" i="3"/>
  <c r="J170" i="3"/>
  <c r="K170" i="3"/>
  <c r="L170" i="3"/>
  <c r="M170" i="3"/>
  <c r="N170" i="3"/>
  <c r="J171" i="3"/>
  <c r="K171" i="3"/>
  <c r="L171" i="3"/>
  <c r="M171" i="3"/>
  <c r="N171" i="3"/>
  <c r="J172" i="3"/>
  <c r="K172" i="3"/>
  <c r="L172" i="3"/>
  <c r="M172" i="3"/>
  <c r="N172" i="3"/>
  <c r="J173" i="3"/>
  <c r="K173" i="3"/>
  <c r="L173" i="3"/>
  <c r="M173" i="3"/>
  <c r="N173" i="3"/>
  <c r="J174" i="3"/>
  <c r="K174" i="3"/>
  <c r="L174" i="3"/>
  <c r="M174" i="3"/>
  <c r="N174" i="3"/>
  <c r="J175" i="3"/>
  <c r="K175" i="3"/>
  <c r="L175" i="3"/>
  <c r="M175" i="3"/>
  <c r="N175" i="3"/>
  <c r="J176" i="3"/>
  <c r="K176" i="3"/>
  <c r="L176" i="3"/>
  <c r="M176" i="3"/>
  <c r="N176" i="3"/>
  <c r="J177" i="3"/>
  <c r="K177" i="3"/>
  <c r="L177" i="3"/>
  <c r="M177" i="3"/>
  <c r="N177" i="3"/>
  <c r="J178" i="3"/>
  <c r="K178" i="3"/>
  <c r="L178" i="3"/>
  <c r="M178" i="3"/>
  <c r="N178" i="3"/>
  <c r="J179" i="3"/>
  <c r="K179" i="3"/>
  <c r="L179" i="3"/>
  <c r="M179" i="3"/>
  <c r="N179" i="3"/>
  <c r="J180" i="3"/>
  <c r="K180" i="3"/>
  <c r="L180" i="3"/>
  <c r="M180" i="3"/>
  <c r="N180" i="3"/>
  <c r="J181" i="3"/>
  <c r="K181" i="3"/>
  <c r="L181" i="3"/>
  <c r="M181" i="3"/>
  <c r="N181" i="3"/>
  <c r="J182" i="3"/>
  <c r="K182" i="3"/>
  <c r="L182" i="3"/>
  <c r="M182" i="3"/>
  <c r="N182" i="3"/>
  <c r="J183" i="3"/>
  <c r="K183" i="3"/>
  <c r="L183" i="3"/>
  <c r="M183" i="3"/>
  <c r="N183" i="3"/>
  <c r="J184" i="3"/>
  <c r="K184" i="3"/>
  <c r="L184" i="3"/>
  <c r="M184" i="3"/>
  <c r="N184" i="3"/>
  <c r="J185" i="3"/>
  <c r="K185" i="3"/>
  <c r="L185" i="3"/>
  <c r="M185" i="3"/>
  <c r="N185" i="3"/>
  <c r="J186" i="3"/>
  <c r="K186" i="3"/>
  <c r="L186" i="3"/>
  <c r="M186" i="3"/>
  <c r="N186" i="3"/>
  <c r="C188" i="3"/>
  <c r="D188" i="3"/>
  <c r="E188" i="3"/>
  <c r="F188" i="3"/>
  <c r="G188" i="3"/>
  <c r="H188" i="3"/>
  <c r="I188" i="3"/>
  <c r="J188" i="3"/>
  <c r="K188" i="3"/>
  <c r="L188" i="3"/>
  <c r="M188" i="3"/>
  <c r="N188" i="3"/>
  <c r="C189" i="3"/>
  <c r="D189" i="3"/>
  <c r="E189" i="3"/>
  <c r="F189" i="3"/>
  <c r="G189" i="3"/>
  <c r="H189" i="3"/>
  <c r="I189" i="3"/>
  <c r="J189" i="3"/>
  <c r="K189" i="3"/>
  <c r="L189" i="3"/>
  <c r="M189" i="3"/>
  <c r="N189" i="3"/>
  <c r="C190" i="3"/>
  <c r="D190" i="3"/>
  <c r="E190" i="3"/>
  <c r="F190" i="3"/>
  <c r="G190" i="3"/>
  <c r="H190" i="3"/>
  <c r="I190" i="3"/>
  <c r="J190" i="3"/>
  <c r="K190" i="3"/>
  <c r="L190" i="3"/>
  <c r="M190" i="3"/>
  <c r="N190" i="3"/>
  <c r="C191" i="3"/>
  <c r="D191" i="3"/>
  <c r="E191" i="3"/>
  <c r="F191" i="3"/>
  <c r="G191" i="3"/>
  <c r="H191" i="3"/>
  <c r="I191" i="3"/>
  <c r="J191" i="3"/>
  <c r="K191" i="3"/>
  <c r="L191" i="3"/>
  <c r="M191" i="3"/>
  <c r="N191" i="3"/>
  <c r="C192" i="3"/>
  <c r="D192" i="3"/>
  <c r="E192" i="3"/>
  <c r="F192" i="3"/>
  <c r="G192" i="3"/>
  <c r="H192" i="3"/>
  <c r="I192" i="3"/>
  <c r="J192" i="3"/>
  <c r="K192" i="3"/>
  <c r="L192" i="3"/>
  <c r="M192" i="3"/>
  <c r="N192" i="3"/>
  <c r="C193" i="3"/>
  <c r="D193" i="3"/>
  <c r="E193" i="3"/>
  <c r="F193" i="3"/>
  <c r="G193" i="3"/>
  <c r="H193" i="3"/>
  <c r="I193" i="3"/>
  <c r="J193" i="3"/>
  <c r="K193" i="3"/>
  <c r="L193" i="3"/>
  <c r="M193" i="3"/>
  <c r="N193" i="3"/>
  <c r="G195" i="3"/>
  <c r="O245" i="6" l="1"/>
  <c r="N245" i="6"/>
  <c r="M245" i="6"/>
  <c r="L245" i="6"/>
  <c r="K245" i="6"/>
  <c r="J245" i="6"/>
  <c r="I245" i="6"/>
  <c r="H245" i="6"/>
  <c r="G245" i="6"/>
  <c r="F245" i="6"/>
  <c r="E245" i="6"/>
  <c r="D245" i="6"/>
  <c r="Q245" i="6"/>
  <c r="R245" i="6"/>
  <c r="S245" i="6"/>
  <c r="O238" i="6"/>
  <c r="N238" i="6"/>
  <c r="M238" i="6"/>
  <c r="L238" i="6"/>
  <c r="K238" i="6"/>
  <c r="J238" i="6"/>
  <c r="I238" i="6"/>
  <c r="H238" i="6"/>
  <c r="G238" i="6"/>
  <c r="F238" i="6"/>
  <c r="E238" i="6"/>
  <c r="D238" i="6"/>
  <c r="Q238" i="6"/>
  <c r="R238" i="6"/>
  <c r="S238" i="6"/>
  <c r="O231" i="6"/>
  <c r="N231" i="6"/>
  <c r="M231" i="6"/>
  <c r="L231" i="6"/>
  <c r="K231" i="6"/>
  <c r="J231" i="6"/>
  <c r="I231" i="6"/>
  <c r="H231" i="6"/>
  <c r="G231" i="6"/>
  <c r="F231" i="6"/>
  <c r="E231" i="6"/>
  <c r="D231" i="6"/>
  <c r="Q231" i="6"/>
  <c r="R231" i="6"/>
  <c r="S231" i="6"/>
  <c r="O211" i="6"/>
  <c r="N211" i="6"/>
  <c r="M211" i="6"/>
  <c r="L211" i="6"/>
  <c r="K211" i="6"/>
  <c r="J211" i="6"/>
  <c r="I211" i="6"/>
  <c r="H211" i="6"/>
  <c r="G211" i="6"/>
  <c r="F211" i="6"/>
  <c r="E211" i="6"/>
  <c r="D211" i="6"/>
  <c r="Q211" i="6"/>
  <c r="R211" i="6"/>
  <c r="S211" i="6"/>
  <c r="U211" i="6"/>
  <c r="O209" i="6"/>
  <c r="N209" i="6"/>
  <c r="M209" i="6"/>
  <c r="L209" i="6"/>
  <c r="K209" i="6"/>
  <c r="J209" i="6"/>
  <c r="I209" i="6"/>
  <c r="H209" i="6"/>
  <c r="G209" i="6"/>
  <c r="F209" i="6"/>
  <c r="E209" i="6"/>
  <c r="D209" i="6"/>
  <c r="Q209" i="6"/>
  <c r="R209" i="6"/>
  <c r="S209" i="6"/>
  <c r="U209" i="6"/>
  <c r="O208" i="6"/>
  <c r="N208" i="6"/>
  <c r="M208" i="6"/>
  <c r="L208" i="6"/>
  <c r="K208" i="6"/>
  <c r="J208" i="6"/>
  <c r="I208" i="6"/>
  <c r="H208" i="6"/>
  <c r="G208" i="6"/>
  <c r="F208" i="6"/>
  <c r="E208" i="6"/>
  <c r="D208" i="6"/>
  <c r="Q208" i="6"/>
  <c r="R208" i="6"/>
  <c r="S208" i="6"/>
  <c r="U208" i="6"/>
  <c r="O207" i="6"/>
  <c r="N207" i="6"/>
  <c r="M207" i="6"/>
  <c r="L207" i="6"/>
  <c r="K207" i="6"/>
  <c r="J207" i="6"/>
  <c r="I207" i="6"/>
  <c r="H207" i="6"/>
  <c r="G207" i="6"/>
  <c r="F207" i="6"/>
  <c r="E207" i="6"/>
  <c r="D207" i="6"/>
  <c r="Q207" i="6"/>
  <c r="R207" i="6"/>
  <c r="S207" i="6"/>
  <c r="U207" i="6"/>
  <c r="U193" i="6"/>
  <c r="O185" i="6"/>
  <c r="N185" i="6"/>
  <c r="M185" i="6"/>
  <c r="L185" i="6"/>
  <c r="K185" i="6"/>
  <c r="J185" i="6"/>
  <c r="I185" i="6"/>
  <c r="H185" i="6"/>
  <c r="G185" i="6"/>
  <c r="F185" i="6"/>
  <c r="E185" i="6"/>
  <c r="D185" i="6"/>
  <c r="Q185" i="6"/>
  <c r="R185" i="6"/>
  <c r="S185" i="6"/>
  <c r="U185" i="6"/>
  <c r="O162" i="6"/>
  <c r="N162" i="6"/>
  <c r="M162" i="6"/>
  <c r="L162" i="6"/>
  <c r="K162" i="6"/>
  <c r="J162" i="6"/>
  <c r="I162" i="6"/>
  <c r="H162" i="6"/>
  <c r="G162" i="6"/>
  <c r="F162" i="6"/>
  <c r="E162" i="6"/>
  <c r="D162" i="6"/>
  <c r="Q162" i="6"/>
  <c r="R162" i="6"/>
  <c r="S162" i="6"/>
  <c r="O161" i="6"/>
  <c r="N161" i="6"/>
  <c r="M161" i="6"/>
  <c r="L161" i="6"/>
  <c r="K161" i="6"/>
  <c r="J161" i="6"/>
  <c r="I161" i="6"/>
  <c r="H161" i="6"/>
  <c r="G161" i="6"/>
  <c r="F161" i="6"/>
  <c r="E161" i="6"/>
  <c r="D161" i="6"/>
  <c r="Q161" i="6"/>
  <c r="R161" i="6"/>
  <c r="S161" i="6"/>
  <c r="O160" i="6"/>
  <c r="N160" i="6"/>
  <c r="M160" i="6"/>
  <c r="L160" i="6"/>
  <c r="K160" i="6"/>
  <c r="J160" i="6"/>
  <c r="I160" i="6"/>
  <c r="H160" i="6"/>
  <c r="G160" i="6"/>
  <c r="F160" i="6"/>
  <c r="E160" i="6"/>
  <c r="D160" i="6"/>
  <c r="Q160" i="6"/>
  <c r="R160" i="6"/>
  <c r="S160" i="6"/>
  <c r="O151" i="6"/>
  <c r="N151" i="6"/>
  <c r="M151" i="6"/>
  <c r="L151" i="6"/>
  <c r="K151" i="6"/>
  <c r="J151" i="6"/>
  <c r="I151" i="6"/>
  <c r="H151" i="6"/>
  <c r="G151" i="6"/>
  <c r="F151" i="6"/>
  <c r="E151" i="6"/>
  <c r="D151" i="6"/>
  <c r="Q151" i="6"/>
  <c r="R151" i="6"/>
  <c r="S151" i="6"/>
  <c r="U151" i="6"/>
  <c r="O150" i="6"/>
  <c r="N150" i="6"/>
  <c r="M150" i="6"/>
  <c r="L150" i="6"/>
  <c r="K150" i="6"/>
  <c r="J150" i="6"/>
  <c r="I150" i="6"/>
  <c r="H150" i="6"/>
  <c r="G150" i="6"/>
  <c r="F150" i="6"/>
  <c r="E150" i="6"/>
  <c r="D150" i="6"/>
  <c r="Q150" i="6"/>
  <c r="R150" i="6"/>
  <c r="S150" i="6"/>
  <c r="U150" i="6"/>
  <c r="O146" i="6"/>
  <c r="N146" i="6"/>
  <c r="M146" i="6"/>
  <c r="L146" i="6"/>
  <c r="K146" i="6"/>
  <c r="J146" i="6"/>
  <c r="I146" i="6"/>
  <c r="H146" i="6"/>
  <c r="G146" i="6"/>
  <c r="F146" i="6"/>
  <c r="E146" i="6"/>
  <c r="D146" i="6"/>
  <c r="Q146" i="6"/>
  <c r="R146" i="6"/>
  <c r="S146" i="6"/>
  <c r="U146" i="6"/>
  <c r="O118" i="6"/>
  <c r="N118" i="6"/>
  <c r="M118" i="6"/>
  <c r="L118" i="6"/>
  <c r="K118" i="6"/>
  <c r="J118" i="6"/>
  <c r="I118" i="6"/>
  <c r="H118" i="6"/>
  <c r="G118" i="6"/>
  <c r="F118" i="6"/>
  <c r="E118" i="6"/>
  <c r="D118" i="6"/>
  <c r="Q118" i="6"/>
  <c r="R118" i="6"/>
  <c r="S118" i="6"/>
  <c r="U118" i="6"/>
  <c r="O112" i="6"/>
  <c r="N112" i="6"/>
  <c r="M112" i="6"/>
  <c r="L112" i="6"/>
  <c r="K112" i="6"/>
  <c r="J112" i="6"/>
  <c r="I112" i="6"/>
  <c r="H112" i="6"/>
  <c r="G112" i="6"/>
  <c r="F112" i="6"/>
  <c r="E112" i="6"/>
  <c r="D112" i="6"/>
  <c r="Q112" i="6"/>
  <c r="R112" i="6"/>
  <c r="S112" i="6"/>
  <c r="O99" i="6"/>
  <c r="N99" i="6"/>
  <c r="M99" i="6"/>
  <c r="L99" i="6"/>
  <c r="K99" i="6"/>
  <c r="J99" i="6"/>
  <c r="I99" i="6"/>
  <c r="H99" i="6"/>
  <c r="G99" i="6"/>
  <c r="S99" i="6"/>
  <c r="R99" i="6"/>
  <c r="Q99" i="6"/>
  <c r="F99" i="6"/>
  <c r="E99" i="6"/>
  <c r="D99" i="6"/>
  <c r="O82" i="6"/>
  <c r="N82" i="6"/>
  <c r="M82" i="6"/>
  <c r="L82" i="6"/>
  <c r="K82" i="6"/>
  <c r="J82" i="6"/>
  <c r="I82" i="6"/>
  <c r="H82" i="6"/>
  <c r="G82" i="6"/>
  <c r="F82" i="6"/>
  <c r="E82" i="6"/>
  <c r="D82" i="6"/>
  <c r="Q82" i="6"/>
  <c r="R82" i="6"/>
  <c r="S82" i="6"/>
  <c r="O63" i="6"/>
  <c r="N63" i="6"/>
  <c r="M63" i="6"/>
  <c r="L63" i="6"/>
  <c r="K63" i="6"/>
  <c r="J63" i="6"/>
  <c r="I63" i="6"/>
  <c r="H63" i="6"/>
  <c r="G63" i="6"/>
  <c r="F63" i="6"/>
  <c r="E63" i="6"/>
  <c r="D63" i="6"/>
  <c r="Q63" i="6"/>
  <c r="R63" i="6"/>
  <c r="S63" i="6"/>
  <c r="U63" i="6"/>
  <c r="O48" i="6"/>
  <c r="N48" i="6"/>
  <c r="M48" i="6"/>
  <c r="L48" i="6"/>
  <c r="K48" i="6"/>
  <c r="J48" i="6"/>
  <c r="I48" i="6"/>
  <c r="H48" i="6"/>
  <c r="G48" i="6"/>
  <c r="F48" i="6"/>
  <c r="E48" i="6"/>
  <c r="D48" i="6"/>
  <c r="Q48" i="6"/>
  <c r="R48" i="6"/>
  <c r="S48" i="6"/>
  <c r="U48" i="6"/>
  <c r="O27" i="6"/>
  <c r="N27" i="6"/>
  <c r="M27" i="6"/>
  <c r="L27" i="6"/>
  <c r="K27" i="6"/>
  <c r="J27" i="6"/>
  <c r="I27" i="6"/>
  <c r="H27" i="6"/>
  <c r="G27" i="6"/>
  <c r="F27" i="6"/>
  <c r="E27" i="6"/>
  <c r="D27" i="6"/>
  <c r="Q27" i="6"/>
  <c r="R27" i="6"/>
  <c r="S27" i="6"/>
  <c r="O17" i="6"/>
  <c r="N17" i="6"/>
  <c r="M17" i="6"/>
  <c r="L17" i="6"/>
  <c r="K17" i="6"/>
  <c r="J17" i="6"/>
  <c r="I17" i="6"/>
  <c r="H17" i="6"/>
  <c r="G17" i="6"/>
  <c r="F17" i="6"/>
  <c r="E17" i="6"/>
  <c r="D17" i="6"/>
  <c r="Q17" i="6"/>
  <c r="R17" i="6"/>
  <c r="S17" i="6"/>
  <c r="U17" i="6"/>
  <c r="U273" i="6" s="1"/>
  <c r="B3" i="12"/>
  <c r="F6" i="11"/>
  <c r="F7" i="11"/>
  <c r="F8" i="11"/>
  <c r="F9" i="11"/>
  <c r="F10" i="11"/>
  <c r="F11" i="11"/>
  <c r="F12" i="11"/>
  <c r="F13" i="11"/>
  <c r="F14" i="11"/>
  <c r="F15" i="11"/>
  <c r="BL7" i="11" l="1"/>
  <c r="BL13" i="11"/>
  <c r="BL14" i="11"/>
  <c r="BL15" i="11"/>
  <c r="BL19" i="11"/>
  <c r="BL20" i="11"/>
  <c r="BL21" i="11"/>
  <c r="BL25" i="11"/>
  <c r="BL26" i="11"/>
  <c r="BL28" i="11"/>
  <c r="BM28" i="11" l="1"/>
  <c r="BN28" i="11"/>
  <c r="BO28" i="11"/>
  <c r="BP28" i="11"/>
  <c r="BQ28" i="11"/>
  <c r="BM26" i="11"/>
  <c r="BN26" i="11"/>
  <c r="BO26" i="11"/>
  <c r="BP26" i="11"/>
  <c r="BQ26" i="11"/>
  <c r="BM25" i="11"/>
  <c r="BN25" i="11"/>
  <c r="BO25" i="11"/>
  <c r="BP25" i="11"/>
  <c r="BQ25" i="11"/>
  <c r="BM21" i="11"/>
  <c r="BN21" i="11"/>
  <c r="BO21" i="11"/>
  <c r="BP21" i="11"/>
  <c r="BQ21" i="11"/>
  <c r="BM20" i="11"/>
  <c r="BN20" i="11"/>
  <c r="BO20" i="11"/>
  <c r="BP20" i="11"/>
  <c r="BQ20" i="11"/>
  <c r="BM19" i="11"/>
  <c r="BN19" i="11"/>
  <c r="BO19" i="11"/>
  <c r="BP19" i="11"/>
  <c r="BQ19" i="11"/>
  <c r="BM15" i="11"/>
  <c r="BN15" i="11"/>
  <c r="BO15" i="11"/>
  <c r="BP15" i="11"/>
  <c r="BQ15" i="11"/>
  <c r="BM14" i="11"/>
  <c r="BN14" i="11"/>
  <c r="BO14" i="11"/>
  <c r="BP14" i="11"/>
  <c r="BQ14" i="11"/>
  <c r="BM13" i="11"/>
  <c r="BN13" i="11"/>
  <c r="BO13" i="11"/>
  <c r="BP13" i="11"/>
  <c r="BQ13" i="11"/>
  <c r="BM7" i="11"/>
  <c r="BM33" i="11" s="1"/>
  <c r="C19" i="11" s="1"/>
  <c r="BN7" i="11"/>
  <c r="BN33" i="11" s="1"/>
  <c r="C31" i="11" s="1"/>
  <c r="BO7" i="11"/>
  <c r="BO33" i="11" s="1"/>
  <c r="C20" i="11" s="1"/>
  <c r="BP7" i="11"/>
  <c r="BP33" i="11" s="1"/>
  <c r="BQ7" i="11"/>
  <c r="BQ33" i="11" s="1"/>
  <c r="Q18" i="11" l="1"/>
  <c r="G19" i="11"/>
  <c r="L20" i="11"/>
  <c r="L21" i="11" s="1"/>
  <c r="L22" i="11" s="1"/>
  <c r="L23" i="11" s="1"/>
  <c r="L24" i="11" s="1"/>
  <c r="L25" i="11" s="1"/>
  <c r="L26" i="11" s="1"/>
  <c r="L27" i="11" s="1"/>
  <c r="L28" i="11" s="1"/>
  <c r="L29" i="11" s="1"/>
  <c r="L30" i="11" s="1"/>
  <c r="Q30" i="11"/>
  <c r="L32" i="11"/>
  <c r="L33" i="11" s="1"/>
  <c r="L34" i="11" s="1"/>
  <c r="L35" i="11" s="1"/>
  <c r="L36" i="11" s="1"/>
  <c r="L37" i="11" s="1"/>
  <c r="L38" i="11" s="1"/>
  <c r="L39" i="11" s="1"/>
  <c r="L40" i="11" s="1"/>
  <c r="L41" i="11" s="1"/>
  <c r="L42" i="11" s="1"/>
  <c r="C34" i="11"/>
  <c r="Q42" i="11"/>
  <c r="P42" i="11" s="1"/>
  <c r="O42" i="11" s="1"/>
  <c r="K5" i="11"/>
  <c r="K6" i="11"/>
  <c r="K7" i="11"/>
  <c r="K8" i="11"/>
  <c r="K9" i="11"/>
  <c r="K10" i="11"/>
  <c r="K11" i="11"/>
  <c r="K12" i="11"/>
  <c r="K13" i="11"/>
  <c r="K14" i="11"/>
  <c r="K15" i="11"/>
  <c r="Q15" i="11"/>
  <c r="K16" i="11"/>
  <c r="Q16" i="11"/>
  <c r="K17" i="11"/>
  <c r="K18" i="11"/>
  <c r="K20" i="11"/>
  <c r="C21" i="11"/>
  <c r="K21" i="11"/>
  <c r="K22" i="11"/>
  <c r="K23" i="11"/>
  <c r="K24" i="11"/>
  <c r="K25" i="11"/>
  <c r="K26" i="11"/>
  <c r="K27" i="11"/>
  <c r="K28" i="11"/>
  <c r="K29" i="11"/>
  <c r="K30" i="11"/>
  <c r="K32" i="11"/>
  <c r="K33" i="11"/>
  <c r="K34" i="11"/>
  <c r="K35" i="11"/>
  <c r="K36" i="11"/>
  <c r="K37" i="11"/>
  <c r="K38" i="11"/>
  <c r="K39" i="11"/>
  <c r="K40" i="11"/>
  <c r="K41" i="11"/>
  <c r="K42" i="11"/>
  <c r="P16" i="11" l="1"/>
  <c r="O16" i="11" s="1"/>
  <c r="Q14" i="11"/>
  <c r="P15" i="11"/>
  <c r="O15" i="11" s="1"/>
  <c r="N15" i="11" s="1"/>
  <c r="G20" i="11" s="1"/>
  <c r="P30" i="11"/>
  <c r="O30" i="11" s="1"/>
  <c r="N30" i="11" s="1"/>
  <c r="Q31" i="11"/>
  <c r="G21" i="11"/>
  <c r="C32" i="11"/>
  <c r="C35" i="11"/>
  <c r="P18" i="11"/>
  <c r="O18" i="11" s="1"/>
  <c r="N18" i="11" s="1"/>
  <c r="Q19" i="11"/>
  <c r="P19" i="11" l="1"/>
  <c r="O19" i="11" s="1"/>
  <c r="N19" i="11" s="1"/>
  <c r="Q20" i="11"/>
  <c r="P31" i="11"/>
  <c r="O31" i="11" s="1"/>
  <c r="N31" i="11" s="1"/>
  <c r="Q32" i="11"/>
  <c r="G27" i="11"/>
  <c r="G28" i="11"/>
  <c r="G29" i="11"/>
  <c r="G30" i="11"/>
  <c r="G31" i="11"/>
  <c r="Q13" i="11"/>
  <c r="P14" i="11"/>
  <c r="O14" i="11" s="1"/>
  <c r="N14" i="11" s="1"/>
  <c r="C33" i="11"/>
  <c r="N16" i="11"/>
  <c r="Q12" i="11" l="1"/>
  <c r="P13" i="11"/>
  <c r="O13" i="11" s="1"/>
  <c r="N13" i="11" s="1"/>
  <c r="P32" i="11"/>
  <c r="O32" i="11" s="1"/>
  <c r="N32" i="11" s="1"/>
  <c r="Q33" i="11"/>
  <c r="P20" i="11"/>
  <c r="O20" i="11" s="1"/>
  <c r="N20" i="11" s="1"/>
  <c r="Q21" i="11"/>
  <c r="P21" i="11" l="1"/>
  <c r="O21" i="11" s="1"/>
  <c r="N21" i="11" s="1"/>
  <c r="Q22" i="11"/>
  <c r="P33" i="11"/>
  <c r="O33" i="11" s="1"/>
  <c r="N33" i="11" s="1"/>
  <c r="Q34" i="11"/>
  <c r="Q11" i="11"/>
  <c r="P12" i="11"/>
  <c r="O12" i="11" s="1"/>
  <c r="N12" i="11" s="1"/>
  <c r="Q10" i="11" l="1"/>
  <c r="P11" i="11"/>
  <c r="O11" i="11" s="1"/>
  <c r="N11" i="11" s="1"/>
  <c r="P34" i="11"/>
  <c r="O34" i="11" s="1"/>
  <c r="N34" i="11" s="1"/>
  <c r="Q35" i="11"/>
  <c r="P22" i="11"/>
  <c r="O22" i="11" s="1"/>
  <c r="N22" i="11" s="1"/>
  <c r="Q23" i="11"/>
  <c r="P23" i="11" l="1"/>
  <c r="O23" i="11" s="1"/>
  <c r="N23" i="11" s="1"/>
  <c r="Q24" i="11"/>
  <c r="P35" i="11"/>
  <c r="O35" i="11" s="1"/>
  <c r="N35" i="11" s="1"/>
  <c r="Q36" i="11"/>
  <c r="Q9" i="11"/>
  <c r="P10" i="11"/>
  <c r="O10" i="11" s="1"/>
  <c r="N10" i="11" s="1"/>
  <c r="Q8" i="11" l="1"/>
  <c r="P9" i="11"/>
  <c r="O9" i="11" s="1"/>
  <c r="N9" i="11" s="1"/>
  <c r="P36" i="11"/>
  <c r="O36" i="11" s="1"/>
  <c r="N36" i="11" s="1"/>
  <c r="Q37" i="11"/>
  <c r="P24" i="11"/>
  <c r="O24" i="11" s="1"/>
  <c r="N24" i="11" s="1"/>
  <c r="Q25" i="11"/>
  <c r="P25" i="11" l="1"/>
  <c r="O25" i="11" s="1"/>
  <c r="N25" i="11" s="1"/>
  <c r="Q26" i="11"/>
  <c r="P37" i="11"/>
  <c r="O37" i="11" s="1"/>
  <c r="N37" i="11" s="1"/>
  <c r="Q38" i="11"/>
  <c r="Q7" i="11"/>
  <c r="P8" i="11"/>
  <c r="O8" i="11" s="1"/>
  <c r="N8" i="11" s="1"/>
  <c r="Q6" i="11" l="1"/>
  <c r="P7" i="11"/>
  <c r="O7" i="11" s="1"/>
  <c r="N7" i="11" s="1"/>
  <c r="P38" i="11"/>
  <c r="O38" i="11" s="1"/>
  <c r="N38" i="11" s="1"/>
  <c r="Q39" i="11"/>
  <c r="P26" i="11"/>
  <c r="O26" i="11" s="1"/>
  <c r="N26" i="11" s="1"/>
  <c r="Q27" i="11"/>
  <c r="P27" i="11" l="1"/>
  <c r="O27" i="11" s="1"/>
  <c r="N27" i="11" s="1"/>
  <c r="Q28" i="11"/>
  <c r="P39" i="11"/>
  <c r="O39" i="11" s="1"/>
  <c r="N39" i="11" s="1"/>
  <c r="Q40" i="11"/>
  <c r="Q5" i="11"/>
  <c r="P6" i="11"/>
  <c r="O6" i="11" s="1"/>
  <c r="N6" i="11" s="1"/>
  <c r="P5" i="11" l="1"/>
  <c r="O5" i="11" s="1"/>
  <c r="N5" i="11" s="1"/>
  <c r="P40" i="11"/>
  <c r="O40" i="11" s="1"/>
  <c r="N40" i="11" s="1"/>
  <c r="P28" i="11"/>
  <c r="O28" i="11" s="1"/>
  <c r="N28" i="11" s="1"/>
  <c r="R67" i="6" l="1"/>
  <c r="Q67" i="6"/>
  <c r="S67" i="6"/>
  <c r="S216" i="6"/>
  <c r="Q216" i="6"/>
  <c r="R21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E8" authorId="0" shapeId="0" xr:uid="{00000000-0006-0000-0000-000001000000}">
      <text>
        <r>
          <rPr>
            <sz val="12"/>
            <rFont val="Arial"/>
          </rPr>
          <t>This is the only cell that needs a new date entered when making up a template for the next years data. All other date cells have formulas.</t>
        </r>
      </text>
    </comment>
    <comment ref="S11" authorId="0" shapeId="0" xr:uid="{00000000-0006-0000-0000-000002000000}">
      <text>
        <r>
          <rPr>
            <sz val="12"/>
            <rFont val="Arial"/>
          </rPr>
          <t>blair kardash   04/20/00  11:13:47 AM
raw was collected from sp1. It was most likely contaminated with chlorine. The intake for the old wet well was from the new side as the fish screen was removed from the old side. chloride was the same for raw and cw</t>
        </r>
      </text>
    </comment>
    <comment ref="A17" authorId="0" shapeId="0" xr:uid="{00000000-0006-0000-0000-000003000000}">
      <text>
        <r>
          <rPr>
            <sz val="12"/>
            <rFont val="Arial"/>
          </rPr>
          <t xml:space="preserve">blair kardash   01/18/00  02:59:30 PM
1. If temperature or bench dissolved oxygen is not entered the calculation will return "uncalcuable".
2. The dissolved oxygen concentration in mg/L is divided by the saturation concentration of oxygen at the water temperature the sample was collected at. This value is multiplyed by 100 to express as a percentage.
(The saturation of DO is determined using @vlookup for the table called TABLE OXYGEN.)
3. The table values are from Appendix 1 in the Orion Model 820 Instruction Manual.
</t>
        </r>
      </text>
    </comment>
    <comment ref="W33" authorId="0" shapeId="0" xr:uid="{00000000-0006-0000-0000-000004000000}">
      <text>
        <r>
          <rPr>
            <sz val="12"/>
            <rFont val="Arial"/>
          </rPr>
          <t xml:space="preserve">Student using beaker to measure sample volume, not grad cylinder.
</t>
        </r>
      </text>
    </comment>
    <comment ref="A62" authorId="0" shapeId="0" xr:uid="{00000000-0006-0000-0000-000005000000}">
      <text>
        <r>
          <rPr>
            <sz val="12"/>
            <rFont val="Arial"/>
          </rPr>
          <t>blair kardash   01/19/00  01:09:08 PM
1. The source of the NOM in water supplies greatly infuences the composition of the organic matter. Organic matter derived from algal and cyanobacterial biomass is mostly aliphatic and totally devoid of lignins thus does not strongly absorb at 254nm. NOM of soil origin tends to have a higher aromatic fraction than NOM of aquatic origin thus absorbs more strongly at 254nm. (lignin, tannin, humic substances and various aromatic compounds strongly absorb UV)
2. Strong correlations may exist between UV absorption and organic content, colour, and precursors to THM's. It can also be used to monitor organic removal by coagulation and carbon adsorption at BP.
3. see AWWA Journal - January 1995 "Biodegradation of NOM: effect of NOM source and ozone dose". pp 90-105.
see Standard Methods 20th Edition: 5910 UV-Absorbing Constituents. pp 5-65 to 5-68.</t>
        </r>
      </text>
    </comment>
    <comment ref="A63" authorId="0" shapeId="0" xr:uid="{00000000-0006-0000-0000-000006000000}">
      <text>
        <r>
          <rPr>
            <sz val="12"/>
            <rFont val="Arial"/>
          </rPr>
          <t xml:space="preserve">blair kardash   01/19/00  12:06:06 PM
1. The ratio can provide an indication of the degree of unsaturation of the NOM in the source water thus can be used to characterize NOM. UV light is preferentially absorbed by unsaturated chemical bonds (without C-H bonds).
2. A higher UV-to-DOC ratio may suggest a larger fraction of organics may be from soil based humic substances.
A higher UV-to-DOC ratio suggests that the NOM has a larger fraction of unsaturated organic compounds. Organic matter of terrestrial (land) origin is likely to have a higher degree of aromaticity because a substantial component of the organic matter consists of lignin.
3. Keeping track of this over time may aid in getting a handle on where additional organic materials contributing to an increasing level of DOC at BP Lake is derived from.
4. see AWWA Journal - January 1995 "Biodegradation of NOM: effect of NOM source and ozone dose". pp 90-105.
see Standard Methods 20th Edition: 5910 UV-Absorbing Constituents. pp 5-65 to 5-68.
</t>
        </r>
      </text>
    </comment>
    <comment ref="A99" authorId="0" shapeId="0" xr:uid="{00000000-0006-0000-0000-000007000000}">
      <text>
        <r>
          <rPr>
            <sz val="12"/>
            <rFont val="Arial"/>
          </rPr>
          <t>blair kardash   01/19/00  11:51:13 AM
1. The sum of Blue-Green and Green algae counts.
2. If either counts are not entered then the formula will return @ERR.
3. SIGNIFICANCE: These two algal types create the most problems with water treatment - odours, low and high DO, high Mn.</t>
        </r>
      </text>
    </comment>
    <comment ref="F128" authorId="0" shapeId="0" xr:uid="{00000000-0006-0000-0000-000008000000}">
      <text>
        <r>
          <rPr>
            <sz val="12"/>
            <rFont val="Arial"/>
          </rPr>
          <t>blair kardash   12/01/01  02:15:53 PM
started to adjust pH to 4 using 850µL of 1N HCl.
pH 4 buffer used previously was too weak to lower pH of CW to 4.</t>
        </r>
      </text>
    </comment>
    <comment ref="W168" authorId="0" shapeId="0" xr:uid="{00000000-0006-0000-0000-000009000000}">
      <text>
        <r>
          <rPr>
            <sz val="12"/>
            <rFont val="Arial"/>
          </rPr>
          <t>Student using beaker to measure sample volume, not grad cylinder.</t>
        </r>
      </text>
    </comment>
    <comment ref="A207" authorId="0" shapeId="0" xr:uid="{00000000-0006-0000-0000-00000A000000}">
      <text>
        <r>
          <rPr>
            <sz val="12"/>
            <rFont val="Arial"/>
          </rPr>
          <t>blair kardash   06/06/00  11:07:01 AM
1. Clearwell DOC (or PreGAC DOC -if GAC's on) ÷ Raw DOC.
2. Indicator of sufficient alum dose.</t>
        </r>
      </text>
    </comment>
    <comment ref="A208" authorId="0" shapeId="0" xr:uid="{00000000-0006-0000-0000-00000B000000}">
      <text>
        <r>
          <rPr>
            <sz val="12"/>
            <rFont val="Arial"/>
          </rPr>
          <t>blair kardash   06/06/00  11:54:21 AM
1. (PreGAC DOC - CW DOC) ÷ preGAC DOC.
2. Calculates the amount (after coagulation and filtration) of DOC removed by GAC's.
3. Indicates the efficiency of organic carbon removal by GAC. This decreases over time.</t>
        </r>
      </text>
    </comment>
    <comment ref="A209" authorId="0" shapeId="0" xr:uid="{00000000-0006-0000-0000-00000C000000}">
      <text>
        <r>
          <rPr>
            <sz val="12"/>
            <rFont val="Arial"/>
          </rPr>
          <t>1. (Raw DOC - CW DOC) ÷ Raw DOC
2. Measures the total amount of organic carbon removed by complete water treatment.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B184" authorId="0" shapeId="0" xr:uid="{00000000-0006-0000-0500-000001000000}">
      <text>
        <r>
          <rPr>
            <sz val="12"/>
            <rFont val="Arial"/>
          </rPr>
          <t>These values are averaged with results from the previous year which are located in the range CW AL PREYEAR.
Example: 
Total Aluminum average for June is calculated by averaging Jan to June of this year and July to Dec of the previous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A1" authorId="0" shapeId="0" xr:uid="{00000000-0006-0000-0C00-000001000000}">
      <text>
        <r>
          <rPr>
            <sz val="12"/>
            <rFont val="Arial"/>
          </rPr>
          <t>blair kardash   01/13/00  02:05:42 PM
reference for table:
Standard Methods 18th Edition p. 4-101</t>
        </r>
      </text>
    </comment>
  </commentList>
</comments>
</file>

<file path=xl/sharedStrings.xml><?xml version="1.0" encoding="utf-8"?>
<sst xmlns="http://schemas.openxmlformats.org/spreadsheetml/2006/main" count="1329" uniqueCount="544">
  <si>
    <t>2001 - BUFFALO POUND WATER QUALITY DATA</t>
  </si>
  <si>
    <t>RAW LAKE WATER</t>
  </si>
  <si>
    <t xml:space="preserve">                            </t>
  </si>
  <si>
    <t>Parameters</t>
  </si>
  <si>
    <t>Units</t>
  </si>
  <si>
    <t>to</t>
  </si>
  <si>
    <t>current year chart</t>
  </si>
  <si>
    <t>Weekly Routine Tests Done - not including bacteria, algae, chemical doses or chlorine residuals (done daily and are determined seperately)</t>
  </si>
  <si>
    <t xml:space="preserve">PHYSICAL   </t>
  </si>
  <si>
    <t>Colour (Apparent)</t>
  </si>
  <si>
    <t>Pt/Co</t>
  </si>
  <si>
    <t>Conductivity</t>
  </si>
  <si>
    <t>µS/cm</t>
  </si>
  <si>
    <t>Bench Diss. Oxygen</t>
  </si>
  <si>
    <t>mg/L</t>
  </si>
  <si>
    <t>%</t>
  </si>
  <si>
    <t>CY Chart</t>
  </si>
  <si>
    <t>ON-LINE Diss. Oxygen</t>
  </si>
  <si>
    <t xml:space="preserve">Odour </t>
  </si>
  <si>
    <t>T.O.N.</t>
  </si>
  <si>
    <t>Particles</t>
  </si>
  <si>
    <t>per ml</t>
  </si>
  <si>
    <t>pH</t>
  </si>
  <si>
    <t>pH units</t>
  </si>
  <si>
    <t>SST</t>
  </si>
  <si>
    <t>SSV</t>
  </si>
  <si>
    <t>SSF</t>
  </si>
  <si>
    <t>Temperature</t>
  </si>
  <si>
    <t>° C</t>
  </si>
  <si>
    <t>Turbidity</t>
  </si>
  <si>
    <t>NTU</t>
  </si>
  <si>
    <t>TDS</t>
  </si>
  <si>
    <t>mg/L(calc)</t>
  </si>
  <si>
    <t>Langelier Index (RTW)</t>
  </si>
  <si>
    <t xml:space="preserve">pH units (calc)   </t>
  </si>
  <si>
    <t>MAJOR CONSTITUENTS</t>
  </si>
  <si>
    <t>Alkalinity(p)</t>
  </si>
  <si>
    <t>mg/L CaCO3</t>
  </si>
  <si>
    <t>Alkalinity(total)</t>
  </si>
  <si>
    <t>Bicarbonate</t>
  </si>
  <si>
    <t>Carbonate</t>
  </si>
  <si>
    <t>Calcium</t>
  </si>
  <si>
    <t>Magnesium</t>
  </si>
  <si>
    <t>Hardness (total)</t>
  </si>
  <si>
    <t>Sodium</t>
  </si>
  <si>
    <t>Potassium</t>
  </si>
  <si>
    <t>Sulphate</t>
  </si>
  <si>
    <t>Chloride</t>
  </si>
  <si>
    <t>TRACE CONSTITUENTS</t>
  </si>
  <si>
    <t>Aluminum (dissolved 0.45µ)</t>
  </si>
  <si>
    <t>ugL</t>
  </si>
  <si>
    <t>Aluminum (total)</t>
  </si>
  <si>
    <t>ug/L</t>
  </si>
  <si>
    <t>Aluminum (particulate)</t>
  </si>
  <si>
    <t>µg/L (Calc)</t>
  </si>
  <si>
    <t>Ammonia N</t>
  </si>
  <si>
    <t>mg/L N</t>
  </si>
  <si>
    <t>BOD (5-day)</t>
  </si>
  <si>
    <t>Bromide</t>
  </si>
  <si>
    <t>Chlorophyll a</t>
  </si>
  <si>
    <t>µg/L</t>
  </si>
  <si>
    <t>Fluoride</t>
  </si>
  <si>
    <t>Iron (dissolved)</t>
  </si>
  <si>
    <t>Iron (total)</t>
  </si>
  <si>
    <t>Manganese (dissolved)</t>
  </si>
  <si>
    <t>Manganese(total)</t>
  </si>
  <si>
    <t>Nitrate</t>
  </si>
  <si>
    <t>Organic N</t>
  </si>
  <si>
    <t>Raw TOC</t>
  </si>
  <si>
    <t>mg/L C (UV)</t>
  </si>
  <si>
    <t>Raw DOC (GF diss)</t>
  </si>
  <si>
    <t>Org. Carbon (diss @ 254nm)</t>
  </si>
  <si>
    <t>Abs 10cm</t>
  </si>
  <si>
    <t>UV@254/Raw DOC</t>
  </si>
  <si>
    <t>ratio</t>
  </si>
  <si>
    <t>Phosphate(ortho)</t>
  </si>
  <si>
    <t>µg/L P</t>
  </si>
  <si>
    <t>Phosphate(total)</t>
  </si>
  <si>
    <t>Silica (SiO3)</t>
  </si>
  <si>
    <t>Sulphide</t>
  </si>
  <si>
    <t>PreFM</t>
  </si>
  <si>
    <t>TTHM's (total)</t>
  </si>
  <si>
    <t>µg/L(calc)</t>
  </si>
  <si>
    <t>Chloroform</t>
  </si>
  <si>
    <t>Bromodichloromethane</t>
  </si>
  <si>
    <t>Chlorodibromomethane</t>
  </si>
  <si>
    <t>Bromoform</t>
  </si>
  <si>
    <t>BIOLOGICAL</t>
  </si>
  <si>
    <t>Blue Green Algae (x10^-3)</t>
  </si>
  <si>
    <t>per litre</t>
  </si>
  <si>
    <t>Green Algae (x10^-3)</t>
  </si>
  <si>
    <t>Diatoms (x10^-3)</t>
  </si>
  <si>
    <t>Flagellates (x10^-3)</t>
  </si>
  <si>
    <t>Crustaceans</t>
  </si>
  <si>
    <t>Nematodes (x10^-3)</t>
  </si>
  <si>
    <t>Rotifers (x10^-3)</t>
  </si>
  <si>
    <t>Other (x10^-3)</t>
  </si>
  <si>
    <t>Total Green &amp; B-G</t>
  </si>
  <si>
    <t>BACTERIOLOGICAL</t>
  </si>
  <si>
    <t>Total Coliforms</t>
  </si>
  <si>
    <t>per 100 ml</t>
  </si>
  <si>
    <t>Faecal Coliforms</t>
  </si>
  <si>
    <t>E. coli</t>
  </si>
  <si>
    <t>Faecal Streptococci</t>
  </si>
  <si>
    <t>Standard Plate Count</t>
  </si>
  <si>
    <t>per 1 ml</t>
  </si>
  <si>
    <t>CHEMICAL DOSES</t>
  </si>
  <si>
    <t>Alum</t>
  </si>
  <si>
    <t>Alum\Raw DOC</t>
  </si>
  <si>
    <t>Chlorine-pre</t>
  </si>
  <si>
    <t>Chlorine-intermed</t>
  </si>
  <si>
    <t>Chlorine-post</t>
  </si>
  <si>
    <t>Fluoride (Set Point for MJ)</t>
  </si>
  <si>
    <t>Powdered Carbon</t>
  </si>
  <si>
    <t>Total Chlorine dose</t>
  </si>
  <si>
    <t>mg/L (Calc)</t>
  </si>
  <si>
    <t>Date GAC`s ON</t>
  </si>
  <si>
    <t>Date GAC`s OFF</t>
  </si>
  <si>
    <t>Date Ice ON Lake</t>
  </si>
  <si>
    <t>Date Ice OFF Lake</t>
  </si>
  <si>
    <t>Date PAC ON</t>
  </si>
  <si>
    <t>Date PAC OFF</t>
  </si>
  <si>
    <t>Chlorine Residuals Exit Plant (week avg.)</t>
  </si>
  <si>
    <t>Free Chlorine</t>
  </si>
  <si>
    <t>Combined Chlorine</t>
  </si>
  <si>
    <t>CLEAR WELL</t>
  </si>
  <si>
    <t xml:space="preserve">Units     </t>
  </si>
  <si>
    <t>Diss. Oxygen</t>
  </si>
  <si>
    <t>% Sat. Diss. Oxygen</t>
  </si>
  <si>
    <t>Odour (Chlorinated)</t>
  </si>
  <si>
    <t>Odour(Dechlorinated)</t>
  </si>
  <si>
    <t>PreGAC Odour</t>
  </si>
  <si>
    <t>Odour Removal by Coagulation and Filtration</t>
  </si>
  <si>
    <t>Odour Removal Overall</t>
  </si>
  <si>
    <t>per 10 ml</t>
  </si>
  <si>
    <t>Coagulation pH (Channel 1)</t>
  </si>
  <si>
    <t>Dissolved Solids</t>
  </si>
  <si>
    <t>Particle Log Removal</t>
  </si>
  <si>
    <t>(calc)</t>
  </si>
  <si>
    <t>Turbidity Log Removal</t>
  </si>
  <si>
    <t xml:space="preserve">pH units (calc)  </t>
  </si>
  <si>
    <t>CLEARWELL</t>
  </si>
  <si>
    <t>µg/L Chart</t>
  </si>
  <si>
    <t>Aluminum (total 12 mo avg)</t>
  </si>
  <si>
    <t>Mixed Media Filter 1</t>
  </si>
  <si>
    <t>Mixed Media Filter 12</t>
  </si>
  <si>
    <t>PreGAC</t>
  </si>
  <si>
    <t>Aluminum (dissolved)</t>
  </si>
  <si>
    <t>CW or PreGAC Al (total)</t>
  </si>
  <si>
    <t>Fluoride (actual MJ dose)</t>
  </si>
  <si>
    <t>mg/L (wk avg)</t>
  </si>
  <si>
    <t>Manganese (total)</t>
  </si>
  <si>
    <t>CW TOC</t>
  </si>
  <si>
    <t>mg/L C(UV)</t>
  </si>
  <si>
    <t>CW DOC (GF diss)</t>
  </si>
  <si>
    <t>PreGAC DOC (GF diss)</t>
  </si>
  <si>
    <t>DOC Removal by Coagulation &amp; Filtration</t>
  </si>
  <si>
    <t>% Removal</t>
  </si>
  <si>
    <t>DOC Removal by GAC Filtration</t>
  </si>
  <si>
    <t>Total DOC (% Removal)</t>
  </si>
  <si>
    <t>CW Organic Carbon (diss @ 254nm)</t>
  </si>
  <si>
    <t>UV@254/CW DOC</t>
  </si>
  <si>
    <t>PreGAC Organic Carbon (diss @ 254nm)</t>
  </si>
  <si>
    <t>CHANNEL</t>
  </si>
  <si>
    <t>Blue Green Algae</t>
  </si>
  <si>
    <t>Green Algae</t>
  </si>
  <si>
    <t>Diatoms</t>
  </si>
  <si>
    <t>Flagellates</t>
  </si>
  <si>
    <t>Nematodes</t>
  </si>
  <si>
    <t>Rotifers</t>
  </si>
  <si>
    <t>Other</t>
  </si>
  <si>
    <t>per 1 mL</t>
  </si>
  <si>
    <t>RAW WATER ION BALANCE (SILICA NOT ADDED TO POSITIVE ION SUM)</t>
  </si>
  <si>
    <t xml:space="preserve">Positive Ion sum </t>
  </si>
  <si>
    <t>(meq/L)</t>
  </si>
  <si>
    <t xml:space="preserve">Negative Ion Sum </t>
  </si>
  <si>
    <t>Difference</t>
  </si>
  <si>
    <t>% Error</t>
  </si>
  <si>
    <t>Acceptable Difference</t>
  </si>
  <si>
    <t>(0.1065+(0.0155*neg ion sum))</t>
  </si>
  <si>
    <t>Normal Ion Balance in %</t>
  </si>
  <si>
    <t>(Standard Methods)</t>
  </si>
  <si>
    <t>TREATED WATER ION BALANCE (SILICA NOT ADDED TO POSITIVE ION SUM)</t>
  </si>
  <si>
    <t>Raw</t>
  </si>
  <si>
    <t>A  =</t>
  </si>
  <si>
    <t>log TDS =</t>
  </si>
  <si>
    <t xml:space="preserve">  B  =</t>
  </si>
  <si>
    <t>Log(Ca) =</t>
  </si>
  <si>
    <t>Log(alk)=</t>
  </si>
  <si>
    <t>CW</t>
  </si>
  <si>
    <t xml:space="preserve">  A  =</t>
  </si>
  <si>
    <t>RAW WATER ION BALANCE  1996 (SILICA ADDED TO POSITIVE ION SUM)</t>
  </si>
  <si>
    <t>YTD Average</t>
  </si>
  <si>
    <t>TREATED WATER ION BALANCE 1996 (SILICA ADDED TO POSITIVE ION SUM)</t>
  </si>
  <si>
    <t>CLEARWELL parameters for RTW</t>
  </si>
  <si>
    <t>CORRELATIONS</t>
  </si>
  <si>
    <t>On Chart ?</t>
  </si>
  <si>
    <t>Measured TDS</t>
  </si>
  <si>
    <t>Measured temperature</t>
  </si>
  <si>
    <t>deg C</t>
  </si>
  <si>
    <t>CW Al (p) to alum/raw DOC:</t>
  </si>
  <si>
    <t>Measured pH</t>
  </si>
  <si>
    <t>PreCl2 to Chan THM's</t>
  </si>
  <si>
    <t>Measured alk, as CaCO3</t>
  </si>
  <si>
    <t>Total Cl2 to Raw DOC</t>
  </si>
  <si>
    <t>Measured Ca, as CaCO3</t>
  </si>
  <si>
    <t>Alum Dose to DOC removal:</t>
  </si>
  <si>
    <t>Measured Cl</t>
  </si>
  <si>
    <t>Chlor A to T Grn &amp; BG Algae</t>
  </si>
  <si>
    <t>Measured SO4</t>
  </si>
  <si>
    <t>Buffalo Pound WTP Lagoon Effluent : 1998-</t>
  </si>
  <si>
    <t>Date Sample Collected</t>
  </si>
  <si>
    <t>Lagoon</t>
  </si>
  <si>
    <t>Turbidity (NTU)</t>
  </si>
  <si>
    <t>SST (mg/L)</t>
  </si>
  <si>
    <t>SSV (mg/L)</t>
  </si>
  <si>
    <t>SSF  (mg/L)</t>
  </si>
  <si>
    <t>DO (mg/L)</t>
  </si>
  <si>
    <t>Colour (Pt/Co)</t>
  </si>
  <si>
    <t>Free Chlorine (mg/L)</t>
  </si>
  <si>
    <t>Combined Chlorine (mg/L)</t>
  </si>
  <si>
    <t>Comments</t>
  </si>
  <si>
    <t>Winter-SOUTH</t>
  </si>
  <si>
    <t>Summer-SW</t>
  </si>
  <si>
    <t>switched lagoons</t>
  </si>
  <si>
    <t>extremely windy day</t>
  </si>
  <si>
    <t>Summer-NE</t>
  </si>
  <si>
    <t>&lt;</t>
  </si>
  <si>
    <t>Gene notified of carryover</t>
  </si>
  <si>
    <t>Summer-NW</t>
  </si>
  <si>
    <t xml:space="preserve">switched lagoons </t>
  </si>
  <si>
    <t>Summer-SE</t>
  </si>
  <si>
    <t>Switched lagoons 24/9</t>
  </si>
  <si>
    <t>Winter-East</t>
  </si>
  <si>
    <t>Switched lagoons 30/10</t>
  </si>
  <si>
    <t>lab accident for tss</t>
  </si>
  <si>
    <t>very windy</t>
  </si>
  <si>
    <t>Feed to lagoons off for July to repair pump.  Lagoon switched and service resumed this week.</t>
  </si>
  <si>
    <t>Lagoon change</t>
  </si>
  <si>
    <t>Winter-S</t>
  </si>
  <si>
    <t>Lagoon change 06-Dec-99</t>
  </si>
  <si>
    <t>Lagoon switched to Summer-SW on 22-Mar-00</t>
  </si>
  <si>
    <t>Lagoon switched to Winter-South on 2-may-00</t>
  </si>
  <si>
    <t>Summer SE</t>
  </si>
  <si>
    <t>lagoon changed to NE on 21-aug-00</t>
  </si>
  <si>
    <t>Summer NE</t>
  </si>
  <si>
    <t>lagoon changed on Oct 19, 2000</t>
  </si>
  <si>
    <t>Summer NW</t>
  </si>
  <si>
    <t>Lagoon changed on Nov 9, 2000 to Winter east Lagoon.</t>
  </si>
  <si>
    <t>Winter-E</t>
  </si>
  <si>
    <t>Lagoon changed to Summer NE today</t>
  </si>
  <si>
    <t>high  winds when sample collected</t>
  </si>
  <si>
    <t>Gene notified of carry-over.</t>
  </si>
  <si>
    <t>Gene notified to change lagoons soon.</t>
  </si>
  <si>
    <t>Switched to Summer-NW lagoon August 9</t>
  </si>
  <si>
    <t>Some carryover - Gene told</t>
  </si>
  <si>
    <t>Carryover - Notified Gene</t>
  </si>
  <si>
    <t>Switched to Summer-SW on Oct 10, 2001</t>
  </si>
  <si>
    <t>Gene notified of carryover.</t>
  </si>
  <si>
    <t>Gene notified of carryover.  Switched to Winter South on November 15.</t>
  </si>
  <si>
    <t>Alum - 55ppm Blowoff - 2 min</t>
  </si>
  <si>
    <t/>
  </si>
  <si>
    <t>Average:</t>
  </si>
  <si>
    <t>Lagoon:</t>
  </si>
  <si>
    <t>Winter-South</t>
  </si>
  <si>
    <t>Date On:</t>
  </si>
  <si>
    <t>Date Off:</t>
  </si>
  <si>
    <t>Total Days ON:</t>
  </si>
  <si>
    <t>Total Tests for 2001:</t>
  </si>
  <si>
    <t>BPWTP Dissolved Organic Carbon (DOC) Profile</t>
  </si>
  <si>
    <t>Actual DOC Results (mg/L)</t>
  </si>
  <si>
    <t>DOC % Removal</t>
  </si>
  <si>
    <t>Date</t>
  </si>
  <si>
    <t>Alum Dose</t>
  </si>
  <si>
    <t>FM</t>
  </si>
  <si>
    <t>Channel</t>
  </si>
  <si>
    <t>PreGAC/CW</t>
  </si>
  <si>
    <t>PAC ON</t>
  </si>
  <si>
    <t>GAC's on May 31</t>
  </si>
  <si>
    <t>2001 Average</t>
  </si>
  <si>
    <t>2000 Average</t>
  </si>
  <si>
    <t>1999 Average:</t>
  </si>
  <si>
    <t>1998 Average:</t>
  </si>
  <si>
    <t>Min:</t>
  </si>
  <si>
    <t>Max:</t>
  </si>
  <si>
    <t>Total Channel Tests for 2001:</t>
  </si>
  <si>
    <t>Clearwell - SDSTHMC</t>
  </si>
  <si>
    <t>DOC (mg/L)</t>
  </si>
  <si>
    <t>Trihalomethanes (µg/L)</t>
  </si>
  <si>
    <t>Chlorine (mg/L)</t>
  </si>
  <si>
    <t>Collected</t>
  </si>
  <si>
    <t>Initial (I) Analyzed</t>
  </si>
  <si>
    <t>Final (F) Analyzed</t>
  </si>
  <si>
    <t>I pH</t>
  </si>
  <si>
    <t>F pH</t>
  </si>
  <si>
    <t>I DOC</t>
  </si>
  <si>
    <t>F DOC</t>
  </si>
  <si>
    <t>I CHCl3</t>
  </si>
  <si>
    <t>F CHCl3</t>
  </si>
  <si>
    <t>I CHCl2Br</t>
  </si>
  <si>
    <t>F CHCl2Br</t>
  </si>
  <si>
    <t>I CHBr2Cl</t>
  </si>
  <si>
    <t>F CHBr2Cl</t>
  </si>
  <si>
    <t>I CHBr3</t>
  </si>
  <si>
    <t>F CHBr3</t>
  </si>
  <si>
    <t>I Total</t>
  </si>
  <si>
    <t>F Total</t>
  </si>
  <si>
    <t>I Free</t>
  </si>
  <si>
    <t>F Free</t>
  </si>
  <si>
    <t>I  Combined</t>
  </si>
  <si>
    <t>F Combined</t>
  </si>
  <si>
    <t>Contactor's off 12-Nov-99</t>
  </si>
  <si>
    <t>Jan 17 - chlorine on at channel and off at LPS</t>
  </si>
  <si>
    <t>Feb 21 - chlorine off at channel and started at LPS</t>
  </si>
  <si>
    <t>pH meter was changed on Mar 24</t>
  </si>
  <si>
    <t>Only 6 days!</t>
  </si>
  <si>
    <t>8 days</t>
  </si>
  <si>
    <t>% Difference:</t>
  </si>
  <si>
    <t>preGAC - SDSTHMC</t>
  </si>
  <si>
    <t>N/A</t>
  </si>
  <si>
    <t>--</t>
  </si>
  <si>
    <t>page 1</t>
  </si>
  <si>
    <t xml:space="preserve"> JAN  Avg</t>
  </si>
  <si>
    <t xml:space="preserve"> FEB  Avg</t>
  </si>
  <si>
    <t xml:space="preserve"> MAR  Avg</t>
  </si>
  <si>
    <t xml:space="preserve"> APR  Avg</t>
  </si>
  <si>
    <t xml:space="preserve"> MAY  Avg</t>
  </si>
  <si>
    <t xml:space="preserve"> JUN  Avg</t>
  </si>
  <si>
    <t xml:space="preserve"> JUL  Avg</t>
  </si>
  <si>
    <t xml:space="preserve"> AUG  Avg</t>
  </si>
  <si>
    <t xml:space="preserve"> SEP  Avg</t>
  </si>
  <si>
    <t xml:space="preserve"> OCT  Avg</t>
  </si>
  <si>
    <t xml:space="preserve"> NOV  Avg</t>
  </si>
  <si>
    <t xml:space="preserve"> DEC  Avg</t>
  </si>
  <si>
    <t>YEAR AVG</t>
  </si>
  <si>
    <t>YEAR MIN</t>
  </si>
  <si>
    <t>YEAR MAX</t>
  </si>
  <si>
    <t>Number of Tests Done</t>
  </si>
  <si>
    <t>Continued...</t>
  </si>
  <si>
    <t>page 2</t>
  </si>
  <si>
    <t>TREATED WATER</t>
  </si>
  <si>
    <t>page 3</t>
  </si>
  <si>
    <t xml:space="preserve"> JAN  00 Avg</t>
  </si>
  <si>
    <t xml:space="preserve"> FEB  00 Avg</t>
  </si>
  <si>
    <t xml:space="preserve"> MAR  00 Avg</t>
  </si>
  <si>
    <t xml:space="preserve"> APR  00 Avg</t>
  </si>
  <si>
    <t xml:space="preserve"> MAY  00 Avg</t>
  </si>
  <si>
    <t xml:space="preserve"> JUN  00 Avg</t>
  </si>
  <si>
    <t xml:space="preserve"> JUL  00 Avg</t>
  </si>
  <si>
    <t xml:space="preserve"> AUG  00 Avg</t>
  </si>
  <si>
    <t xml:space="preserve"> SEP  00 Avg</t>
  </si>
  <si>
    <t xml:space="preserve"> OCT  00 Avg</t>
  </si>
  <si>
    <t xml:space="preserve"> NOV  00 Avg</t>
  </si>
  <si>
    <t xml:space="preserve"> DEC  00 Avg</t>
  </si>
  <si>
    <t>PREGAC</t>
  </si>
  <si>
    <t>page 4</t>
  </si>
  <si>
    <t xml:space="preserve">          </t>
  </si>
  <si>
    <t>*</t>
  </si>
  <si>
    <t>*Note: Faecal Coliforms analyzed ONLY if Total Coliforms Detected.</t>
  </si>
  <si>
    <t>Total Tests Done</t>
  </si>
  <si>
    <t>The RTW Model Ver. 2.0</t>
  </si>
  <si>
    <t>ID:</t>
  </si>
  <si>
    <t>XYZ Water Co., Sample Point 3b, 8/12/93</t>
  </si>
  <si>
    <t>PRINT</t>
  </si>
  <si>
    <t>CHEMLIST</t>
  </si>
  <si>
    <t>Chemicals Available for Use in RTW Model</t>
  </si>
  <si>
    <t>Interim</t>
  </si>
  <si>
    <t>Final</t>
  </si>
  <si>
    <t>Tk</t>
  </si>
  <si>
    <t>/AIWYSIWYG~P{EDIT}RSA1..J41~G</t>
  </si>
  <si>
    <t>{GOTO}BA1~</t>
  </si>
  <si>
    <t>STEP 1:  Enter initial water characteristics.</t>
  </si>
  <si>
    <t>STEP 2:  Enter amount of each chemical</t>
  </si>
  <si>
    <t>Acd, mg/l</t>
  </si>
  <si>
    <t xml:space="preserve">     pH</t>
  </si>
  <si>
    <t xml:space="preserve">   pHs</t>
  </si>
  <si>
    <t xml:space="preserve"> Ca, mg/l</t>
  </si>
  <si>
    <t>Alk, mg/l</t>
  </si>
  <si>
    <t>I</t>
  </si>
  <si>
    <t>Indicate with a Y those chemicals which you want to include in the input area.</t>
  </si>
  <si>
    <t>to be added (expressed as 100% chemical).</t>
  </si>
  <si>
    <t>E</t>
  </si>
  <si>
    <t>Up to 10 may be used at one time.  Press HOME to return to the main screen.</t>
  </si>
  <si>
    <t>Press Alt+C to select chemicals for this list.</t>
  </si>
  <si>
    <t>A</t>
  </si>
  <si>
    <t>f(I)</t>
  </si>
  <si>
    <t xml:space="preserve">      Y or N?</t>
  </si>
  <si>
    <t>Chemical Name</t>
  </si>
  <si>
    <t>Alk</t>
  </si>
  <si>
    <t>Acd</t>
  </si>
  <si>
    <t>Ca</t>
  </si>
  <si>
    <t>Cl</t>
  </si>
  <si>
    <t>SO4</t>
  </si>
  <si>
    <t>dose</t>
  </si>
  <si>
    <t>K1</t>
  </si>
  <si>
    <t>Forms of CaCO3 and their solubility product constants</t>
  </si>
  <si>
    <t>y</t>
  </si>
  <si>
    <t>Alum *18H2O</t>
  </si>
  <si>
    <t>K2</t>
  </si>
  <si>
    <t>Form #</t>
  </si>
  <si>
    <t>1</t>
  </si>
  <si>
    <t>2</t>
  </si>
  <si>
    <t>3</t>
  </si>
  <si>
    <t>4</t>
  </si>
  <si>
    <t>n</t>
  </si>
  <si>
    <t>Alum 50% solution</t>
  </si>
  <si>
    <t>Kw</t>
  </si>
  <si>
    <t>Preferred</t>
  </si>
  <si>
    <t>Calcite</t>
  </si>
  <si>
    <t>Aragonite</t>
  </si>
  <si>
    <t>Vaterite</t>
  </si>
  <si>
    <t>General</t>
  </si>
  <si>
    <t>Aluminum Chloride</t>
  </si>
  <si>
    <t>Ks</t>
  </si>
  <si>
    <t>Calcium carbonate</t>
  </si>
  <si>
    <t>For CT and TTHM functions enter current:</t>
  </si>
  <si>
    <t>fm</t>
  </si>
  <si>
    <t>Calcium chloride</t>
  </si>
  <si>
    <t>Treated water pH</t>
  </si>
  <si>
    <t>fd</t>
  </si>
  <si>
    <t>Calcium hypochlorite</t>
  </si>
  <si>
    <t>Chlorine residual</t>
  </si>
  <si>
    <t>K1p</t>
  </si>
  <si>
    <t>Carbon dioxide</t>
  </si>
  <si>
    <t>Chlorine or hypochlorite dose</t>
  </si>
  <si>
    <t>K2p</t>
  </si>
  <si>
    <t>Caustic soda</t>
  </si>
  <si>
    <t xml:space="preserve">    as chlorine equivalent</t>
  </si>
  <si>
    <t>Kwp</t>
  </si>
  <si>
    <t>Chlorine gas</t>
  </si>
  <si>
    <t>Ksp</t>
  </si>
  <si>
    <t>Ferric chloride</t>
  </si>
  <si>
    <t>STEP 3:  Adjust at Step 2 until interim water characteristics meet your criteria.</t>
  </si>
  <si>
    <t>Ferric sulfate *9H2O</t>
  </si>
  <si>
    <t>Theoretical interim water characteristics</t>
  </si>
  <si>
    <t>Desired</t>
  </si>
  <si>
    <t>Ferrous sulfate *7H2O</t>
  </si>
  <si>
    <t>Interim alkalinity</t>
  </si>
  <si>
    <t>&gt; 40 mg/L</t>
  </si>
  <si>
    <t>Interim pH</t>
  </si>
  <si>
    <t>6.8-9.3</t>
  </si>
  <si>
    <t>Hydrochloric acid</t>
  </si>
  <si>
    <t>Interim Ca, as CaCO3</t>
  </si>
  <si>
    <t>Precipitation potential</t>
  </si>
  <si>
    <t>4-10 mg/L</t>
  </si>
  <si>
    <t>Hydrofluosilicic acid</t>
  </si>
  <si>
    <t>Alk/(Cl+SO4)</t>
  </si>
  <si>
    <t>&gt; 5.0</t>
  </si>
  <si>
    <t>Langelier index</t>
  </si>
  <si>
    <t>&gt;0</t>
  </si>
  <si>
    <t>Lime (slaked)</t>
  </si>
  <si>
    <t>Press PAGE DOWN for additional initial, interim and final water characteristics if desired.</t>
  </si>
  <si>
    <t>Phosphoric acid</t>
  </si>
  <si>
    <t>Potassium Hydroxide</t>
  </si>
  <si>
    <t>Quicklime</t>
  </si>
  <si>
    <t>Calculated initial water characteristics</t>
  </si>
  <si>
    <t>Theoretical final water characteristics</t>
  </si>
  <si>
    <t>Soda ash</t>
  </si>
  <si>
    <t>Initial acidity</t>
  </si>
  <si>
    <t>after CaCO3 precipitation</t>
  </si>
  <si>
    <t>Sodium bicarbonate</t>
  </si>
  <si>
    <t>Initial Ca sat, as CaCO3</t>
  </si>
  <si>
    <t>Final alkalinity</t>
  </si>
  <si>
    <t>Sodium hypochlorite</t>
  </si>
  <si>
    <t>Initial DIC, as CaCO3</t>
  </si>
  <si>
    <t>Final Ca</t>
  </si>
  <si>
    <t>Y</t>
  </si>
  <si>
    <t>Sulfuric Acid</t>
  </si>
  <si>
    <t>Final acidity</t>
  </si>
  <si>
    <t>Zinc Sulfate</t>
  </si>
  <si>
    <t>Final pH</t>
  </si>
  <si>
    <t>User specified*</t>
  </si>
  <si>
    <t>Interim acidity</t>
  </si>
  <si>
    <t>Final DIC, as CaCO3</t>
  </si>
  <si>
    <t>Interim Ca sat, as CaCO3</t>
  </si>
  <si>
    <t>* See User's Manual for information on user specified chemicals</t>
  </si>
  <si>
    <t>Ryznar index</t>
  </si>
  <si>
    <t>Interim DIC, as CaCO3</t>
  </si>
  <si>
    <t xml:space="preserve">          Press PAGE UP to review measured</t>
  </si>
  <si>
    <t>Alt+C to add to list</t>
  </si>
  <si>
    <t>Aggressiveness Index</t>
  </si>
  <si>
    <t xml:space="preserve">          initial water characteristics, chemical</t>
  </si>
  <si>
    <t xml:space="preserve">          addition quantities and additional</t>
  </si>
  <si>
    <t>CT and TTHM Results</t>
  </si>
  <si>
    <t xml:space="preserve">          interim water characteristics.</t>
  </si>
  <si>
    <t>Required chlorine residual to maintain current</t>
  </si>
  <si>
    <t xml:space="preserve">      level of giardia inactivation</t>
  </si>
  <si>
    <t>Estimated maximum total trihalomethane concentration change from current level</t>
  </si>
  <si>
    <t>Macro Menu: Press ALT+P to print spreadsheet to a graphics printer.</t>
  </si>
  <si>
    <t>CHOICEPICK</t>
  </si>
  <si>
    <t># of weeks in choice</t>
  </si>
  <si>
    <t>CHOICE</t>
  </si>
  <si>
    <t>EXIT</t>
  </si>
  <si>
    <t>{GOTO}CHEMLIST~</t>
  </si>
  <si>
    <t>{IF @sum(chemlist)&gt;0}{EDIT-CLEAR chemlist;"contents"}</t>
  </si>
  <si>
    <t>\C</t>
  </si>
  <si>
    <t>{CHOOSE-ITEM choice;choicepick;"Which week would you like the Langelier Index determined?";"CHOOSE-WEEK"}</t>
  </si>
  <si>
    <t>{IF @CELL("TYPE";choicepick)="B"}{QUIT}</t>
  </si>
  <si>
    <t>{IF choicepick=0}{QUIT}</t>
  </si>
  <si>
    <t>{GOTO}janwk1~{R +choicepick-1}{D +@ROWS(RN RAWTDS)-1}</t>
  </si>
  <si>
    <t>{RANGE-NAME-CREATE "checktds"}</t>
  </si>
  <si>
    <t>{IF checktds=0}{BRANCH alrt1}</t>
  </si>
  <si>
    <t>{RANGE-NAME-DELETE "checktds"}</t>
  </si>
  <si>
    <t>RAW DATA</t>
  </si>
  <si>
    <t>{EDIT-COPY}{EDIT-PASTE-SPECIAL tds;"VALUES"}</t>
  </si>
  <si>
    <t>COPY TDS</t>
  </si>
  <si>
    <t>{U +@ROWS(RN RAWTEMP)-1}{EDIT-COPY}{EDIT-PASTE-SPECIAL temp;"VALUES"}</t>
  </si>
  <si>
    <t>COPY TEMP</t>
  </si>
  <si>
    <t>{U +@ROWS(RN RAWPH)-1}{EDIT-COPY}{EDIT-PASTE-SPECIAL ph;"VALUES"}</t>
  </si>
  <si>
    <t>COPY pH</t>
  </si>
  <si>
    <t>{D +@ROWS(RN RAWALK)-1}{EDIT-COPY}{EDIT-PASTE-SPECIAL alk;"VALUES"}</t>
  </si>
  <si>
    <t>COPY ALK</t>
  </si>
  <si>
    <t>{D +@ROWS(RN RAWCA)-1}{EDIT-COPY}{EDIT-PASTE-SPECIAL ca temp;"VALUES"}</t>
  </si>
  <si>
    <t>COPY CA</t>
  </si>
  <si>
    <t>{D +@ROWS(RN RAWCL)-1}{EDIT-COPY}{EDIT-PASTE-SPECIAL cl;"VALUES"}</t>
  </si>
  <si>
    <t>COPY CL</t>
  </si>
  <si>
    <t>{U +@ROWS(RN RAWSO4)-1}{EDIT-COPY}{EDIT-PASTE-SPECIAL so4;"VALUES"}</t>
  </si>
  <si>
    <t>COPY SO4</t>
  </si>
  <si>
    <t>{U +@ROWS(RN RAWLI)-1}{RANGE-NAME-CREATE "li"}</t>
  </si>
  <si>
    <t>{EDIT-COPY langindex}{EDIT-PASTE-SPECIAL li;"VALUES"}</t>
  </si>
  <si>
    <t>COPY LANGIN RTW</t>
  </si>
  <si>
    <t>{RANGE-NAME-DELETE "li"}</t>
  </si>
  <si>
    <t>CW DATA</t>
  </si>
  <si>
    <t>{D +@ROWS(RN CWTDS)-1}</t>
  </si>
  <si>
    <t>{U +@ROWS(RN CWTEMP)-1}{EDIT-COPY}{EDIT-PASTE-SPECIAL temp;"VALUES"}</t>
  </si>
  <si>
    <t>{U +@ROWS(RN CWPH)-1}{EDIT-COPY}{EDIT-PASTE-SPECIAL ph;"VALUES"}</t>
  </si>
  <si>
    <t>{D +@ROWS(RN CWALK)-1}{EDIT-COPY}{EDIT-PASTE-SPECIAL alk;"VALUES"}</t>
  </si>
  <si>
    <t>{D +@ROWS(RN CWCA)-1}{EDIT-COPY}{EDIT-PASTE-SPECIAL ca temp;"VALUES"}</t>
  </si>
  <si>
    <t>{D +@ROWS(RN CWCL)-1}{EDIT-COPY}{EDIT-PASTE-SPECIAL cl;"VALUES"}</t>
  </si>
  <si>
    <t>{U +@ROWS(RN CWSO4)-1}{EDIT-COPY}{EDIT-PASTE-SPECIAL so4;"VALUES"}</t>
  </si>
  <si>
    <t>{U +@ROWS(RN CWLI)-1}{RANGE-NAME-CREATE "li"}</t>
  </si>
  <si>
    <t>{RANGE-NAME-DELETE "li"}{U 152}</t>
  </si>
  <si>
    <t>{BRANCH \c}</t>
  </si>
  <si>
    <t>ALRT1</t>
  </si>
  <si>
    <t>{ALERT "This week does not have all the information necessary for the calculation of the Langelier Index.";1;NOTE;;}</t>
  </si>
  <si>
    <t>{RANGE-NAME-DELETE "checktds"}{BRANCH \c}</t>
  </si>
  <si>
    <t>\0</t>
  </si>
  <si>
    <t>{ALERT "Press CNTR C to activate the Langelier Index macro.";1;NOTE;;}</t>
  </si>
  <si>
    <t>\H</t>
  </si>
  <si>
    <t>{goto}return home~</t>
  </si>
  <si>
    <t>Temperature (°C)</t>
  </si>
  <si>
    <t>Oxygen Solubility (mg/L)</t>
  </si>
  <si>
    <t>0 mg/L Chlorinity</t>
  </si>
  <si>
    <t>13..02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</si>
</sst>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General;[Red]\-General"/>
    <numFmt numFmtId="165" formatCode="0.0"/>
    <numFmt numFmtId="166" formatCode="dd\-mmm"/>
    <numFmt numFmtId="167" formatCode="#,##0;[Red]\-#,##0"/>
    <numFmt numFmtId="168" formatCode="0.00;[Red]\-0.00"/>
    <numFmt numFmtId="169" formatCode="0.0;[Red]\-0.0"/>
    <numFmt numFmtId="170" formatCode="0.000"/>
    <numFmt numFmtId="171" formatCode="dd\-mmm\-yy"/>
    <numFmt numFmtId="172" formatCode="0.0%"/>
    <numFmt numFmtId="173" formatCode="0;[Red]\-0"/>
    <numFmt numFmtId="174" formatCode=";;;"/>
  </numFmts>
  <fonts count="39">
    <font>
      <sz val="12"/>
      <name val="Arial"/>
    </font>
    <font>
      <sz val="12"/>
      <name val="Arial MT"/>
    </font>
    <font>
      <b/>
      <i/>
      <sz val="12"/>
      <name val="Arial MT"/>
    </font>
    <font>
      <b/>
      <sz val="12"/>
      <name val="Arial MT"/>
    </font>
    <font>
      <sz val="10"/>
      <color indexed="14"/>
      <name val="Arial MT"/>
    </font>
    <font>
      <sz val="12"/>
      <name val="Arial"/>
    </font>
    <font>
      <sz val="12"/>
      <color indexed="14"/>
      <name val="Arial"/>
    </font>
    <font>
      <u/>
      <sz val="10"/>
      <color indexed="14"/>
      <name val="Arial MT"/>
    </font>
    <font>
      <sz val="12"/>
      <color indexed="8"/>
      <name val="Arial MT"/>
    </font>
    <font>
      <b/>
      <sz val="12"/>
      <color indexed="8"/>
      <name val="Arial MT"/>
    </font>
    <font>
      <sz val="12"/>
      <color indexed="12"/>
      <name val="Arial MT"/>
    </font>
    <font>
      <b/>
      <i/>
      <sz val="12"/>
      <color indexed="12"/>
      <name val="Arial MT"/>
    </font>
    <font>
      <b/>
      <sz val="12"/>
      <color indexed="12"/>
      <name val="Arial MT"/>
    </font>
    <font>
      <b/>
      <sz val="10"/>
      <color indexed="14"/>
      <name val="Arial MT"/>
    </font>
    <font>
      <b/>
      <u/>
      <sz val="12"/>
      <color indexed="12"/>
      <name val="Arial MT"/>
    </font>
    <font>
      <sz val="12"/>
      <color indexed="14"/>
      <name val="Arial MT"/>
    </font>
    <font>
      <u/>
      <sz val="12"/>
      <color indexed="14"/>
      <name val="Arial MT"/>
    </font>
    <font>
      <b/>
      <u/>
      <sz val="12"/>
      <name val="Arial MT"/>
    </font>
    <font>
      <b/>
      <u/>
      <sz val="12"/>
      <color indexed="14"/>
      <name val="Arial MT"/>
    </font>
    <font>
      <u/>
      <sz val="12"/>
      <color indexed="14"/>
      <name val="Arial"/>
    </font>
    <font>
      <sz val="12"/>
      <color indexed="12"/>
      <name val="Arial"/>
    </font>
    <font>
      <b/>
      <sz val="14"/>
      <name val="Arial MT"/>
    </font>
    <font>
      <b/>
      <sz val="12"/>
      <name val="Arial"/>
    </font>
    <font>
      <sz val="14"/>
      <name val="Arial MT"/>
    </font>
    <font>
      <sz val="10"/>
      <name val="Arial"/>
    </font>
    <font>
      <sz val="12"/>
      <name val="Arial"/>
    </font>
    <font>
      <b/>
      <sz val="18"/>
      <name val="Arial"/>
    </font>
    <font>
      <b/>
      <sz val="14"/>
      <name val="Arial"/>
    </font>
    <font>
      <sz val="12"/>
      <name val="Times New Roman"/>
    </font>
    <font>
      <b/>
      <sz val="18"/>
      <name val="Times New Roman"/>
    </font>
    <font>
      <b/>
      <sz val="14"/>
      <name val="Times New Roman"/>
    </font>
    <font>
      <b/>
      <sz val="12"/>
      <name val="Times New Roman"/>
    </font>
    <font>
      <sz val="12"/>
      <color indexed="8"/>
      <name val="Times New Roman"/>
    </font>
    <font>
      <b/>
      <sz val="14"/>
      <color indexed="12"/>
      <name val="Times New Roman"/>
    </font>
    <font>
      <b/>
      <sz val="18"/>
      <color indexed="12"/>
      <name val="Times New Roman"/>
    </font>
    <font>
      <b/>
      <sz val="12"/>
      <color indexed="12"/>
      <name val="Times New Roman"/>
    </font>
    <font>
      <sz val="12"/>
      <color indexed="12"/>
      <name val="Times New Roman"/>
    </font>
    <font>
      <sz val="10"/>
      <name val="Arial MT"/>
    </font>
    <font>
      <sz val="12"/>
      <color indexed="10"/>
      <name val="Arial MT"/>
    </font>
  </fonts>
  <fills count="12">
    <fill>
      <patternFill patternType="none"/>
    </fill>
    <fill>
      <patternFill patternType="gray125"/>
    </fill>
    <fill>
      <patternFill patternType="solid">
        <fgColor indexed="11"/>
        <bgColor indexed="64"/>
      </patternFill>
    </fill>
    <fill>
      <patternFill patternType="gray125">
        <bgColor indexed="11"/>
      </patternFill>
    </fill>
    <fill>
      <patternFill patternType="solid">
        <fgColor indexed="9"/>
        <bgColor indexed="64"/>
      </patternFill>
    </fill>
    <fill>
      <patternFill patternType="solid">
        <fgColor indexed="13"/>
        <bgColor indexed="64"/>
      </patternFill>
    </fill>
    <fill>
      <patternFill patternType="gray125">
        <bgColor indexed="13"/>
      </patternFill>
    </fill>
    <fill>
      <patternFill patternType="solid">
        <fgColor indexed="9"/>
      </patternFill>
    </fill>
    <fill>
      <patternFill patternType="lightGray"/>
    </fill>
    <fill>
      <patternFill patternType="gray125">
        <bgColor indexed="9"/>
      </patternFill>
    </fill>
    <fill>
      <patternFill patternType="solid">
        <fgColor indexed="26"/>
        <bgColor indexed="64"/>
      </patternFill>
    </fill>
    <fill>
      <patternFill patternType="solid">
        <fgColor indexed="10"/>
        <bgColor indexed="64"/>
      </patternFill>
    </fill>
  </fills>
  <borders count="9">
    <border>
      <left/>
      <right/>
      <top/>
      <bottom/>
      <diagonal/>
    </border>
    <border>
      <left/>
      <right/>
      <top style="thin">
        <color indexed="8"/>
      </top>
      <bottom/>
      <diagonal/>
    </border>
    <border>
      <left style="double">
        <color indexed="8"/>
      </left>
      <right/>
      <top style="double">
        <color indexed="8"/>
      </top>
      <bottom/>
      <diagonal/>
    </border>
    <border>
      <left style="thin">
        <color indexed="8"/>
      </left>
      <right/>
      <top style="double">
        <color indexed="8"/>
      </top>
      <bottom/>
      <diagonal/>
    </border>
    <border>
      <left style="double">
        <color indexed="8"/>
      </left>
      <right/>
      <top/>
      <bottom/>
      <diagonal/>
    </border>
    <border>
      <left style="double">
        <color indexed="8"/>
      </left>
      <right/>
      <top style="thin">
        <color indexed="8"/>
      </top>
      <bottom/>
      <diagonal/>
    </border>
    <border>
      <left style="thin">
        <color indexed="8"/>
      </left>
      <right/>
      <top style="thin">
        <color indexed="8"/>
      </top>
      <bottom/>
      <diagonal/>
    </border>
    <border>
      <left/>
      <right/>
      <top style="double">
        <color indexed="8"/>
      </top>
      <bottom/>
      <diagonal/>
    </border>
    <border>
      <left style="thin">
        <color indexed="8"/>
      </left>
      <right/>
      <top/>
      <bottom/>
      <diagonal/>
    </border>
  </borders>
  <cellStyleXfs count="1">
    <xf numFmtId="0" fontId="0" fillId="0" borderId="0"/>
  </cellStyleXfs>
  <cellXfs count="431">
    <xf numFmtId="0" fontId="0" fillId="0" borderId="0" xfId="0"/>
    <xf numFmtId="164" fontId="1" fillId="0" borderId="0" xfId="0" applyNumberFormat="1" applyFont="1"/>
    <xf numFmtId="164" fontId="2" fillId="0" borderId="0" xfId="0" applyNumberFormat="1" applyFont="1"/>
    <xf numFmtId="164" fontId="2" fillId="0" borderId="0" xfId="0" applyNumberFormat="1" applyFont="1" applyAlignment="1">
      <alignment horizontal="left"/>
    </xf>
    <xf numFmtId="164" fontId="3" fillId="0" borderId="0" xfId="0" applyNumberFormat="1" applyFont="1"/>
    <xf numFmtId="164" fontId="3" fillId="0" borderId="1" xfId="0" applyNumberFormat="1" applyFont="1" applyBorder="1"/>
    <xf numFmtId="166" fontId="3" fillId="0" borderId="1" xfId="0" applyNumberFormat="1" applyFont="1" applyBorder="1" applyAlignment="1">
      <alignment horizontal="center"/>
    </xf>
    <xf numFmtId="164" fontId="4" fillId="0" borderId="0" xfId="0" applyNumberFormat="1" applyFont="1"/>
    <xf numFmtId="167" fontId="5" fillId="0" borderId="0" xfId="0" applyNumberFormat="1" applyFont="1" applyAlignment="1">
      <alignment horizontal="center"/>
    </xf>
    <xf numFmtId="164" fontId="6" fillId="0" borderId="0" xfId="0" applyNumberFormat="1" applyFont="1"/>
    <xf numFmtId="1" fontId="7" fillId="2" borderId="0" xfId="0" applyNumberFormat="1" applyFont="1" applyFill="1"/>
    <xf numFmtId="1" fontId="7" fillId="0" borderId="0" xfId="0" applyNumberFormat="1" applyFont="1"/>
    <xf numFmtId="1" fontId="4" fillId="0" borderId="0" xfId="0" applyNumberFormat="1" applyFont="1"/>
    <xf numFmtId="2" fontId="4" fillId="0" borderId="0" xfId="0" applyNumberFormat="1" applyFont="1"/>
    <xf numFmtId="165" fontId="4" fillId="0" borderId="0" xfId="0" applyNumberFormat="1" applyFont="1"/>
    <xf numFmtId="164" fontId="4" fillId="0" borderId="0" xfId="0" applyNumberFormat="1" applyFont="1" applyAlignment="1">
      <alignment horizontal="left"/>
    </xf>
    <xf numFmtId="164" fontId="4" fillId="2" borderId="0" xfId="0" applyNumberFormat="1" applyFont="1" applyFill="1"/>
    <xf numFmtId="164" fontId="7" fillId="5" borderId="0" xfId="0" applyNumberFormat="1" applyFont="1" applyFill="1" applyAlignment="1">
      <alignment horizontal="center"/>
    </xf>
    <xf numFmtId="164" fontId="7" fillId="0" borderId="0" xfId="0" applyNumberFormat="1" applyFont="1"/>
    <xf numFmtId="165" fontId="7" fillId="0" borderId="0" xfId="0" applyNumberFormat="1" applyFont="1"/>
    <xf numFmtId="164" fontId="5" fillId="0" borderId="0" xfId="0" applyNumberFormat="1" applyFont="1" applyAlignment="1">
      <alignment vertical="center"/>
    </xf>
    <xf numFmtId="2" fontId="8" fillId="0" borderId="0" xfId="0" applyNumberFormat="1" applyFont="1" applyAlignment="1">
      <alignment horizontal="left"/>
    </xf>
    <xf numFmtId="1" fontId="7" fillId="4" borderId="0" xfId="0" applyNumberFormat="1" applyFont="1" applyFill="1"/>
    <xf numFmtId="2" fontId="8" fillId="2" borderId="0" xfId="0" applyNumberFormat="1" applyFont="1" applyFill="1" applyAlignment="1">
      <alignment horizontal="left"/>
    </xf>
    <xf numFmtId="2" fontId="7" fillId="2" borderId="0" xfId="0" applyNumberFormat="1" applyFont="1" applyFill="1" applyAlignment="1">
      <alignment horizontal="left"/>
    </xf>
    <xf numFmtId="164" fontId="8" fillId="3" borderId="0" xfId="0" applyNumberFormat="1" applyFont="1" applyFill="1"/>
    <xf numFmtId="1" fontId="8" fillId="2" borderId="0" xfId="0" applyNumberFormat="1" applyFont="1" applyFill="1" applyAlignment="1">
      <alignment horizontal="center" vertical="center"/>
    </xf>
    <xf numFmtId="2" fontId="7" fillId="0" borderId="0" xfId="0" applyNumberFormat="1" applyFont="1"/>
    <xf numFmtId="165" fontId="4" fillId="0" borderId="0" xfId="0" applyNumberFormat="1" applyFont="1" applyAlignment="1">
      <alignment horizontal="left"/>
    </xf>
    <xf numFmtId="2" fontId="4" fillId="0" borderId="0" xfId="0" applyNumberFormat="1" applyFont="1" applyAlignment="1">
      <alignment horizontal="left"/>
    </xf>
    <xf numFmtId="164" fontId="9" fillId="0" borderId="0" xfId="0" applyNumberFormat="1" applyFont="1" applyAlignment="1">
      <alignment horizontal="left"/>
    </xf>
    <xf numFmtId="164" fontId="8" fillId="0" borderId="0" xfId="0" applyNumberFormat="1" applyFont="1"/>
    <xf numFmtId="1" fontId="8" fillId="2" borderId="0" xfId="0" applyNumberFormat="1" applyFont="1" applyFill="1"/>
    <xf numFmtId="1" fontId="4" fillId="2" borderId="0" xfId="0" applyNumberFormat="1" applyFont="1" applyFill="1"/>
    <xf numFmtId="164" fontId="8" fillId="0" borderId="0" xfId="0" applyNumberFormat="1" applyFont="1" applyAlignment="1">
      <alignment horizontal="left"/>
    </xf>
    <xf numFmtId="164" fontId="10" fillId="0" borderId="0" xfId="0" applyNumberFormat="1" applyFont="1" applyAlignment="1">
      <alignment horizontal="left"/>
    </xf>
    <xf numFmtId="1" fontId="10" fillId="0" borderId="0" xfId="0" applyNumberFormat="1" applyFont="1"/>
    <xf numFmtId="164" fontId="4" fillId="8" borderId="0" xfId="0" applyNumberFormat="1" applyFont="1" applyFill="1"/>
    <xf numFmtId="164" fontId="10" fillId="0" borderId="0" xfId="0" applyNumberFormat="1" applyFont="1"/>
    <xf numFmtId="164" fontId="11" fillId="0" borderId="0" xfId="0" applyNumberFormat="1" applyFont="1"/>
    <xf numFmtId="164" fontId="10" fillId="1" borderId="0" xfId="0" applyNumberFormat="1" applyFont="1" applyFill="1"/>
    <xf numFmtId="164" fontId="10" fillId="0" borderId="0" xfId="0" applyNumberFormat="1" applyFont="1" applyAlignment="1">
      <alignment horizontal="center" vertical="center"/>
    </xf>
    <xf numFmtId="164" fontId="11" fillId="0" borderId="0" xfId="0" applyNumberFormat="1" applyFont="1" applyAlignment="1">
      <alignment horizontal="left"/>
    </xf>
    <xf numFmtId="164" fontId="10" fillId="0" borderId="0" xfId="0" applyNumberFormat="1" applyFont="1" applyAlignment="1">
      <alignment horizontal="right"/>
    </xf>
    <xf numFmtId="164" fontId="4" fillId="0" borderId="0" xfId="0" applyNumberFormat="1" applyFont="1" applyAlignment="1">
      <alignment horizontal="right"/>
    </xf>
    <xf numFmtId="164" fontId="12" fillId="0" borderId="0" xfId="0" applyNumberFormat="1" applyFont="1"/>
    <xf numFmtId="164" fontId="12" fillId="0" borderId="1" xfId="0" applyNumberFormat="1" applyFont="1" applyBorder="1" applyAlignment="1">
      <alignment horizontal="right"/>
    </xf>
    <xf numFmtId="164" fontId="13" fillId="0" borderId="1" xfId="0" applyNumberFormat="1" applyFont="1" applyBorder="1" applyAlignment="1">
      <alignment horizontal="right"/>
    </xf>
    <xf numFmtId="164" fontId="10" fillId="1" borderId="1" xfId="0" applyNumberFormat="1" applyFont="1" applyFill="1" applyBorder="1"/>
    <xf numFmtId="166" fontId="12" fillId="0" borderId="1" xfId="0" applyNumberFormat="1" applyFont="1" applyBorder="1" applyAlignment="1">
      <alignment horizontal="center" vertical="center"/>
    </xf>
    <xf numFmtId="15" fontId="10" fillId="0" borderId="0" xfId="0" applyNumberFormat="1" applyFont="1" applyAlignment="1">
      <alignment horizontal="center"/>
    </xf>
    <xf numFmtId="166"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0" fillId="1" borderId="0" xfId="0" applyNumberFormat="1" applyFont="1" applyFill="1"/>
    <xf numFmtId="165" fontId="10" fillId="0" borderId="0" xfId="0" applyNumberFormat="1" applyFont="1"/>
    <xf numFmtId="165" fontId="10" fillId="0" borderId="0" xfId="0" applyNumberFormat="1" applyFont="1" applyAlignment="1">
      <alignment horizontal="center" vertical="center"/>
    </xf>
    <xf numFmtId="169" fontId="10" fillId="0" borderId="0" xfId="0" applyNumberFormat="1" applyFont="1" applyAlignment="1">
      <alignment horizontal="center" vertical="center"/>
    </xf>
    <xf numFmtId="165" fontId="10" fillId="1" borderId="0" xfId="0" applyNumberFormat="1" applyFont="1" applyFill="1"/>
    <xf numFmtId="165" fontId="10" fillId="2" borderId="0" xfId="0" applyNumberFormat="1" applyFont="1" applyFill="1"/>
    <xf numFmtId="165" fontId="7" fillId="2" borderId="0" xfId="0" applyNumberFormat="1" applyFont="1" applyFill="1"/>
    <xf numFmtId="164" fontId="10" fillId="3" borderId="0" xfId="0" applyNumberFormat="1" applyFont="1" applyFill="1"/>
    <xf numFmtId="1" fontId="10" fillId="0" borderId="0" xfId="0" applyNumberFormat="1" applyFont="1" applyAlignment="1">
      <alignment horizontal="left"/>
    </xf>
    <xf numFmtId="1" fontId="10" fillId="2" borderId="0" xfId="0" applyNumberFormat="1" applyFont="1" applyFill="1" applyAlignment="1">
      <alignment horizontal="left" vertical="center" wrapText="1"/>
    </xf>
    <xf numFmtId="1" fontId="10" fillId="2" borderId="0" xfId="0" applyNumberFormat="1" applyFont="1" applyFill="1" applyAlignment="1">
      <alignment vertical="center" wrapText="1"/>
    </xf>
    <xf numFmtId="1" fontId="7" fillId="2" borderId="0" xfId="0" applyNumberFormat="1" applyFont="1" applyFill="1" applyAlignment="1">
      <alignment vertical="center" wrapText="1"/>
    </xf>
    <xf numFmtId="164" fontId="10" fillId="3" borderId="0" xfId="0" applyNumberFormat="1" applyFont="1" applyFill="1" applyAlignment="1">
      <alignment vertical="center" wrapText="1"/>
    </xf>
    <xf numFmtId="172" fontId="10" fillId="2" borderId="0" xfId="0" applyNumberFormat="1" applyFont="1" applyFill="1" applyAlignment="1">
      <alignment horizontal="center" vertical="center" wrapText="1"/>
    </xf>
    <xf numFmtId="1" fontId="10" fillId="4" borderId="0" xfId="0" applyNumberFormat="1" applyFont="1" applyFill="1" applyAlignment="1">
      <alignment horizontal="center" vertical="center"/>
    </xf>
    <xf numFmtId="2" fontId="10" fillId="0" borderId="0" xfId="0" applyNumberFormat="1" applyFont="1"/>
    <xf numFmtId="2" fontId="10" fillId="0" borderId="0" xfId="0" applyNumberFormat="1" applyFont="1" applyAlignment="1">
      <alignment horizontal="center" vertical="center"/>
    </xf>
    <xf numFmtId="2" fontId="10" fillId="1" borderId="0" xfId="0" applyNumberFormat="1" applyFont="1" applyFill="1"/>
    <xf numFmtId="2" fontId="10" fillId="4" borderId="0" xfId="0" applyNumberFormat="1" applyFont="1" applyFill="1" applyAlignment="1">
      <alignment horizontal="center" vertical="center"/>
    </xf>
    <xf numFmtId="164" fontId="7" fillId="0" borderId="0" xfId="0" applyNumberFormat="1" applyFont="1" applyAlignment="1">
      <alignment horizontal="left"/>
    </xf>
    <xf numFmtId="164" fontId="10" fillId="2" borderId="0" xfId="0" applyNumberFormat="1" applyFont="1" applyFill="1"/>
    <xf numFmtId="164" fontId="7" fillId="2" borderId="0" xfId="0" applyNumberFormat="1" applyFont="1" applyFill="1"/>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64" fontId="10" fillId="5" borderId="0" xfId="0" applyNumberFormat="1" applyFont="1" applyFill="1"/>
    <xf numFmtId="164" fontId="10" fillId="6" borderId="0" xfId="0" applyNumberFormat="1" applyFont="1" applyFill="1"/>
    <xf numFmtId="2" fontId="10" fillId="5" borderId="0" xfId="0" applyNumberFormat="1" applyFont="1" applyFill="1" applyAlignment="1">
      <alignment horizontal="center" vertical="center"/>
    </xf>
    <xf numFmtId="164" fontId="14" fillId="0" borderId="0" xfId="0" applyNumberFormat="1" applyFont="1"/>
    <xf numFmtId="164" fontId="12" fillId="0" borderId="0" xfId="0" applyNumberFormat="1" applyFont="1" applyAlignment="1">
      <alignment horizontal="left"/>
    </xf>
    <xf numFmtId="2" fontId="15" fillId="0" borderId="0" xfId="0" applyNumberFormat="1" applyFont="1" applyAlignment="1">
      <alignment horizontal="left"/>
    </xf>
    <xf numFmtId="2" fontId="10" fillId="0" borderId="0" xfId="0" applyNumberFormat="1" applyFont="1" applyAlignment="1">
      <alignment horizontal="left"/>
    </xf>
    <xf numFmtId="2" fontId="7" fillId="0" borderId="0" xfId="0" applyNumberFormat="1" applyFont="1" applyAlignment="1">
      <alignment horizontal="left"/>
    </xf>
    <xf numFmtId="2" fontId="10" fillId="2" borderId="0" xfId="0" applyNumberFormat="1" applyFont="1" applyFill="1" applyAlignment="1">
      <alignment horizontal="left"/>
    </xf>
    <xf numFmtId="1" fontId="12" fillId="4" borderId="0" xfId="0" applyNumberFormat="1" applyFont="1" applyFill="1" applyAlignment="1">
      <alignment horizontal="left"/>
    </xf>
    <xf numFmtId="1" fontId="10" fillId="4" borderId="0" xfId="0" applyNumberFormat="1" applyFont="1" applyFill="1" applyAlignment="1">
      <alignment horizontal="left"/>
    </xf>
    <xf numFmtId="1" fontId="7" fillId="4" borderId="0" xfId="0" applyNumberFormat="1" applyFont="1" applyFill="1" applyAlignment="1">
      <alignment horizontal="left"/>
    </xf>
    <xf numFmtId="1" fontId="10" fillId="9" borderId="0" xfId="0" applyNumberFormat="1" applyFont="1" applyFill="1"/>
    <xf numFmtId="2" fontId="12" fillId="0" borderId="0" xfId="0" applyNumberFormat="1" applyFont="1" applyAlignment="1">
      <alignment horizontal="left"/>
    </xf>
    <xf numFmtId="2" fontId="10" fillId="2" borderId="0" xfId="0" applyNumberFormat="1" applyFont="1" applyFill="1"/>
    <xf numFmtId="168" fontId="10" fillId="0" borderId="0" xfId="0" applyNumberFormat="1" applyFont="1" applyAlignment="1">
      <alignment horizontal="center" vertical="center"/>
    </xf>
    <xf numFmtId="165" fontId="10" fillId="0" borderId="0" xfId="0" applyNumberFormat="1" applyFont="1" applyAlignment="1">
      <alignment horizontal="left"/>
    </xf>
    <xf numFmtId="165" fontId="10" fillId="2" borderId="0" xfId="0" applyNumberFormat="1" applyFont="1" applyFill="1" applyAlignment="1">
      <alignment wrapText="1"/>
    </xf>
    <xf numFmtId="165" fontId="10" fillId="2" borderId="0" xfId="0" applyNumberFormat="1" applyFont="1" applyFill="1" applyAlignment="1">
      <alignment horizontal="left"/>
    </xf>
    <xf numFmtId="165" fontId="7" fillId="2" borderId="0" xfId="0" applyNumberFormat="1" applyFont="1" applyFill="1" applyAlignment="1">
      <alignment horizontal="left"/>
    </xf>
    <xf numFmtId="172" fontId="10" fillId="2" borderId="0" xfId="0" applyNumberFormat="1" applyFont="1" applyFill="1" applyAlignment="1">
      <alignment horizontal="center" vertical="center"/>
    </xf>
    <xf numFmtId="165" fontId="10" fillId="0" borderId="0" xfId="0" applyNumberFormat="1" applyFont="1" applyAlignment="1">
      <alignment wrapText="1"/>
    </xf>
    <xf numFmtId="165" fontId="10" fillId="0" borderId="0" xfId="0" applyNumberFormat="1" applyFont="1" applyAlignment="1">
      <alignment horizontal="left" vertical="center"/>
    </xf>
    <xf numFmtId="165" fontId="7" fillId="0" borderId="0" xfId="0" applyNumberFormat="1" applyFont="1" applyAlignment="1">
      <alignment vertical="center"/>
    </xf>
    <xf numFmtId="170" fontId="10" fillId="0" borderId="0" xfId="0" applyNumberFormat="1" applyFont="1" applyAlignment="1">
      <alignment horizontal="center" vertical="center"/>
    </xf>
    <xf numFmtId="170" fontId="10" fillId="1" borderId="0" xfId="0" applyNumberFormat="1" applyFont="1" applyFill="1"/>
    <xf numFmtId="164" fontId="10" fillId="9" borderId="0" xfId="0" applyNumberFormat="1" applyFont="1" applyFill="1"/>
    <xf numFmtId="170" fontId="10" fillId="4" borderId="0" xfId="0" applyNumberFormat="1" applyFont="1" applyFill="1" applyAlignment="1">
      <alignment horizontal="center" vertical="center"/>
    </xf>
    <xf numFmtId="0" fontId="10" fillId="0" borderId="0" xfId="0" applyFont="1" applyAlignment="1">
      <alignment horizontal="center" vertical="center"/>
    </xf>
    <xf numFmtId="1" fontId="10" fillId="2" borderId="0" xfId="0" applyNumberFormat="1" applyFont="1" applyFill="1"/>
    <xf numFmtId="1" fontId="10" fillId="2" borderId="0" xfId="0" applyNumberFormat="1" applyFont="1" applyFill="1" applyAlignment="1">
      <alignment horizontal="left"/>
    </xf>
    <xf numFmtId="1" fontId="7" fillId="2" borderId="0" xfId="0" applyNumberFormat="1" applyFont="1" applyFill="1" applyAlignment="1">
      <alignment horizontal="left"/>
    </xf>
    <xf numFmtId="3" fontId="10" fillId="0" borderId="0" xfId="0" applyNumberFormat="1" applyFont="1" applyAlignment="1">
      <alignment horizontal="center" vertical="center"/>
    </xf>
    <xf numFmtId="167" fontId="10" fillId="0" borderId="0" xfId="0" applyNumberFormat="1" applyFont="1" applyAlignment="1">
      <alignment horizontal="center" vertical="center"/>
    </xf>
    <xf numFmtId="165" fontId="10" fillId="4" borderId="0" xfId="0" applyNumberFormat="1" applyFont="1" applyFill="1" applyAlignment="1">
      <alignment horizontal="center" vertical="center"/>
    </xf>
    <xf numFmtId="164" fontId="16" fillId="1" borderId="0" xfId="0" applyNumberFormat="1" applyFont="1" applyFill="1"/>
    <xf numFmtId="164" fontId="16" fillId="0" borderId="0" xfId="0" applyNumberFormat="1" applyFont="1"/>
    <xf numFmtId="164" fontId="17" fillId="0" borderId="0" xfId="0" applyNumberFormat="1" applyFont="1" applyAlignment="1">
      <alignment horizontal="left"/>
    </xf>
    <xf numFmtId="164" fontId="18" fillId="0" borderId="0" xfId="0" applyNumberFormat="1" applyFont="1"/>
    <xf numFmtId="165" fontId="8" fillId="0" borderId="0" xfId="0" applyNumberFormat="1" applyFont="1" applyAlignment="1">
      <alignment horizontal="center"/>
    </xf>
    <xf numFmtId="164" fontId="8" fillId="0" borderId="0" xfId="0" applyNumberFormat="1" applyFont="1" applyAlignment="1">
      <alignment horizontal="center"/>
    </xf>
    <xf numFmtId="2" fontId="3" fillId="0" borderId="0" xfId="0" applyNumberFormat="1" applyFont="1"/>
    <xf numFmtId="165" fontId="10" fillId="0" borderId="0" xfId="0" applyNumberFormat="1" applyFont="1" applyAlignment="1">
      <alignment horizontal="center"/>
    </xf>
    <xf numFmtId="164" fontId="14" fillId="0" borderId="0" xfId="0" applyNumberFormat="1" applyFont="1" applyAlignment="1">
      <alignment horizontal="left"/>
    </xf>
    <xf numFmtId="164" fontId="10" fillId="0" borderId="0" xfId="0" applyNumberFormat="1" applyFont="1" applyAlignment="1">
      <alignment horizontal="center"/>
    </xf>
    <xf numFmtId="2" fontId="12" fillId="0" borderId="0" xfId="0" applyNumberFormat="1" applyFont="1"/>
    <xf numFmtId="2" fontId="10" fillId="0" borderId="0" xfId="0" applyNumberFormat="1" applyFont="1" applyAlignment="1">
      <alignment horizontal="center"/>
    </xf>
    <xf numFmtId="164" fontId="16" fillId="0" borderId="0" xfId="0" applyNumberFormat="1" applyFont="1" applyAlignment="1">
      <alignment horizontal="right"/>
    </xf>
    <xf numFmtId="164" fontId="19" fillId="0" borderId="0" xfId="0" applyNumberFormat="1" applyFont="1"/>
    <xf numFmtId="164" fontId="20" fillId="0" borderId="0" xfId="0" applyNumberFormat="1" applyFont="1"/>
    <xf numFmtId="173" fontId="20" fillId="0" borderId="0" xfId="0" applyNumberFormat="1" applyFont="1" applyAlignment="1">
      <alignment vertical="center"/>
    </xf>
    <xf numFmtId="169" fontId="20" fillId="0" borderId="0" xfId="0" applyNumberFormat="1" applyFont="1" applyAlignment="1">
      <alignment vertical="center"/>
    </xf>
    <xf numFmtId="168" fontId="20" fillId="0" borderId="0" xfId="0" applyNumberFormat="1" applyFont="1" applyAlignment="1">
      <alignment vertical="center"/>
    </xf>
    <xf numFmtId="0" fontId="1" fillId="0" borderId="0" xfId="0" applyFont="1" applyAlignment="1">
      <alignment vertical="center"/>
    </xf>
    <xf numFmtId="164" fontId="21" fillId="0" borderId="0" xfId="0" applyNumberFormat="1" applyFont="1" applyAlignment="1">
      <alignment horizontal="centerContinuous" vertical="center"/>
    </xf>
    <xf numFmtId="164" fontId="5" fillId="0" borderId="0" xfId="0" applyNumberFormat="1" applyFont="1" applyAlignment="1">
      <alignment horizontal="center" vertical="center"/>
    </xf>
    <xf numFmtId="164" fontId="22" fillId="0" borderId="0" xfId="0" applyNumberFormat="1" applyFont="1" applyAlignment="1">
      <alignment horizontal="center" vertical="center"/>
    </xf>
    <xf numFmtId="0" fontId="1" fillId="0" borderId="0" xfId="0" applyFont="1"/>
    <xf numFmtId="164" fontId="23" fillId="0" borderId="0" xfId="0" applyNumberFormat="1" applyFont="1" applyAlignment="1">
      <alignment horizontal="centerContinuous" vertical="center"/>
    </xf>
    <xf numFmtId="164" fontId="3" fillId="0" borderId="2" xfId="0" applyNumberFormat="1" applyFont="1" applyBorder="1"/>
    <xf numFmtId="164" fontId="3" fillId="0" borderId="7" xfId="0" applyNumberFormat="1" applyFont="1" applyBorder="1" applyAlignment="1">
      <alignment horizontal="centerContinuous" vertical="center"/>
    </xf>
    <xf numFmtId="165" fontId="3" fillId="4" borderId="4" xfId="0" applyNumberFormat="1" applyFont="1" applyFill="1" applyBorder="1" applyAlignment="1">
      <alignment horizontal="center" vertical="center"/>
    </xf>
    <xf numFmtId="165" fontId="3" fillId="4" borderId="8" xfId="0" applyNumberFormat="1" applyFont="1" applyFill="1" applyBorder="1" applyAlignment="1">
      <alignment horizontal="center" vertical="center"/>
    </xf>
    <xf numFmtId="165" fontId="3" fillId="0" borderId="5" xfId="0" applyNumberFormat="1" applyFont="1" applyBorder="1" applyAlignment="1">
      <alignment horizontal="center" vertical="center"/>
    </xf>
    <xf numFmtId="165" fontId="3" fillId="0" borderId="6" xfId="0" applyNumberFormat="1" applyFont="1" applyBorder="1" applyAlignment="1">
      <alignment horizontal="center" vertical="center"/>
    </xf>
    <xf numFmtId="164" fontId="24" fillId="0" borderId="0" xfId="0" applyNumberFormat="1" applyFont="1" applyAlignment="1">
      <alignment horizontal="right"/>
    </xf>
    <xf numFmtId="164" fontId="5" fillId="0" borderId="0" xfId="0" applyNumberFormat="1" applyFont="1" applyAlignment="1">
      <alignment horizontal="center"/>
    </xf>
    <xf numFmtId="0" fontId="25" fillId="0" borderId="0" xfId="0" applyFont="1"/>
    <xf numFmtId="164" fontId="26" fillId="0" borderId="0" xfId="0" applyNumberFormat="1" applyFont="1" applyAlignment="1">
      <alignment horizontal="centerContinuous" vertical="center"/>
    </xf>
    <xf numFmtId="164" fontId="5" fillId="0" borderId="0" xfId="0" applyNumberFormat="1" applyFont="1" applyAlignment="1">
      <alignment horizontal="centerContinuous" vertical="center"/>
    </xf>
    <xf numFmtId="164" fontId="27" fillId="0" borderId="2" xfId="0" applyNumberFormat="1" applyFont="1" applyBorder="1" applyAlignment="1">
      <alignment horizontal="centerContinuous"/>
    </xf>
    <xf numFmtId="164" fontId="27" fillId="0" borderId="7" xfId="0" applyNumberFormat="1" applyFont="1" applyBorder="1" applyAlignment="1">
      <alignment horizontal="centerContinuous"/>
    </xf>
    <xf numFmtId="164" fontId="27" fillId="0" borderId="2" xfId="0" applyNumberFormat="1" applyFont="1" applyBorder="1" applyAlignment="1">
      <alignment horizontal="centerContinuous" vertical="center"/>
    </xf>
    <xf numFmtId="164" fontId="27" fillId="0" borderId="7" xfId="0" applyNumberFormat="1" applyFont="1" applyBorder="1" applyAlignment="1">
      <alignment horizontal="centerContinuous" vertical="center"/>
    </xf>
    <xf numFmtId="164" fontId="27" fillId="10" borderId="7" xfId="0" applyNumberFormat="1" applyFont="1" applyFill="1" applyBorder="1" applyAlignment="1">
      <alignment horizontal="centerContinuous" vertical="center"/>
    </xf>
    <xf numFmtId="0" fontId="27" fillId="0" borderId="2" xfId="0" applyFont="1" applyBorder="1" applyAlignment="1">
      <alignment horizontal="centerContinuous" vertical="center"/>
    </xf>
    <xf numFmtId="0" fontId="27" fillId="0" borderId="7" xfId="0" applyFont="1" applyBorder="1" applyAlignment="1">
      <alignment horizontal="centerContinuous" vertical="center"/>
    </xf>
    <xf numFmtId="164" fontId="5" fillId="0" borderId="4" xfId="0" applyNumberFormat="1" applyFont="1" applyBorder="1" applyAlignment="1">
      <alignment horizontal="center" vertical="center" wrapText="1"/>
    </xf>
    <xf numFmtId="164" fontId="5" fillId="0" borderId="0" xfId="0" applyNumberFormat="1" applyFont="1" applyAlignment="1">
      <alignment horizontal="center" vertical="center" wrapText="1"/>
    </xf>
    <xf numFmtId="164" fontId="5" fillId="0" borderId="8" xfId="0" applyNumberFormat="1" applyFont="1" applyBorder="1" applyAlignment="1">
      <alignment horizontal="center" vertical="center" wrapText="1"/>
    </xf>
    <xf numFmtId="164" fontId="5" fillId="10" borderId="8" xfId="0" applyNumberFormat="1" applyFont="1" applyFill="1" applyBorder="1" applyAlignment="1">
      <alignment horizontal="center" vertical="center" wrapText="1"/>
    </xf>
    <xf numFmtId="164" fontId="5" fillId="0" borderId="4" xfId="0" applyNumberFormat="1" applyFont="1" applyBorder="1" applyAlignment="1">
      <alignment horizontal="center" vertical="center"/>
    </xf>
    <xf numFmtId="164" fontId="5" fillId="0" borderId="8" xfId="0" applyNumberFormat="1" applyFont="1" applyBorder="1" applyAlignment="1">
      <alignment horizontal="center" vertical="center"/>
    </xf>
    <xf numFmtId="171" fontId="5" fillId="0" borderId="7" xfId="0" applyNumberFormat="1" applyFont="1" applyBorder="1" applyAlignment="1">
      <alignment horizontal="center"/>
    </xf>
    <xf numFmtId="171" fontId="5" fillId="0" borderId="3" xfId="0" applyNumberFormat="1" applyFont="1" applyBorder="1" applyAlignment="1">
      <alignment horizontal="center"/>
    </xf>
    <xf numFmtId="2" fontId="5" fillId="0" borderId="2" xfId="0" applyNumberFormat="1" applyFont="1" applyBorder="1" applyAlignment="1">
      <alignment horizontal="center"/>
    </xf>
    <xf numFmtId="2" fontId="5" fillId="0" borderId="3" xfId="0" applyNumberFormat="1" applyFont="1" applyBorder="1" applyAlignment="1">
      <alignment horizontal="center"/>
    </xf>
    <xf numFmtId="165" fontId="5" fillId="0" borderId="2" xfId="0" applyNumberFormat="1" applyFont="1" applyBorder="1" applyAlignment="1">
      <alignment horizontal="center"/>
    </xf>
    <xf numFmtId="164" fontId="5" fillId="0" borderId="3" xfId="0" applyNumberFormat="1" applyFont="1" applyBorder="1" applyAlignment="1">
      <alignment horizontal="center"/>
    </xf>
    <xf numFmtId="1" fontId="5" fillId="0" borderId="2" xfId="0" applyNumberFormat="1" applyFont="1" applyBorder="1" applyAlignment="1">
      <alignment horizontal="center"/>
    </xf>
    <xf numFmtId="1" fontId="5" fillId="0" borderId="3" xfId="0" applyNumberFormat="1" applyFont="1" applyBorder="1" applyAlignment="1">
      <alignment horizontal="center"/>
    </xf>
    <xf numFmtId="1" fontId="5" fillId="10" borderId="3" xfId="0" applyNumberFormat="1" applyFont="1" applyFill="1" applyBorder="1" applyAlignment="1">
      <alignment horizontal="center"/>
    </xf>
    <xf numFmtId="171" fontId="5" fillId="0" borderId="1" xfId="0" applyNumberFormat="1" applyFont="1" applyBorder="1" applyAlignment="1">
      <alignment horizontal="center"/>
    </xf>
    <xf numFmtId="171" fontId="5" fillId="0" borderId="6" xfId="0" applyNumberFormat="1" applyFont="1" applyBorder="1" applyAlignment="1">
      <alignment horizontal="center"/>
    </xf>
    <xf numFmtId="2" fontId="5" fillId="0" borderId="5" xfId="0" applyNumberFormat="1" applyFont="1" applyBorder="1" applyAlignment="1">
      <alignment horizontal="center"/>
    </xf>
    <xf numFmtId="2" fontId="5" fillId="0" borderId="6" xfId="0" applyNumberFormat="1" applyFont="1" applyBorder="1" applyAlignment="1">
      <alignment horizontal="center"/>
    </xf>
    <xf numFmtId="165" fontId="5" fillId="0" borderId="5" xfId="0" applyNumberFormat="1" applyFont="1" applyBorder="1" applyAlignment="1">
      <alignment horizontal="center"/>
    </xf>
    <xf numFmtId="164" fontId="5" fillId="0" borderId="6" xfId="0" applyNumberFormat="1" applyFont="1" applyBorder="1" applyAlignment="1">
      <alignment horizontal="center"/>
    </xf>
    <xf numFmtId="1" fontId="5" fillId="0" borderId="5" xfId="0" applyNumberFormat="1" applyFont="1" applyBorder="1" applyAlignment="1">
      <alignment horizontal="center"/>
    </xf>
    <xf numFmtId="1" fontId="5" fillId="0" borderId="6" xfId="0" applyNumberFormat="1" applyFont="1" applyBorder="1" applyAlignment="1">
      <alignment horizontal="center"/>
    </xf>
    <xf numFmtId="1" fontId="5" fillId="10" borderId="6" xfId="0" applyNumberFormat="1" applyFont="1" applyFill="1" applyBorder="1" applyAlignment="1">
      <alignment horizontal="center"/>
    </xf>
    <xf numFmtId="166" fontId="5" fillId="0" borderId="6" xfId="0" applyNumberFormat="1" applyFont="1" applyBorder="1" applyAlignment="1">
      <alignment horizontal="center"/>
    </xf>
    <xf numFmtId="164" fontId="5" fillId="0" borderId="4" xfId="0" applyNumberFormat="1" applyFont="1" applyBorder="1"/>
    <xf numFmtId="164" fontId="5" fillId="11" borderId="5" xfId="0" applyNumberFormat="1" applyFont="1" applyFill="1" applyBorder="1"/>
    <xf numFmtId="171" fontId="5" fillId="11" borderId="1" xfId="0" applyNumberFormat="1" applyFont="1" applyFill="1" applyBorder="1" applyAlignment="1">
      <alignment horizontal="center"/>
    </xf>
    <xf numFmtId="171" fontId="5" fillId="11" borderId="6" xfId="0" applyNumberFormat="1" applyFont="1" applyFill="1" applyBorder="1" applyAlignment="1">
      <alignment horizontal="center"/>
    </xf>
    <xf numFmtId="2" fontId="5" fillId="11" borderId="5" xfId="0" applyNumberFormat="1" applyFont="1" applyFill="1" applyBorder="1" applyAlignment="1">
      <alignment horizontal="center"/>
    </xf>
    <xf numFmtId="2" fontId="5" fillId="11" borderId="6" xfId="0" applyNumberFormat="1" applyFont="1" applyFill="1" applyBorder="1" applyAlignment="1">
      <alignment horizontal="center"/>
    </xf>
    <xf numFmtId="165" fontId="5" fillId="11" borderId="5" xfId="0" applyNumberFormat="1" applyFont="1" applyFill="1" applyBorder="1" applyAlignment="1">
      <alignment horizontal="center"/>
    </xf>
    <xf numFmtId="164" fontId="5" fillId="11" borderId="6" xfId="0" applyNumberFormat="1" applyFont="1" applyFill="1" applyBorder="1" applyAlignment="1">
      <alignment horizontal="center"/>
    </xf>
    <xf numFmtId="1" fontId="5" fillId="11" borderId="5" xfId="0" applyNumberFormat="1" applyFont="1" applyFill="1" applyBorder="1" applyAlignment="1">
      <alignment horizontal="center"/>
    </xf>
    <xf numFmtId="1" fontId="5" fillId="11" borderId="6" xfId="0" applyNumberFormat="1" applyFont="1" applyFill="1" applyBorder="1" applyAlignment="1">
      <alignment horizontal="center"/>
    </xf>
    <xf numFmtId="164" fontId="5" fillId="0" borderId="7" xfId="0" applyNumberFormat="1" applyFont="1" applyBorder="1" applyAlignment="1">
      <alignment horizontal="center"/>
    </xf>
    <xf numFmtId="164" fontId="5" fillId="0" borderId="7" xfId="0" applyNumberFormat="1" applyFont="1" applyBorder="1" applyAlignment="1">
      <alignment horizontal="right"/>
    </xf>
    <xf numFmtId="170" fontId="5" fillId="0" borderId="2" xfId="0" applyNumberFormat="1" applyFont="1" applyBorder="1" applyAlignment="1">
      <alignment horizontal="center"/>
    </xf>
    <xf numFmtId="170" fontId="5" fillId="0" borderId="3" xfId="0" applyNumberFormat="1" applyFont="1" applyBorder="1" applyAlignment="1">
      <alignment horizontal="center"/>
    </xf>
    <xf numFmtId="165" fontId="5" fillId="0" borderId="3" xfId="0" applyNumberFormat="1" applyFont="1" applyBorder="1" applyAlignment="1">
      <alignment horizontal="center"/>
    </xf>
    <xf numFmtId="164" fontId="5" fillId="0" borderId="0" xfId="0" applyNumberFormat="1" applyFont="1" applyAlignment="1">
      <alignment horizontal="right"/>
    </xf>
    <xf numFmtId="10" fontId="5" fillId="0" borderId="4" xfId="0" applyNumberFormat="1" applyFont="1" applyBorder="1" applyAlignment="1">
      <alignment horizontal="center"/>
    </xf>
    <xf numFmtId="10" fontId="5" fillId="0" borderId="8" xfId="0" applyNumberFormat="1" applyFont="1" applyBorder="1" applyAlignment="1">
      <alignment horizontal="center"/>
    </xf>
    <xf numFmtId="164" fontId="22" fillId="0" borderId="0" xfId="0" applyNumberFormat="1" applyFont="1" applyAlignment="1">
      <alignment horizontal="center"/>
    </xf>
    <xf numFmtId="0" fontId="1" fillId="0" borderId="0" xfId="0" applyFont="1" applyAlignment="1">
      <alignment vertical="center" wrapText="1"/>
    </xf>
    <xf numFmtId="1" fontId="28" fillId="0" borderId="0" xfId="0" applyNumberFormat="1" applyFont="1"/>
    <xf numFmtId="164" fontId="28" fillId="0" borderId="0" xfId="0" applyNumberFormat="1" applyFont="1" applyAlignment="1">
      <alignment horizontal="center"/>
    </xf>
    <xf numFmtId="165" fontId="28" fillId="0" borderId="0" xfId="0" applyNumberFormat="1" applyFont="1" applyAlignment="1">
      <alignment horizontal="center"/>
    </xf>
    <xf numFmtId="1" fontId="29" fillId="0" borderId="0" xfId="0" applyNumberFormat="1" applyFont="1" applyAlignment="1">
      <alignment horizontal="centerContinuous" vertical="center" wrapText="1"/>
    </xf>
    <xf numFmtId="164" fontId="30" fillId="0" borderId="0" xfId="0" applyNumberFormat="1" applyFont="1" applyAlignment="1">
      <alignment horizontal="centerContinuous" vertical="center" wrapText="1"/>
    </xf>
    <xf numFmtId="164" fontId="30" fillId="0" borderId="0" xfId="0" applyNumberFormat="1" applyFont="1" applyAlignment="1">
      <alignment horizontal="center" vertical="center"/>
    </xf>
    <xf numFmtId="165" fontId="30" fillId="0" borderId="0" xfId="0" applyNumberFormat="1" applyFont="1" applyAlignment="1">
      <alignment horizontal="center" vertical="center"/>
    </xf>
    <xf numFmtId="1" fontId="31" fillId="0" borderId="0" xfId="0" applyNumberFormat="1" applyFont="1" applyAlignment="1">
      <alignment horizontal="centerContinuous" vertical="center" wrapText="1"/>
    </xf>
    <xf numFmtId="1" fontId="31" fillId="0" borderId="0" xfId="0" applyNumberFormat="1" applyFont="1"/>
    <xf numFmtId="1" fontId="31" fillId="0" borderId="1" xfId="0" applyNumberFormat="1" applyFont="1" applyBorder="1" applyAlignment="1">
      <alignment horizontal="left" vertical="center"/>
    </xf>
    <xf numFmtId="164" fontId="31" fillId="0" borderId="1"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65" fontId="31" fillId="0" borderId="1" xfId="0" applyNumberFormat="1" applyFont="1" applyBorder="1" applyAlignment="1">
      <alignment horizontal="center" vertical="center" wrapText="1"/>
    </xf>
    <xf numFmtId="1" fontId="3" fillId="0" borderId="0" xfId="0" applyNumberFormat="1" applyFont="1" applyAlignment="1">
      <alignment horizontal="center"/>
    </xf>
    <xf numFmtId="1" fontId="28" fillId="0" borderId="1" xfId="0" applyNumberFormat="1" applyFont="1" applyBorder="1"/>
    <xf numFmtId="164" fontId="28" fillId="0" borderId="1" xfId="0" applyNumberFormat="1" applyFont="1" applyBorder="1" applyAlignment="1">
      <alignment horizontal="center"/>
    </xf>
    <xf numFmtId="164" fontId="28" fillId="0" borderId="0" xfId="0" applyNumberFormat="1" applyFont="1"/>
    <xf numFmtId="1" fontId="3" fillId="0" borderId="1" xfId="0" applyNumberFormat="1" applyFont="1" applyBorder="1"/>
    <xf numFmtId="1" fontId="28" fillId="0" borderId="0" xfId="0" applyNumberFormat="1" applyFont="1" applyAlignment="1">
      <alignment horizontal="center"/>
    </xf>
    <xf numFmtId="3" fontId="28" fillId="0" borderId="0" xfId="0" applyNumberFormat="1" applyFont="1" applyAlignment="1">
      <alignment horizontal="center"/>
    </xf>
    <xf numFmtId="2" fontId="28" fillId="0" borderId="0" xfId="0" applyNumberFormat="1" applyFont="1" applyAlignment="1">
      <alignment horizontal="center"/>
    </xf>
    <xf numFmtId="1" fontId="3" fillId="0" borderId="0" xfId="0" applyNumberFormat="1" applyFont="1"/>
    <xf numFmtId="170" fontId="32" fillId="0" borderId="0" xfId="0" applyNumberFormat="1" applyFont="1" applyAlignment="1">
      <alignment horizontal="center"/>
    </xf>
    <xf numFmtId="170" fontId="8" fillId="1" borderId="0" xfId="0" applyNumberFormat="1" applyFont="1" applyFill="1"/>
    <xf numFmtId="170" fontId="8" fillId="0" borderId="0" xfId="0" applyNumberFormat="1" applyFont="1" applyAlignment="1">
      <alignment horizontal="center"/>
    </xf>
    <xf numFmtId="164" fontId="28" fillId="0" borderId="0" xfId="0" applyNumberFormat="1" applyFont="1" applyAlignment="1">
      <alignment horizontal="centerContinuous" vertical="center"/>
    </xf>
    <xf numFmtId="1" fontId="28" fillId="0" borderId="0" xfId="0" applyNumberFormat="1" applyFont="1" applyAlignment="1">
      <alignment horizontal="centerContinuous" vertical="center"/>
    </xf>
    <xf numFmtId="165" fontId="28" fillId="0" borderId="0" xfId="0" applyNumberFormat="1" applyFont="1" applyAlignment="1">
      <alignment horizontal="centerContinuous" vertical="center"/>
    </xf>
    <xf numFmtId="1" fontId="29" fillId="0" borderId="0" xfId="0" applyNumberFormat="1" applyFont="1" applyAlignment="1">
      <alignment horizontal="centerContinuous" vertical="center"/>
    </xf>
    <xf numFmtId="164" fontId="30" fillId="0" borderId="0" xfId="0" applyNumberFormat="1" applyFont="1" applyAlignment="1">
      <alignment horizontal="centerContinuous" vertical="center"/>
    </xf>
    <xf numFmtId="164" fontId="28" fillId="0" borderId="0" xfId="0" applyNumberFormat="1" applyFont="1" applyAlignment="1">
      <alignment horizontal="center" vertical="center"/>
    </xf>
    <xf numFmtId="1" fontId="28" fillId="0" borderId="0" xfId="0" applyNumberFormat="1" applyFont="1" applyAlignment="1">
      <alignment horizontal="center" vertical="center"/>
    </xf>
    <xf numFmtId="165" fontId="28" fillId="0" borderId="0" xfId="0" applyNumberFormat="1" applyFont="1" applyAlignment="1">
      <alignment horizontal="center" vertical="center"/>
    </xf>
    <xf numFmtId="1" fontId="31" fillId="0" borderId="1" xfId="0" applyNumberFormat="1" applyFont="1" applyBorder="1"/>
    <xf numFmtId="164" fontId="31" fillId="0" borderId="1" xfId="0" applyNumberFormat="1" applyFont="1" applyBorder="1" applyAlignment="1">
      <alignment horizontal="center"/>
    </xf>
    <xf numFmtId="164" fontId="31" fillId="0" borderId="0" xfId="0" applyNumberFormat="1" applyFont="1" applyAlignment="1">
      <alignment horizontal="center"/>
    </xf>
    <xf numFmtId="164" fontId="31" fillId="0" borderId="0" xfId="0" applyNumberFormat="1" applyFont="1" applyAlignment="1">
      <alignment horizontal="center" vertical="center" wrapText="1"/>
    </xf>
    <xf numFmtId="165" fontId="31" fillId="0" borderId="0" xfId="0" applyNumberFormat="1" applyFont="1" applyAlignment="1">
      <alignment horizontal="center" vertical="center" wrapText="1"/>
    </xf>
    <xf numFmtId="174" fontId="28" fillId="0" borderId="0" xfId="0" applyNumberFormat="1" applyFont="1" applyAlignment="1" applyProtection="1">
      <alignment horizontal="center"/>
      <protection hidden="1"/>
    </xf>
    <xf numFmtId="166" fontId="28" fillId="0" borderId="0" xfId="0" applyNumberFormat="1" applyFont="1" applyAlignment="1">
      <alignment horizontal="center"/>
    </xf>
    <xf numFmtId="164" fontId="33" fillId="0" borderId="0" xfId="0" applyNumberFormat="1" applyFont="1" applyAlignment="1">
      <alignment horizontal="center" vertical="center"/>
    </xf>
    <xf numFmtId="165" fontId="33" fillId="0" borderId="0" xfId="0" applyNumberFormat="1" applyFont="1" applyAlignment="1">
      <alignment horizontal="center" vertical="center"/>
    </xf>
    <xf numFmtId="1" fontId="34" fillId="0" borderId="0" xfId="0" applyNumberFormat="1" applyFont="1" applyAlignment="1">
      <alignment horizontal="centerContinuous" vertical="center" wrapText="1"/>
    </xf>
    <xf numFmtId="1" fontId="35" fillId="0" borderId="0" xfId="0" applyNumberFormat="1" applyFont="1" applyAlignment="1">
      <alignment horizontal="centerContinuous" vertical="center" wrapText="1"/>
    </xf>
    <xf numFmtId="164" fontId="33" fillId="0" borderId="0" xfId="0" applyNumberFormat="1" applyFont="1" applyAlignment="1">
      <alignment horizontal="centerContinuous" vertical="center"/>
    </xf>
    <xf numFmtId="165" fontId="33" fillId="0" borderId="0" xfId="0" applyNumberFormat="1" applyFont="1" applyAlignment="1">
      <alignment horizontal="centerContinuous" vertical="center"/>
    </xf>
    <xf numFmtId="1" fontId="35" fillId="0" borderId="0" xfId="0" applyNumberFormat="1" applyFont="1"/>
    <xf numFmtId="164" fontId="36" fillId="0" borderId="0" xfId="0" applyNumberFormat="1" applyFont="1" applyAlignment="1">
      <alignment horizontal="center"/>
    </xf>
    <xf numFmtId="165" fontId="36" fillId="0" borderId="0" xfId="0" applyNumberFormat="1" applyFont="1" applyAlignment="1">
      <alignment horizontal="center"/>
    </xf>
    <xf numFmtId="1" fontId="35" fillId="0" borderId="1" xfId="0" applyNumberFormat="1" applyFont="1" applyBorder="1" applyAlignment="1">
      <alignment horizontal="left" vertical="center"/>
    </xf>
    <xf numFmtId="164" fontId="35" fillId="0" borderId="1" xfId="0" applyNumberFormat="1" applyFont="1" applyBorder="1" applyAlignment="1">
      <alignment horizontal="center" vertical="center"/>
    </xf>
    <xf numFmtId="164" fontId="35" fillId="0" borderId="1" xfId="0" applyNumberFormat="1" applyFont="1" applyBorder="1" applyAlignment="1">
      <alignment horizontal="center" vertical="center" wrapText="1"/>
    </xf>
    <xf numFmtId="165" fontId="35" fillId="0" borderId="1" xfId="0" applyNumberFormat="1" applyFont="1" applyBorder="1" applyAlignment="1">
      <alignment horizontal="center" vertical="center" wrapText="1"/>
    </xf>
    <xf numFmtId="1" fontId="35" fillId="0" borderId="1" xfId="0" applyNumberFormat="1" applyFont="1" applyBorder="1"/>
    <xf numFmtId="1" fontId="35" fillId="0" borderId="1" xfId="0" applyNumberFormat="1" applyFont="1" applyBorder="1" applyAlignment="1">
      <alignment horizontal="center"/>
    </xf>
    <xf numFmtId="164" fontId="36" fillId="0" borderId="1" xfId="0" applyNumberFormat="1" applyFont="1" applyBorder="1" applyAlignment="1">
      <alignment horizontal="center"/>
    </xf>
    <xf numFmtId="1" fontId="36" fillId="0" borderId="1" xfId="0" applyNumberFormat="1" applyFont="1" applyBorder="1" applyAlignment="1">
      <alignment horizontal="center"/>
    </xf>
    <xf numFmtId="1" fontId="35" fillId="0" borderId="0" xfId="0" applyNumberFormat="1" applyFont="1" applyAlignment="1">
      <alignment horizontal="center"/>
    </xf>
    <xf numFmtId="1" fontId="36" fillId="0" borderId="0" xfId="0" applyNumberFormat="1" applyFont="1" applyAlignment="1">
      <alignment horizontal="center"/>
    </xf>
    <xf numFmtId="1" fontId="36" fillId="0" borderId="0" xfId="0" applyNumberFormat="1" applyFont="1"/>
    <xf numFmtId="1" fontId="10" fillId="0" borderId="0" xfId="0" applyNumberFormat="1" applyFont="1" applyAlignment="1">
      <alignment horizontal="center"/>
    </xf>
    <xf numFmtId="1" fontId="36" fillId="0" borderId="0" xfId="0" applyNumberFormat="1" applyFont="1" applyAlignment="1">
      <alignment horizontal="left" vertical="center" wrapText="1"/>
    </xf>
    <xf numFmtId="1" fontId="36" fillId="0" borderId="0" xfId="0" applyNumberFormat="1" applyFont="1" applyAlignment="1">
      <alignment horizontal="center" vertical="center"/>
    </xf>
    <xf numFmtId="172" fontId="36" fillId="0" borderId="0" xfId="0" applyNumberFormat="1" applyFont="1" applyAlignment="1">
      <alignment horizontal="center" vertical="center"/>
    </xf>
    <xf numFmtId="2" fontId="36" fillId="0" borderId="0" xfId="0" applyNumberFormat="1" applyFont="1" applyAlignment="1">
      <alignment horizontal="center"/>
    </xf>
    <xf numFmtId="2" fontId="36" fillId="0" borderId="0" xfId="0" applyNumberFormat="1" applyFont="1"/>
    <xf numFmtId="164" fontId="37" fillId="0" borderId="0" xfId="0" applyNumberFormat="1" applyFont="1"/>
    <xf numFmtId="1" fontId="36" fillId="0" borderId="0" xfId="0" applyNumberFormat="1" applyFont="1" applyAlignment="1">
      <alignment vertical="center" wrapText="1"/>
    </xf>
    <xf numFmtId="1" fontId="36" fillId="0" borderId="0" xfId="0" applyNumberFormat="1" applyFont="1" applyAlignment="1">
      <alignment wrapText="1"/>
    </xf>
    <xf numFmtId="172" fontId="36" fillId="0" borderId="0" xfId="0" applyNumberFormat="1" applyFont="1" applyAlignment="1">
      <alignment horizontal="center"/>
    </xf>
    <xf numFmtId="170" fontId="36" fillId="0" borderId="0" xfId="0" applyNumberFormat="1" applyFont="1" applyAlignment="1">
      <alignment horizontal="center"/>
    </xf>
    <xf numFmtId="170" fontId="10" fillId="0" borderId="0" xfId="0" applyNumberFormat="1" applyFont="1" applyAlignment="1">
      <alignment horizontal="center"/>
    </xf>
    <xf numFmtId="1" fontId="36" fillId="0" borderId="0" xfId="0" applyNumberFormat="1" applyFont="1" applyAlignment="1">
      <alignment horizontal="centerContinuous" vertical="center"/>
    </xf>
    <xf numFmtId="1" fontId="36" fillId="0" borderId="1" xfId="0" applyNumberFormat="1" applyFont="1" applyBorder="1"/>
    <xf numFmtId="164" fontId="3" fillId="0" borderId="2" xfId="0" applyNumberFormat="1" applyFont="1" applyBorder="1" applyAlignment="1">
      <alignment horizontal="center"/>
    </xf>
    <xf numFmtId="164" fontId="3" fillId="0" borderId="4" xfId="0" applyNumberFormat="1" applyFont="1" applyBorder="1" applyAlignment="1">
      <alignment horizontal="center"/>
    </xf>
    <xf numFmtId="164" fontId="3" fillId="0" borderId="4" xfId="0" applyNumberFormat="1" applyFont="1" applyBorder="1"/>
    <xf numFmtId="164" fontId="17" fillId="0" borderId="0" xfId="0" applyNumberFormat="1" applyFont="1" applyAlignment="1">
      <alignment horizontal="center"/>
    </xf>
    <xf numFmtId="164" fontId="37" fillId="0" borderId="0" xfId="0" applyNumberFormat="1" applyFont="1" applyAlignment="1">
      <alignment horizontal="center"/>
    </xf>
    <xf numFmtId="164" fontId="37" fillId="0" borderId="0" xfId="0" applyNumberFormat="1" applyFont="1" applyAlignment="1">
      <alignment horizontal="right"/>
    </xf>
    <xf numFmtId="164" fontId="37" fillId="0" borderId="0" xfId="0" applyNumberFormat="1" applyFont="1" applyProtection="1">
      <protection locked="0"/>
    </xf>
    <xf numFmtId="2" fontId="37" fillId="0" borderId="0" xfId="0" applyNumberFormat="1" applyFont="1"/>
    <xf numFmtId="165" fontId="37" fillId="0" borderId="0" xfId="0" applyNumberFormat="1" applyFont="1"/>
    <xf numFmtId="11" fontId="37" fillId="0" borderId="0" xfId="0" applyNumberFormat="1" applyFont="1"/>
    <xf numFmtId="0" fontId="37" fillId="0" borderId="0" xfId="0" applyFont="1" applyAlignment="1">
      <alignment horizontal="center"/>
    </xf>
    <xf numFmtId="165" fontId="37" fillId="0" borderId="0" xfId="0" applyNumberFormat="1" applyFont="1" applyAlignment="1">
      <alignment horizontal="center"/>
    </xf>
    <xf numFmtId="164" fontId="37" fillId="0" borderId="0" xfId="0" applyNumberFormat="1" applyFont="1" applyAlignment="1" applyProtection="1">
      <alignment horizontal="center"/>
      <protection locked="0"/>
    </xf>
    <xf numFmtId="1" fontId="37" fillId="0" borderId="0" xfId="0" applyNumberFormat="1" applyFont="1" applyAlignment="1">
      <alignment horizontal="center"/>
    </xf>
    <xf numFmtId="2" fontId="37" fillId="0" borderId="0" xfId="0" applyNumberFormat="1" applyFont="1" applyAlignment="1">
      <alignment horizontal="center"/>
    </xf>
    <xf numFmtId="1" fontId="37" fillId="0" borderId="0" xfId="0" applyNumberFormat="1" applyFont="1"/>
    <xf numFmtId="164" fontId="38" fillId="0" borderId="0" xfId="0" applyNumberFormat="1" applyFont="1"/>
    <xf numFmtId="166" fontId="3" fillId="0" borderId="0" xfId="0" applyNumberFormat="1" applyFont="1" applyAlignment="1">
      <alignment horizontal="center"/>
    </xf>
    <xf numFmtId="165" fontId="5" fillId="0" borderId="0" xfId="0" applyNumberFormat="1" applyFont="1" applyAlignment="1">
      <alignment horizontal="center"/>
    </xf>
    <xf numFmtId="170" fontId="5" fillId="0" borderId="0" xfId="0" applyNumberFormat="1" applyFont="1" applyAlignment="1">
      <alignment horizontal="center"/>
    </xf>
    <xf numFmtId="164" fontId="1" fillId="1" borderId="0" xfId="0" applyNumberFormat="1" applyFont="1" applyFill="1"/>
    <xf numFmtId="164" fontId="1" fillId="0" borderId="0" xfId="0" applyNumberFormat="1" applyFont="1" applyAlignment="1">
      <alignment horizontal="center"/>
    </xf>
    <xf numFmtId="164" fontId="1" fillId="0" borderId="0" xfId="0" applyNumberFormat="1" applyFont="1" applyAlignment="1">
      <alignment horizontal="right"/>
    </xf>
    <xf numFmtId="165" fontId="1" fillId="0" borderId="0" xfId="0" applyNumberFormat="1" applyFont="1" applyAlignment="1">
      <alignment horizontal="center"/>
    </xf>
    <xf numFmtId="164" fontId="1" fillId="1" borderId="1" xfId="0" applyNumberFormat="1" applyFont="1" applyFill="1" applyBorder="1"/>
    <xf numFmtId="166" fontId="1" fillId="0" borderId="0" xfId="0" applyNumberFormat="1" applyFont="1" applyAlignment="1">
      <alignment horizontal="center"/>
    </xf>
    <xf numFmtId="164" fontId="1" fillId="0" borderId="0" xfId="0" applyNumberFormat="1" applyFont="1" applyAlignment="1">
      <alignment horizontal="center" vertical="center" wrapText="1"/>
    </xf>
    <xf numFmtId="164" fontId="1" fillId="0" borderId="0" xfId="0" applyNumberFormat="1" applyFont="1" applyAlignment="1">
      <alignment horizontal="left" wrapText="1"/>
    </xf>
    <xf numFmtId="164" fontId="1" fillId="0" borderId="0" xfId="0" applyNumberFormat="1" applyFont="1" applyAlignment="1">
      <alignment horizontal="center" vertical="center"/>
    </xf>
    <xf numFmtId="1" fontId="1" fillId="0" borderId="0" xfId="0" applyNumberFormat="1" applyFont="1" applyAlignment="1">
      <alignment horizontal="center" vertical="center"/>
    </xf>
    <xf numFmtId="1" fontId="1" fillId="1" borderId="0" xfId="0" applyNumberFormat="1" applyFont="1" applyFill="1"/>
    <xf numFmtId="165" fontId="1" fillId="0" borderId="0" xfId="0" applyNumberFormat="1" applyFont="1"/>
    <xf numFmtId="165" fontId="1" fillId="0" borderId="0" xfId="0" applyNumberFormat="1" applyFont="1" applyAlignment="1">
      <alignment horizontal="center" vertical="center"/>
    </xf>
    <xf numFmtId="165" fontId="1" fillId="1" borderId="0" xfId="0" applyNumberFormat="1" applyFont="1" applyFill="1"/>
    <xf numFmtId="165" fontId="1" fillId="2" borderId="0" xfId="0" applyNumberFormat="1" applyFont="1" applyFill="1"/>
    <xf numFmtId="164" fontId="1" fillId="3" borderId="0" xfId="0" applyNumberFormat="1" applyFont="1" applyFill="1"/>
    <xf numFmtId="1" fontId="1" fillId="2" borderId="0" xfId="0" applyNumberFormat="1" applyFont="1" applyFill="1" applyAlignment="1">
      <alignment horizontal="center" vertical="center"/>
    </xf>
    <xf numFmtId="1" fontId="1" fillId="0" borderId="0" xfId="0" applyNumberFormat="1" applyFont="1"/>
    <xf numFmtId="3" fontId="1" fillId="0" borderId="0" xfId="0" applyNumberFormat="1" applyFont="1" applyAlignment="1">
      <alignment horizontal="center" vertical="center"/>
    </xf>
    <xf numFmtId="3" fontId="1" fillId="4" borderId="0" xfId="0" applyNumberFormat="1" applyFont="1" applyFill="1" applyAlignment="1">
      <alignment horizontal="center" vertical="center"/>
    </xf>
    <xf numFmtId="2" fontId="1" fillId="0" borderId="0" xfId="0" applyNumberFormat="1" applyFont="1"/>
    <xf numFmtId="2" fontId="1" fillId="0" borderId="0" xfId="0" applyNumberFormat="1" applyFont="1" applyAlignment="1">
      <alignment horizontal="center" vertical="center"/>
    </xf>
    <xf numFmtId="2" fontId="1" fillId="1" borderId="0" xfId="0" applyNumberFormat="1" applyFont="1" applyFill="1"/>
    <xf numFmtId="164" fontId="1" fillId="0" borderId="0" xfId="0" applyNumberFormat="1" applyFont="1" applyAlignment="1">
      <alignment horizontal="left"/>
    </xf>
    <xf numFmtId="164" fontId="1" fillId="2" borderId="0" xfId="0" applyNumberFormat="1" applyFont="1" applyFill="1" applyAlignment="1">
      <alignment horizontal="left"/>
    </xf>
    <xf numFmtId="164" fontId="1" fillId="2" borderId="0" xfId="0" applyNumberFormat="1" applyFont="1" applyFill="1"/>
    <xf numFmtId="164" fontId="1" fillId="5" borderId="0" xfId="0" applyNumberFormat="1" applyFont="1" applyFill="1"/>
    <xf numFmtId="164" fontId="1" fillId="6" borderId="0" xfId="0" applyNumberFormat="1" applyFont="1" applyFill="1"/>
    <xf numFmtId="2" fontId="1" fillId="5" borderId="0" xfId="0" applyNumberFormat="1" applyFont="1" applyFill="1" applyAlignment="1">
      <alignment horizontal="center" vertical="center"/>
    </xf>
    <xf numFmtId="2" fontId="1" fillId="5" borderId="0" xfId="0" applyNumberFormat="1" applyFont="1" applyFill="1" applyAlignment="1">
      <alignment horizontal="center"/>
    </xf>
    <xf numFmtId="164" fontId="1" fillId="0" borderId="0" xfId="0" applyNumberFormat="1" applyFont="1" applyAlignment="1">
      <alignment vertical="center"/>
    </xf>
    <xf numFmtId="10" fontId="1" fillId="0" borderId="0" xfId="0" applyNumberFormat="1" applyFont="1" applyAlignment="1">
      <alignment horizontal="center" vertical="center"/>
    </xf>
    <xf numFmtId="165" fontId="1" fillId="4" borderId="0" xfId="0" applyNumberFormat="1" applyFont="1" applyFill="1" applyAlignment="1">
      <alignment horizontal="center" vertical="center"/>
    </xf>
    <xf numFmtId="2" fontId="1" fillId="0" borderId="0" xfId="0" applyNumberFormat="1" applyFont="1" applyAlignment="1">
      <alignment horizontal="left"/>
    </xf>
    <xf numFmtId="168" fontId="1" fillId="0" borderId="0" xfId="0" applyNumberFormat="1" applyFont="1" applyAlignment="1">
      <alignment horizontal="center" vertical="center"/>
    </xf>
    <xf numFmtId="169" fontId="1" fillId="0" borderId="0" xfId="0" applyNumberFormat="1" applyFont="1" applyAlignment="1">
      <alignment horizontal="center" vertical="center"/>
    </xf>
    <xf numFmtId="165" fontId="1" fillId="0" borderId="0" xfId="0" applyNumberFormat="1" applyFont="1" applyAlignment="1">
      <alignment horizontal="left"/>
    </xf>
    <xf numFmtId="170" fontId="1" fillId="0" borderId="0" xfId="0" applyNumberFormat="1" applyFont="1" applyAlignment="1">
      <alignment horizontal="center" vertical="center"/>
    </xf>
    <xf numFmtId="170" fontId="1" fillId="1" borderId="0" xfId="0" applyNumberFormat="1" applyFont="1" applyFill="1"/>
    <xf numFmtId="165" fontId="1" fillId="2" borderId="0" xfId="0" applyNumberFormat="1" applyFont="1" applyFill="1" applyAlignment="1">
      <alignment horizontal="left"/>
    </xf>
    <xf numFmtId="170" fontId="1" fillId="2" borderId="0" xfId="0" applyNumberFormat="1" applyFont="1" applyFill="1" applyAlignment="1">
      <alignment horizontal="center" vertical="center"/>
    </xf>
    <xf numFmtId="2"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applyAlignment="1">
      <alignment horizontal="left"/>
    </xf>
    <xf numFmtId="167" fontId="1" fillId="2" borderId="0" xfId="0" applyNumberFormat="1" applyFont="1" applyFill="1" applyAlignment="1">
      <alignment horizontal="center" vertical="center"/>
    </xf>
    <xf numFmtId="1" fontId="1"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2"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5" fontId="1" fillId="3" borderId="0" xfId="0" applyNumberFormat="1" applyFont="1" applyFill="1"/>
    <xf numFmtId="171" fontId="1" fillId="0" borderId="0" xfId="0" applyNumberFormat="1" applyFont="1" applyAlignment="1">
      <alignment horizontal="center" vertical="center"/>
    </xf>
    <xf numFmtId="166" fontId="1" fillId="0" borderId="0" xfId="0" applyNumberFormat="1" applyFont="1" applyAlignment="1">
      <alignment horizontal="center" vertical="center"/>
    </xf>
    <xf numFmtId="2" fontId="1" fillId="4" borderId="0" xfId="0" applyNumberFormat="1" applyFont="1" applyFill="1" applyAlignment="1">
      <alignment horizontal="center" vertical="center"/>
    </xf>
    <xf numFmtId="164" fontId="1" fillId="8" borderId="0" xfId="0" applyNumberFormat="1" applyFont="1" applyFill="1"/>
    <xf numFmtId="164" fontId="1" fillId="8" borderId="0" xfId="0" applyNumberFormat="1" applyFont="1" applyFill="1" applyAlignment="1">
      <alignment horizontal="center" vertical="center"/>
    </xf>
    <xf numFmtId="165" fontId="1" fillId="2" borderId="0" xfId="0" applyNumberFormat="1" applyFont="1" applyFill="1" applyAlignment="1">
      <alignment horizontal="left" vertical="center"/>
    </xf>
    <xf numFmtId="164" fontId="1" fillId="1" borderId="0" xfId="0" applyNumberFormat="1" applyFont="1" applyFill="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applyAlignment="1">
      <alignment vertical="center"/>
    </xf>
    <xf numFmtId="167" fontId="1" fillId="0" borderId="0" xfId="0" applyNumberFormat="1" applyFont="1" applyAlignment="1">
      <alignment horizontal="center"/>
    </xf>
    <xf numFmtId="164" fontId="1" fillId="1" borderId="0" xfId="0" applyNumberFormat="1" applyFont="1" applyFill="1" applyAlignment="1">
      <alignment vertical="center"/>
    </xf>
    <xf numFmtId="168" fontId="1" fillId="0" borderId="0" xfId="0" applyNumberFormat="1" applyFont="1"/>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1" fillId="0" borderId="4" xfId="0" applyNumberFormat="1" applyFont="1" applyBorder="1"/>
    <xf numFmtId="171" fontId="1" fillId="0" borderId="2"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71" fontId="1" fillId="0" borderId="5"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2" fontId="1" fillId="0" borderId="6" xfId="0" applyNumberFormat="1" applyFont="1" applyBorder="1" applyAlignment="1">
      <alignment horizontal="center" vertical="center" wrapText="1"/>
    </xf>
    <xf numFmtId="165" fontId="1" fillId="0" borderId="6" xfId="0" applyNumberFormat="1" applyFont="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1" fontId="1" fillId="10" borderId="5" xfId="0" applyNumberFormat="1" applyFont="1" applyFill="1" applyBorder="1" applyAlignment="1">
      <alignment horizontal="center" vertical="center" wrapText="1"/>
    </xf>
    <xf numFmtId="171" fontId="1" fillId="11" borderId="5" xfId="0" applyNumberFormat="1" applyFont="1" applyFill="1" applyBorder="1" applyAlignment="1">
      <alignment horizontal="center" vertical="center" wrapText="1"/>
    </xf>
    <xf numFmtId="164" fontId="1" fillId="11" borderId="6" xfId="0" applyNumberFormat="1" applyFont="1" applyFill="1" applyBorder="1" applyAlignment="1">
      <alignment horizontal="center" vertical="center" wrapText="1"/>
    </xf>
    <xf numFmtId="2" fontId="1" fillId="11" borderId="6" xfId="0" applyNumberFormat="1" applyFont="1" applyFill="1" applyBorder="1" applyAlignment="1">
      <alignment horizontal="center" vertical="center" wrapText="1"/>
    </xf>
    <xf numFmtId="165" fontId="1" fillId="11" borderId="6" xfId="0" applyNumberFormat="1" applyFont="1" applyFill="1" applyBorder="1" applyAlignment="1">
      <alignment horizontal="center" vertical="center" wrapText="1"/>
    </xf>
    <xf numFmtId="1" fontId="1" fillId="11" borderId="6" xfId="0" applyNumberFormat="1" applyFont="1" applyFill="1" applyBorder="1" applyAlignment="1">
      <alignment horizontal="center" vertical="center" wrapText="1"/>
    </xf>
    <xf numFmtId="1" fontId="1" fillId="11" borderId="5" xfId="0" applyNumberFormat="1" applyFont="1" applyFill="1" applyBorder="1" applyAlignment="1">
      <alignment horizontal="center" vertical="center" wrapText="1"/>
    </xf>
    <xf numFmtId="164" fontId="1" fillId="0" borderId="7"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164" fontId="1" fillId="0" borderId="0" xfId="0" applyNumberFormat="1" applyFont="1" applyAlignment="1">
      <alignment horizontal="right" vertical="center" wrapText="1"/>
    </xf>
    <xf numFmtId="2" fontId="1" fillId="0" borderId="8" xfId="0" applyNumberFormat="1" applyFont="1" applyBorder="1" applyAlignment="1">
      <alignment horizontal="center" vertical="center" wrapText="1"/>
    </xf>
    <xf numFmtId="165" fontId="1" fillId="0" borderId="8"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64" fontId="1" fillId="0" borderId="5" xfId="0" applyNumberFormat="1" applyFont="1" applyBorder="1"/>
    <xf numFmtId="164" fontId="1" fillId="0" borderId="1" xfId="0" applyNumberFormat="1" applyFont="1" applyBorder="1" applyAlignment="1">
      <alignment horizontal="right"/>
    </xf>
    <xf numFmtId="171" fontId="1" fillId="0" borderId="6" xfId="0" applyNumberFormat="1" applyFont="1" applyBorder="1" applyAlignment="1">
      <alignment horizontal="center"/>
    </xf>
    <xf numFmtId="171" fontId="1" fillId="0" borderId="6" xfId="0" applyNumberFormat="1" applyFont="1" applyBorder="1"/>
    <xf numFmtId="171" fontId="1" fillId="0" borderId="5" xfId="0" applyNumberFormat="1" applyFont="1" applyBorder="1"/>
    <xf numFmtId="171" fontId="1" fillId="0" borderId="8" xfId="0" applyNumberFormat="1" applyFont="1" applyBorder="1" applyAlignment="1">
      <alignment horizontal="center"/>
    </xf>
    <xf numFmtId="171" fontId="1" fillId="0" borderId="8" xfId="0" applyNumberFormat="1" applyFont="1" applyBorder="1"/>
    <xf numFmtId="171" fontId="1" fillId="0" borderId="4" xfId="0" applyNumberFormat="1" applyFont="1" applyBorder="1"/>
    <xf numFmtId="171" fontId="1" fillId="0" borderId="0" xfId="0" applyNumberFormat="1" applyFont="1" applyAlignment="1">
      <alignment horizontal="right"/>
    </xf>
    <xf numFmtId="1" fontId="1"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8" xfId="0" applyNumberFormat="1" applyFont="1" applyBorder="1"/>
    <xf numFmtId="164" fontId="1" fillId="0" borderId="7" xfId="0" applyNumberFormat="1" applyFont="1" applyBorder="1"/>
    <xf numFmtId="164" fontId="1" fillId="0" borderId="7" xfId="0" applyNumberFormat="1" applyFont="1" applyBorder="1" applyAlignment="1">
      <alignment horizontal="centerContinuous" vertical="center"/>
    </xf>
    <xf numFmtId="164" fontId="1" fillId="0" borderId="2" xfId="0" applyNumberFormat="1" applyFont="1" applyBorder="1" applyAlignment="1">
      <alignment horizontal="centerContinuous" vertical="center"/>
    </xf>
    <xf numFmtId="164" fontId="1" fillId="0" borderId="4"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8" xfId="0" applyNumberFormat="1" applyFont="1" applyBorder="1" applyAlignment="1">
      <alignment horizontal="center" vertical="center" wrapText="1"/>
    </xf>
    <xf numFmtId="171" fontId="1" fillId="0" borderId="2" xfId="0" applyNumberFormat="1" applyFont="1" applyBorder="1" applyAlignment="1">
      <alignment horizontal="center"/>
    </xf>
    <xf numFmtId="1" fontId="1" fillId="0" borderId="3"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2" borderId="2" xfId="0" applyNumberFormat="1" applyFont="1" applyFill="1" applyBorder="1" applyAlignment="1">
      <alignment horizontal="center"/>
    </xf>
    <xf numFmtId="165" fontId="1" fillId="2" borderId="3" xfId="0" applyNumberFormat="1" applyFont="1" applyFill="1" applyBorder="1" applyAlignment="1">
      <alignment horizontal="center"/>
    </xf>
    <xf numFmtId="171" fontId="1" fillId="0" borderId="4" xfId="0" applyNumberFormat="1" applyFont="1" applyBorder="1" applyAlignment="1">
      <alignment horizontal="center"/>
    </xf>
    <xf numFmtId="165" fontId="1" fillId="0" borderId="4" xfId="0" applyNumberFormat="1" applyFont="1" applyBorder="1" applyAlignment="1">
      <alignment horizontal="center"/>
    </xf>
    <xf numFmtId="165" fontId="1" fillId="0" borderId="8" xfId="0" applyNumberFormat="1" applyFont="1" applyBorder="1" applyAlignment="1">
      <alignment horizontal="center"/>
    </xf>
    <xf numFmtId="165" fontId="1" fillId="2" borderId="4" xfId="0" applyNumberFormat="1" applyFont="1" applyFill="1" applyBorder="1" applyAlignment="1">
      <alignment horizontal="center"/>
    </xf>
    <xf numFmtId="165" fontId="1" fillId="2" borderId="8" xfId="0" applyNumberFormat="1" applyFont="1" applyFill="1" applyBorder="1" applyAlignment="1">
      <alignment horizontal="center"/>
    </xf>
    <xf numFmtId="164" fontId="1" fillId="11" borderId="4" xfId="0" applyNumberFormat="1" applyFont="1" applyFill="1" applyBorder="1"/>
    <xf numFmtId="1" fontId="1" fillId="11" borderId="8" xfId="0" applyNumberFormat="1" applyFont="1" applyFill="1" applyBorder="1" applyAlignment="1">
      <alignment horizontal="center"/>
    </xf>
    <xf numFmtId="164" fontId="1" fillId="11" borderId="4" xfId="0" applyNumberFormat="1" applyFont="1" applyFill="1" applyBorder="1" applyAlignment="1">
      <alignment horizontal="center"/>
    </xf>
    <xf numFmtId="164" fontId="1" fillId="11" borderId="8" xfId="0" applyNumberFormat="1" applyFont="1" applyFill="1" applyBorder="1" applyAlignment="1">
      <alignment horizontal="center"/>
    </xf>
    <xf numFmtId="164" fontId="1" fillId="4" borderId="4" xfId="0" applyNumberFormat="1" applyFont="1" applyFill="1" applyBorder="1" applyAlignment="1">
      <alignment horizontal="center" vertical="center" wrapText="1"/>
    </xf>
    <xf numFmtId="165" fontId="1" fillId="4" borderId="8" xfId="0" applyNumberFormat="1" applyFont="1" applyFill="1" applyBorder="1" applyAlignment="1">
      <alignment horizontal="center" vertical="center"/>
    </xf>
    <xf numFmtId="164" fontId="1" fillId="0" borderId="5" xfId="0" applyNumberFormat="1" applyFont="1" applyBorder="1" applyAlignment="1">
      <alignment horizontal="center" vertical="center" wrapText="1"/>
    </xf>
    <xf numFmtId="165" fontId="1" fillId="0" borderId="6" xfId="0" applyNumberFormat="1" applyFont="1" applyBorder="1" applyAlignment="1">
      <alignment horizontal="center" vertical="center"/>
    </xf>
    <xf numFmtId="164" fontId="1" fillId="0" borderId="5" xfId="0" applyNumberFormat="1" applyFont="1" applyBorder="1" applyAlignment="1">
      <alignment horizontal="right"/>
    </xf>
    <xf numFmtId="165" fontId="1" fillId="0" borderId="6" xfId="0" applyNumberFormat="1" applyFont="1" applyBorder="1" applyAlignment="1">
      <alignment horizontal="center"/>
    </xf>
    <xf numFmtId="165" fontId="1" fillId="0" borderId="5" xfId="0" applyNumberFormat="1" applyFont="1" applyBorder="1" applyAlignment="1">
      <alignment horizontal="center"/>
    </xf>
    <xf numFmtId="0" fontId="5" fillId="0" borderId="0" xfId="0" applyFont="1"/>
    <xf numFmtId="164" fontId="5" fillId="0" borderId="2" xfId="0" applyNumberFormat="1" applyFont="1" applyBorder="1"/>
    <xf numFmtId="164" fontId="5" fillId="0" borderId="5" xfId="0" applyNumberFormat="1" applyFont="1" applyBorder="1"/>
    <xf numFmtId="164" fontId="5" fillId="0" borderId="7" xfId="0" applyNumberFormat="1" applyFont="1" applyBorder="1"/>
    <xf numFmtId="166" fontId="5" fillId="0" borderId="5" xfId="0" applyNumberFormat="1" applyFont="1" applyBorder="1"/>
    <xf numFmtId="172" fontId="1" fillId="1" borderId="0" xfId="0" applyNumberFormat="1" applyFont="1" applyFill="1" applyAlignment="1">
      <alignment vertical="center"/>
    </xf>
    <xf numFmtId="164" fontId="1" fillId="1" borderId="0" xfId="0" applyNumberFormat="1" applyFont="1" applyFill="1" applyAlignment="1">
      <alignment horizontal="center"/>
    </xf>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'WTP DOC Profile'!$B$1:$B$1</c:f>
          <c:strCache>
            <c:ptCount val="1"/>
            <c:pt idx="0">
              <c:v>BPWTP Dissolved Organic Carbon (DOC) Profile</c:v>
            </c:pt>
          </c:strCache>
        </c:strRef>
      </c:tx>
      <c:layout>
        <c:manualLayout>
          <c:xMode val="edge"/>
          <c:yMode val="edge"/>
          <c:x val="0.35662128144137833"/>
          <c:y val="2.5958792750353649E-2"/>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title>
    <c:autoTitleDeleted val="0"/>
    <c:plotArea>
      <c:layout>
        <c:manualLayout>
          <c:layoutTarget val="inner"/>
          <c:xMode val="edge"/>
          <c:yMode val="edge"/>
          <c:x val="5.7628914301363417E-2"/>
          <c:y val="0.22250393786017411"/>
          <c:w val="0.89833307587419442"/>
          <c:h val="0.6329000899133842"/>
        </c:manualLayout>
      </c:layout>
      <c:scatterChart>
        <c:scatterStyle val="lineMarker"/>
        <c:varyColors val="0"/>
        <c:ser>
          <c:idx val="0"/>
          <c:order val="0"/>
          <c:tx>
            <c:strRef>
              <c:f>'WTP DOC Profile'!$J$3:$J$3</c:f>
              <c:strCache>
                <c:ptCount val="1"/>
                <c:pt idx="0">
                  <c:v>PreFM</c:v>
                </c:pt>
              </c:strCache>
            </c:strRef>
          </c:tx>
          <c:spPr>
            <a:ln w="3175">
              <a:solidFill>
                <a:srgbClr val="FF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Profile'!$J$4:$J$187</c:f>
              <c:numCache>
                <c:formatCode>0.0</c:formatCode>
                <c:ptCount val="184"/>
                <c:pt idx="0">
                  <c:v>4.7619047619047654</c:v>
                </c:pt>
                <c:pt idx="1">
                  <c:v>2.7027027027027049</c:v>
                </c:pt>
                <c:pt idx="2">
                  <c:v>-5.5555555555555483</c:v>
                </c:pt>
                <c:pt idx="3">
                  <c:v>5.1282051282051215</c:v>
                </c:pt>
                <c:pt idx="4">
                  <c:v>-3.9473684210526412</c:v>
                </c:pt>
                <c:pt idx="5">
                  <c:v>-1.2499999999999956</c:v>
                </c:pt>
                <c:pt idx="6">
                  <c:v>-6.9767441860465071</c:v>
                </c:pt>
                <c:pt idx="7">
                  <c:v>-2.3809523809523725</c:v>
                </c:pt>
                <c:pt idx="8">
                  <c:v>-6.6666666666666625</c:v>
                </c:pt>
                <c:pt idx="9">
                  <c:v>2.1739130434782532</c:v>
                </c:pt>
                <c:pt idx="10">
                  <c:v>0</c:v>
                </c:pt>
                <c:pt idx="11">
                  <c:v>-8.1632653061224367</c:v>
                </c:pt>
                <c:pt idx="12">
                  <c:v>1.9230769230769333</c:v>
                </c:pt>
                <c:pt idx="13">
                  <c:v>-10.638297872340425</c:v>
                </c:pt>
                <c:pt idx="14">
                  <c:v>1.9999999999999927</c:v>
                </c:pt>
                <c:pt idx="15">
                  <c:v>-2.2222222222222143</c:v>
                </c:pt>
                <c:pt idx="16">
                  <c:v>-7.547169811320761</c:v>
                </c:pt>
                <c:pt idx="17">
                  <c:v>-9.0909090909090793</c:v>
                </c:pt>
                <c:pt idx="18">
                  <c:v>0</c:v>
                </c:pt>
                <c:pt idx="19">
                  <c:v>-2.5641025641025665</c:v>
                </c:pt>
                <c:pt idx="20">
                  <c:v>-2.4390243902439157</c:v>
                </c:pt>
                <c:pt idx="21">
                  <c:v>0</c:v>
                </c:pt>
                <c:pt idx="22">
                  <c:v>0</c:v>
                </c:pt>
                <c:pt idx="23">
                  <c:v>0</c:v>
                </c:pt>
                <c:pt idx="24">
                  <c:v>0</c:v>
                </c:pt>
                <c:pt idx="25">
                  <c:v>-6.666666666666667</c:v>
                </c:pt>
                <c:pt idx="26">
                  <c:v>-5.0000000000000044</c:v>
                </c:pt>
                <c:pt idx="27">
                  <c:v>2.3809523809523938</c:v>
                </c:pt>
                <c:pt idx="28">
                  <c:v>0</c:v>
                </c:pt>
                <c:pt idx="29">
                  <c:v>1.4084507042253471</c:v>
                </c:pt>
                <c:pt idx="30">
                  <c:v>6.8965517241379279</c:v>
                </c:pt>
                <c:pt idx="31">
                  <c:v>5.8139534883720927</c:v>
                </c:pt>
                <c:pt idx="32">
                  <c:v>0</c:v>
                </c:pt>
                <c:pt idx="33">
                  <c:v>-1.1494252873563382</c:v>
                </c:pt>
                <c:pt idx="34">
                  <c:v>1.2345679012345634</c:v>
                </c:pt>
                <c:pt idx="35">
                  <c:v>9.4117647058823515</c:v>
                </c:pt>
                <c:pt idx="36">
                  <c:v>0</c:v>
                </c:pt>
                <c:pt idx="37">
                  <c:v>0</c:v>
                </c:pt>
                <c:pt idx="38">
                  <c:v>0</c:v>
                </c:pt>
                <c:pt idx="39">
                  <c:v>0</c:v>
                </c:pt>
                <c:pt idx="40">
                  <c:v>0</c:v>
                </c:pt>
                <c:pt idx="41">
                  <c:v>0</c:v>
                </c:pt>
                <c:pt idx="42">
                  <c:v>-2.6666666666666687</c:v>
                </c:pt>
                <c:pt idx="43">
                  <c:v>2.2727272727272845</c:v>
                </c:pt>
                <c:pt idx="44">
                  <c:v>-7.407407407407403</c:v>
                </c:pt>
                <c:pt idx="45">
                  <c:v>-7.4999999999999956</c:v>
                </c:pt>
                <c:pt idx="46">
                  <c:v>-5.4054054054053982</c:v>
                </c:pt>
                <c:pt idx="47">
                  <c:v>-2.8571428571428599</c:v>
                </c:pt>
                <c:pt idx="48">
                  <c:v>-5.1282051282051215</c:v>
                </c:pt>
                <c:pt idx="49">
                  <c:v>-2.5641025641025665</c:v>
                </c:pt>
                <c:pt idx="50">
                  <c:v>-15.384615384615389</c:v>
                </c:pt>
                <c:pt idx="51">
                  <c:v>-5.9523809523809517</c:v>
                </c:pt>
                <c:pt idx="52">
                  <c:v>-4.4444444444444482</c:v>
                </c:pt>
                <c:pt idx="53">
                  <c:v>0</c:v>
                </c:pt>
                <c:pt idx="54">
                  <c:v>2.2727272727272845</c:v>
                </c:pt>
                <c:pt idx="55">
                  <c:v>-8.8888888888888964</c:v>
                </c:pt>
                <c:pt idx="56">
                  <c:v>0</c:v>
                </c:pt>
                <c:pt idx="57">
                  <c:v>-17.333333333333343</c:v>
                </c:pt>
                <c:pt idx="58">
                  <c:v>-3.3333333333333361</c:v>
                </c:pt>
                <c:pt idx="59">
                  <c:v>3.1250000000000027</c:v>
                </c:pt>
                <c:pt idx="60">
                  <c:v>19.230769230769234</c:v>
                </c:pt>
                <c:pt idx="61">
                  <c:v>0</c:v>
                </c:pt>
                <c:pt idx="62">
                  <c:v>-3.4482758620689689</c:v>
                </c:pt>
                <c:pt idx="63">
                  <c:v>-3.7037037037036904</c:v>
                </c:pt>
                <c:pt idx="64">
                  <c:v>0</c:v>
                </c:pt>
                <c:pt idx="65">
                  <c:v>-9.6774193548387046</c:v>
                </c:pt>
                <c:pt idx="66">
                  <c:v>2.3076923076923128</c:v>
                </c:pt>
                <c:pt idx="67">
                  <c:v>-3.1249999999999889</c:v>
                </c:pt>
                <c:pt idx="68">
                  <c:v>-12.90322580645161</c:v>
                </c:pt>
                <c:pt idx="69">
                  <c:v>-3.4482758620689689</c:v>
                </c:pt>
                <c:pt idx="70">
                  <c:v>-7.1428571428571495</c:v>
                </c:pt>
                <c:pt idx="71">
                  <c:v>-3.5714285714285747</c:v>
                </c:pt>
                <c:pt idx="72">
                  <c:v>-7.9365079365079358</c:v>
                </c:pt>
                <c:pt idx="73">
                  <c:v>-9.6774193548387046</c:v>
                </c:pt>
                <c:pt idx="74">
                  <c:v>6.8965517241379226</c:v>
                </c:pt>
                <c:pt idx="75">
                  <c:v>0</c:v>
                </c:pt>
                <c:pt idx="76">
                  <c:v>-1.8018018018018116</c:v>
                </c:pt>
                <c:pt idx="77">
                  <c:v>6.6176470588235325</c:v>
                </c:pt>
                <c:pt idx="78">
                  <c:v>-3.3613445378151288</c:v>
                </c:pt>
                <c:pt idx="79">
                  <c:v>0</c:v>
                </c:pt>
                <c:pt idx="80">
                  <c:v>0.81967213114753812</c:v>
                </c:pt>
                <c:pt idx="81">
                  <c:v>7.142857142857145</c:v>
                </c:pt>
                <c:pt idx="82">
                  <c:v>-2.5210084033613356</c:v>
                </c:pt>
                <c:pt idx="83">
                  <c:v>0</c:v>
                </c:pt>
                <c:pt idx="84">
                  <c:v>0</c:v>
                </c:pt>
                <c:pt idx="85">
                  <c:v>0</c:v>
                </c:pt>
                <c:pt idx="86">
                  <c:v>0</c:v>
                </c:pt>
                <c:pt idx="87">
                  <c:v>0.84745762711865602</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7.4999999999999956</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0-77E4-44F1-915E-73710CB84977}"/>
            </c:ext>
          </c:extLst>
        </c:ser>
        <c:ser>
          <c:idx val="1"/>
          <c:order val="1"/>
          <c:tx>
            <c:strRef>
              <c:f>'WTP DOC Profile'!$K$3:$K$3</c:f>
              <c:strCache>
                <c:ptCount val="1"/>
                <c:pt idx="0">
                  <c:v>FM</c:v>
                </c:pt>
              </c:strCache>
            </c:strRef>
          </c:tx>
          <c:spPr>
            <a:ln w="3175">
              <a:solidFill>
                <a:srgbClr val="00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Profile'!$K$4:$K$187</c:f>
              <c:numCache>
                <c:formatCode>0.0</c:formatCode>
                <c:ptCount val="184"/>
                <c:pt idx="0">
                  <c:v>33.333333333333343</c:v>
                </c:pt>
                <c:pt idx="1">
                  <c:v>33.783783783783782</c:v>
                </c:pt>
                <c:pt idx="2">
                  <c:v>38.888888888888886</c:v>
                </c:pt>
                <c:pt idx="3">
                  <c:v>33.333333333333329</c:v>
                </c:pt>
                <c:pt idx="4">
                  <c:v>31.578947368421044</c:v>
                </c:pt>
                <c:pt idx="5">
                  <c:v>47.5</c:v>
                </c:pt>
                <c:pt idx="6">
                  <c:v>46.511627906976742</c:v>
                </c:pt>
                <c:pt idx="7">
                  <c:v>42.857142857142861</c:v>
                </c:pt>
                <c:pt idx="8">
                  <c:v>47.777777777777771</c:v>
                </c:pt>
                <c:pt idx="9">
                  <c:v>51.086956521739125</c:v>
                </c:pt>
                <c:pt idx="10">
                  <c:v>50</c:v>
                </c:pt>
                <c:pt idx="11">
                  <c:v>48.979591836734699</c:v>
                </c:pt>
                <c:pt idx="12">
                  <c:v>49.03846153846154</c:v>
                </c:pt>
                <c:pt idx="13">
                  <c:v>47.87234042553191</c:v>
                </c:pt>
                <c:pt idx="14">
                  <c:v>43</c:v>
                </c:pt>
                <c:pt idx="15">
                  <c:v>35.555555555555557</c:v>
                </c:pt>
                <c:pt idx="16">
                  <c:v>47.169811320754718</c:v>
                </c:pt>
                <c:pt idx="17">
                  <c:v>36.363636363636367</c:v>
                </c:pt>
                <c:pt idx="18">
                  <c:v>37.5</c:v>
                </c:pt>
                <c:pt idx="19">
                  <c:v>35.897435897435898</c:v>
                </c:pt>
                <c:pt idx="20">
                  <c:v>35.365853658536587</c:v>
                </c:pt>
                <c:pt idx="21">
                  <c:v>32.894736842105267</c:v>
                </c:pt>
                <c:pt idx="22">
                  <c:v>38.461538461538467</c:v>
                </c:pt>
                <c:pt idx="23">
                  <c:v>33.75</c:v>
                </c:pt>
                <c:pt idx="24">
                  <c:v>29.487179487179489</c:v>
                </c:pt>
                <c:pt idx="25">
                  <c:v>27.999999999999996</c:v>
                </c:pt>
                <c:pt idx="26">
                  <c:v>31.25</c:v>
                </c:pt>
                <c:pt idx="27">
                  <c:v>34.523809523809526</c:v>
                </c:pt>
                <c:pt idx="28">
                  <c:v>32.926829268292678</c:v>
                </c:pt>
                <c:pt idx="29">
                  <c:v>26.760563380281681</c:v>
                </c:pt>
                <c:pt idx="30">
                  <c:v>35.632183908045981</c:v>
                </c:pt>
                <c:pt idx="31">
                  <c:v>34.883720930232556</c:v>
                </c:pt>
                <c:pt idx="32">
                  <c:v>28.749999999999996</c:v>
                </c:pt>
                <c:pt idx="33">
                  <c:v>33.333333333333329</c:v>
                </c:pt>
                <c:pt idx="34">
                  <c:v>27.160493827160487</c:v>
                </c:pt>
                <c:pt idx="35">
                  <c:v>29.411764705882355</c:v>
                </c:pt>
                <c:pt idx="36">
                  <c:v>28.947368421052623</c:v>
                </c:pt>
                <c:pt idx="37">
                  <c:v>29.411764705882355</c:v>
                </c:pt>
                <c:pt idx="38">
                  <c:v>32.142857142857146</c:v>
                </c:pt>
                <c:pt idx="39">
                  <c:v>34.722222222222221</c:v>
                </c:pt>
                <c:pt idx="40">
                  <c:v>30.882352941176467</c:v>
                </c:pt>
                <c:pt idx="41">
                  <c:v>27.777777777777779</c:v>
                </c:pt>
                <c:pt idx="42">
                  <c:v>32.000000000000007</c:v>
                </c:pt>
                <c:pt idx="43">
                  <c:v>43.181818181818187</c:v>
                </c:pt>
                <c:pt idx="44">
                  <c:v>39.506172839506164</c:v>
                </c:pt>
                <c:pt idx="45">
                  <c:v>38.749999999999993</c:v>
                </c:pt>
                <c:pt idx="46">
                  <c:v>35.135135135135144</c:v>
                </c:pt>
                <c:pt idx="47">
                  <c:v>37.142857142857139</c:v>
                </c:pt>
                <c:pt idx="48">
                  <c:v>37.179487179487175</c:v>
                </c:pt>
                <c:pt idx="49">
                  <c:v>34.61538461538462</c:v>
                </c:pt>
                <c:pt idx="50">
                  <c:v>34.61538461538462</c:v>
                </c:pt>
                <c:pt idx="51">
                  <c:v>41.666666666666664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52</c:v>
                </c:pt>
                <c:pt idx="84">
                  <c:v>49.606299212598422</c:v>
                </c:pt>
                <c:pt idx="85">
                  <c:v>48.760330578512395</c:v>
                </c:pt>
                <c:pt idx="86">
                  <c:v>46.825396825396822</c:v>
                </c:pt>
                <c:pt idx="87">
                  <c:v>0</c:v>
                </c:pt>
                <c:pt idx="88">
                  <c:v>0</c:v>
                </c:pt>
                <c:pt idx="89">
                  <c:v>47.826086956521742</c:v>
                </c:pt>
                <c:pt idx="90">
                  <c:v>47.413793103448278</c:v>
                </c:pt>
                <c:pt idx="91">
                  <c:v>47.154471544715449</c:v>
                </c:pt>
                <c:pt idx="92">
                  <c:v>46.721311475409834</c:v>
                </c:pt>
                <c:pt idx="93">
                  <c:v>52.427184466019419</c:v>
                </c:pt>
                <c:pt idx="94">
                  <c:v>49.03846153846154</c:v>
                </c:pt>
                <c:pt idx="95">
                  <c:v>36.144578313253021</c:v>
                </c:pt>
                <c:pt idx="96">
                  <c:v>43.010752688172047</c:v>
                </c:pt>
                <c:pt idx="97">
                  <c:v>44.565217391304344</c:v>
                </c:pt>
                <c:pt idx="98">
                  <c:v>41.666666666666664</c:v>
                </c:pt>
                <c:pt idx="99">
                  <c:v>40</c:v>
                </c:pt>
                <c:pt idx="100">
                  <c:v>40.697674418604649</c:v>
                </c:pt>
                <c:pt idx="101">
                  <c:v>40.697674418604649</c:v>
                </c:pt>
                <c:pt idx="102">
                  <c:v>28.571428571428569</c:v>
                </c:pt>
                <c:pt idx="103">
                  <c:v>33.333333333333329</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1-77E4-44F1-915E-73710CB84977}"/>
            </c:ext>
          </c:extLst>
        </c:ser>
        <c:ser>
          <c:idx val="2"/>
          <c:order val="2"/>
          <c:tx>
            <c:strRef>
              <c:f>'WTP DOC Profile'!$L$3:$L$3</c:f>
              <c:strCache>
                <c:ptCount val="1"/>
                <c:pt idx="0">
                  <c:v>Channel</c:v>
                </c:pt>
              </c:strCache>
            </c:strRef>
          </c:tx>
          <c:spPr>
            <a:ln w="3175">
              <a:solidFill>
                <a:srgbClr val="00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Profile'!$L$4:$L$187</c:f>
              <c:numCache>
                <c:formatCode>0.0</c:formatCode>
                <c:ptCount val="184"/>
                <c:pt idx="0">
                  <c:v>33.333333333333343</c:v>
                </c:pt>
                <c:pt idx="1">
                  <c:v>37.837837837837846</c:v>
                </c:pt>
                <c:pt idx="2">
                  <c:v>40.277777777777779</c:v>
                </c:pt>
                <c:pt idx="3">
                  <c:v>46.153846153846153</c:v>
                </c:pt>
                <c:pt idx="4">
                  <c:v>44.73684210526315</c:v>
                </c:pt>
                <c:pt idx="5">
                  <c:v>46.25</c:v>
                </c:pt>
                <c:pt idx="6">
                  <c:v>48.837209302325576</c:v>
                </c:pt>
                <c:pt idx="7">
                  <c:v>45.238095238095241</c:v>
                </c:pt>
                <c:pt idx="8">
                  <c:v>50</c:v>
                </c:pt>
                <c:pt idx="9">
                  <c:v>51.086956521739125</c:v>
                </c:pt>
                <c:pt idx="10">
                  <c:v>51.086956521739125</c:v>
                </c:pt>
                <c:pt idx="11">
                  <c:v>51.020408163265309</c:v>
                </c:pt>
                <c:pt idx="12">
                  <c:v>50</c:v>
                </c:pt>
                <c:pt idx="13">
                  <c:v>50</c:v>
                </c:pt>
                <c:pt idx="14">
                  <c:v>45</c:v>
                </c:pt>
                <c:pt idx="15">
                  <c:v>38.888888888888893</c:v>
                </c:pt>
                <c:pt idx="16">
                  <c:v>48.113207547169814</c:v>
                </c:pt>
                <c:pt idx="17">
                  <c:v>38.636363636363633</c:v>
                </c:pt>
                <c:pt idx="18">
                  <c:v>36.250000000000007</c:v>
                </c:pt>
                <c:pt idx="19">
                  <c:v>37.179487179487175</c:v>
                </c:pt>
                <c:pt idx="20">
                  <c:v>36.58536585365853</c:v>
                </c:pt>
                <c:pt idx="21">
                  <c:v>35.526315789473678</c:v>
                </c:pt>
                <c:pt idx="22">
                  <c:v>37.179487179487175</c:v>
                </c:pt>
                <c:pt idx="23">
                  <c:v>35</c:v>
                </c:pt>
                <c:pt idx="24">
                  <c:v>33.333333333333329</c:v>
                </c:pt>
                <c:pt idx="25">
                  <c:v>30.666666666666664</c:v>
                </c:pt>
                <c:pt idx="26">
                  <c:v>32.499999999999993</c:v>
                </c:pt>
                <c:pt idx="27">
                  <c:v>35.714285714285715</c:v>
                </c:pt>
                <c:pt idx="28">
                  <c:v>34.146341463414629</c:v>
                </c:pt>
                <c:pt idx="29">
                  <c:v>23.943661971830977</c:v>
                </c:pt>
                <c:pt idx="30">
                  <c:v>34.482758620689644</c:v>
                </c:pt>
                <c:pt idx="31">
                  <c:v>32.558139534883715</c:v>
                </c:pt>
                <c:pt idx="32">
                  <c:v>28.749999999999996</c:v>
                </c:pt>
                <c:pt idx="33">
                  <c:v>33.333333333333329</c:v>
                </c:pt>
                <c:pt idx="34">
                  <c:v>29.629629629629623</c:v>
                </c:pt>
                <c:pt idx="35">
                  <c:v>35.294117647058826</c:v>
                </c:pt>
                <c:pt idx="36">
                  <c:v>31.578947368421044</c:v>
                </c:pt>
                <c:pt idx="37">
                  <c:v>29.411764705882355</c:v>
                </c:pt>
                <c:pt idx="38">
                  <c:v>32.142857142857146</c:v>
                </c:pt>
                <c:pt idx="39">
                  <c:v>33.333333333333336</c:v>
                </c:pt>
                <c:pt idx="40">
                  <c:v>29.411764705882355</c:v>
                </c:pt>
                <c:pt idx="41">
                  <c:v>30.555555555555557</c:v>
                </c:pt>
                <c:pt idx="42">
                  <c:v>34.666666666666664</c:v>
                </c:pt>
                <c:pt idx="43">
                  <c:v>45.45454545454546</c:v>
                </c:pt>
                <c:pt idx="44">
                  <c:v>40.74074074074074</c:v>
                </c:pt>
                <c:pt idx="45">
                  <c:v>36.250000000000007</c:v>
                </c:pt>
                <c:pt idx="46">
                  <c:v>37.837837837837846</c:v>
                </c:pt>
                <c:pt idx="47">
                  <c:v>38.571428571428577</c:v>
                </c:pt>
                <c:pt idx="48">
                  <c:v>38.461538461538467</c:v>
                </c:pt>
                <c:pt idx="49">
                  <c:v>35.897435897435898</c:v>
                </c:pt>
                <c:pt idx="50">
                  <c:v>34.61538461538462</c:v>
                </c:pt>
                <c:pt idx="51">
                  <c:v>40.476190476190474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48</c:v>
                </c:pt>
                <c:pt idx="84">
                  <c:v>48.818897637795274</c:v>
                </c:pt>
                <c:pt idx="85">
                  <c:v>47.107438016528917</c:v>
                </c:pt>
                <c:pt idx="86">
                  <c:v>47.61904761904762</c:v>
                </c:pt>
                <c:pt idx="87">
                  <c:v>0</c:v>
                </c:pt>
                <c:pt idx="88">
                  <c:v>50</c:v>
                </c:pt>
                <c:pt idx="89">
                  <c:v>0</c:v>
                </c:pt>
                <c:pt idx="90">
                  <c:v>46.551724137931032</c:v>
                </c:pt>
                <c:pt idx="91">
                  <c:v>47.154471544715449</c:v>
                </c:pt>
                <c:pt idx="92">
                  <c:v>48.360655737704917</c:v>
                </c:pt>
                <c:pt idx="93">
                  <c:v>52.427184466019419</c:v>
                </c:pt>
                <c:pt idx="94">
                  <c:v>51.923076923076927</c:v>
                </c:pt>
                <c:pt idx="95">
                  <c:v>39.759036144578317</c:v>
                </c:pt>
                <c:pt idx="96">
                  <c:v>45.161290322580655</c:v>
                </c:pt>
                <c:pt idx="97">
                  <c:v>46.739130434782602</c:v>
                </c:pt>
                <c:pt idx="98">
                  <c:v>36.904761904761905</c:v>
                </c:pt>
                <c:pt idx="99">
                  <c:v>40</c:v>
                </c:pt>
                <c:pt idx="100">
                  <c:v>41.860465116279066</c:v>
                </c:pt>
                <c:pt idx="101">
                  <c:v>41.860465116279066</c:v>
                </c:pt>
                <c:pt idx="102">
                  <c:v>34.285714285714292</c:v>
                </c:pt>
                <c:pt idx="103">
                  <c:v>34.848484848484844</c:v>
                </c:pt>
                <c:pt idx="104">
                  <c:v>44.827586206896548</c:v>
                </c:pt>
                <c:pt idx="105">
                  <c:v>36.36363636363636</c:v>
                </c:pt>
                <c:pt idx="106">
                  <c:v>46.428571428571431</c:v>
                </c:pt>
                <c:pt idx="107">
                  <c:v>45.45454545454546</c:v>
                </c:pt>
                <c:pt idx="108">
                  <c:v>50.980392156862742</c:v>
                </c:pt>
                <c:pt idx="109">
                  <c:v>44.047619047619044</c:v>
                </c:pt>
                <c:pt idx="110">
                  <c:v>42.528735632183903</c:v>
                </c:pt>
                <c:pt idx="111">
                  <c:v>46.590909090909093</c:v>
                </c:pt>
                <c:pt idx="112">
                  <c:v>39.285714285714292</c:v>
                </c:pt>
                <c:pt idx="113">
                  <c:v>44.186046511627907</c:v>
                </c:pt>
                <c:pt idx="114">
                  <c:v>48.888888888888893</c:v>
                </c:pt>
                <c:pt idx="115">
                  <c:v>48.314606741573044</c:v>
                </c:pt>
                <c:pt idx="116">
                  <c:v>47.619047619047613</c:v>
                </c:pt>
                <c:pt idx="117">
                  <c:v>44.999999999999993</c:v>
                </c:pt>
                <c:pt idx="118">
                  <c:v>41.428571428571431</c:v>
                </c:pt>
                <c:pt idx="119">
                  <c:v>44.999999999999993</c:v>
                </c:pt>
                <c:pt idx="120">
                  <c:v>41.860465116279066</c:v>
                </c:pt>
                <c:pt idx="121">
                  <c:v>41.463414634146339</c:v>
                </c:pt>
                <c:pt idx="122">
                  <c:v>40.74074074074074</c:v>
                </c:pt>
                <c:pt idx="123">
                  <c:v>42.307692307692307</c:v>
                </c:pt>
                <c:pt idx="124">
                  <c:v>40.789473684210527</c:v>
                </c:pt>
                <c:pt idx="125">
                  <c:v>39.473684210526315</c:v>
                </c:pt>
                <c:pt idx="126">
                  <c:v>42.500000000000007</c:v>
                </c:pt>
                <c:pt idx="127">
                  <c:v>38.749999999999993</c:v>
                </c:pt>
                <c:pt idx="128">
                  <c:v>39.473684210526315</c:v>
                </c:pt>
                <c:pt idx="129">
                  <c:v>0</c:v>
                </c:pt>
                <c:pt idx="130">
                  <c:v>36.470588235294116</c:v>
                </c:pt>
                <c:pt idx="131">
                  <c:v>35.365853658536587</c:v>
                </c:pt>
                <c:pt idx="132">
                  <c:v>37.078651685393268</c:v>
                </c:pt>
                <c:pt idx="133">
                  <c:v>31.707317073170731</c:v>
                </c:pt>
                <c:pt idx="134">
                  <c:v>33.734939759036145</c:v>
                </c:pt>
                <c:pt idx="135">
                  <c:v>31.645569620253163</c:v>
                </c:pt>
                <c:pt idx="136">
                  <c:v>34.146341463414629</c:v>
                </c:pt>
                <c:pt idx="137">
                  <c:v>29.487179487179489</c:v>
                </c:pt>
                <c:pt idx="138">
                  <c:v>32.499999999999993</c:v>
                </c:pt>
                <c:pt idx="139">
                  <c:v>32.098765432098766</c:v>
                </c:pt>
                <c:pt idx="140">
                  <c:v>29.629629629629623</c:v>
                </c:pt>
                <c:pt idx="141">
                  <c:v>34.146341463414629</c:v>
                </c:pt>
                <c:pt idx="142">
                  <c:v>29.333333333333332</c:v>
                </c:pt>
                <c:pt idx="143">
                  <c:v>26.760563380281681</c:v>
                </c:pt>
                <c:pt idx="144">
                  <c:v>31.168831168831172</c:v>
                </c:pt>
                <c:pt idx="145">
                  <c:v>36.84210526315789</c:v>
                </c:pt>
                <c:pt idx="146">
                  <c:v>34.210526315789465</c:v>
                </c:pt>
                <c:pt idx="147">
                  <c:v>35</c:v>
                </c:pt>
                <c:pt idx="148">
                  <c:v>50</c:v>
                </c:pt>
                <c:pt idx="149">
                  <c:v>38.571428571428577</c:v>
                </c:pt>
                <c:pt idx="150">
                  <c:v>39.705882352941181</c:v>
                </c:pt>
                <c:pt idx="151">
                  <c:v>33.846153846153847</c:v>
                </c:pt>
                <c:pt idx="152">
                  <c:v>30.882352941176467</c:v>
                </c:pt>
                <c:pt idx="153">
                  <c:v>41.558441558441558</c:v>
                </c:pt>
                <c:pt idx="154">
                  <c:v>40.259740259740269</c:v>
                </c:pt>
                <c:pt idx="155">
                  <c:v>35.211267605633807</c:v>
                </c:pt>
                <c:pt idx="156">
                  <c:v>42.682926829268283</c:v>
                </c:pt>
                <c:pt idx="157">
                  <c:v>37.662337662337663</c:v>
                </c:pt>
                <c:pt idx="158">
                  <c:v>38.157894736842103</c:v>
                </c:pt>
                <c:pt idx="159">
                  <c:v>39.189189189189193</c:v>
                </c:pt>
                <c:pt idx="160">
                  <c:v>35.526315789473678</c:v>
                </c:pt>
                <c:pt idx="161">
                  <c:v>42.105263157894726</c:v>
                </c:pt>
                <c:pt idx="162">
                  <c:v>39.189189189189193</c:v>
                </c:pt>
                <c:pt idx="163">
                  <c:v>41.428571428571431</c:v>
                </c:pt>
                <c:pt idx="164">
                  <c:v>43.421052631578952</c:v>
                </c:pt>
                <c:pt idx="165">
                  <c:v>41.891891891891895</c:v>
                </c:pt>
                <c:pt idx="166">
                  <c:v>44.44444444444445</c:v>
                </c:pt>
                <c:pt idx="167">
                  <c:v>43.589743589743584</c:v>
                </c:pt>
                <c:pt idx="168">
                  <c:v>35.714285714285715</c:v>
                </c:pt>
                <c:pt idx="169">
                  <c:v>38.749999999999993</c:v>
                </c:pt>
                <c:pt idx="170">
                  <c:v>36.84210526315789</c:v>
                </c:pt>
                <c:pt idx="171">
                  <c:v>35.526315789473678</c:v>
                </c:pt>
                <c:pt idx="172">
                  <c:v>44.73684210526315</c:v>
                </c:pt>
                <c:pt idx="173">
                  <c:v>38.571428571428577</c:v>
                </c:pt>
                <c:pt idx="174">
                  <c:v>39.705882352941181</c:v>
                </c:pt>
                <c:pt idx="175">
                  <c:v>38.235294117647058</c:v>
                </c:pt>
                <c:pt idx="176">
                  <c:v>33.333333333333329</c:v>
                </c:pt>
                <c:pt idx="177">
                  <c:v>35.820895522388064</c:v>
                </c:pt>
                <c:pt idx="178">
                  <c:v>33.333333333333329</c:v>
                </c:pt>
                <c:pt idx="179">
                  <c:v>36.507936507936506</c:v>
                </c:pt>
                <c:pt idx="180">
                  <c:v>33.333333333333329</c:v>
                </c:pt>
                <c:pt idx="181">
                  <c:v>29.687500000000007</c:v>
                </c:pt>
                <c:pt idx="182">
                  <c:v>28.787878787878778</c:v>
                </c:pt>
              </c:numCache>
            </c:numRef>
          </c:yVal>
          <c:smooth val="0"/>
          <c:extLst>
            <c:ext xmlns:c16="http://schemas.microsoft.com/office/drawing/2014/chart" uri="{C3380CC4-5D6E-409C-BE32-E72D297353CC}">
              <c16:uniqueId val="{00000002-77E4-44F1-915E-73710CB84977}"/>
            </c:ext>
          </c:extLst>
        </c:ser>
        <c:ser>
          <c:idx val="3"/>
          <c:order val="3"/>
          <c:tx>
            <c:strRef>
              <c:f>'WTP DOC Profile'!$M$3:$M$3</c:f>
              <c:strCache>
                <c:ptCount val="1"/>
                <c:pt idx="0">
                  <c:v>PreGAC/CW</c:v>
                </c:pt>
              </c:strCache>
            </c:strRef>
          </c:tx>
          <c:spPr>
            <a:ln w="3175">
              <a:solidFill>
                <a:srgbClr val="FF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Profile'!$M$4:$M$187</c:f>
              <c:numCache>
                <c:formatCode>0.0</c:formatCode>
                <c:ptCount val="184"/>
                <c:pt idx="0">
                  <c:v>0</c:v>
                </c:pt>
                <c:pt idx="1">
                  <c:v>0</c:v>
                </c:pt>
                <c:pt idx="2">
                  <c:v>43.055555555555564</c:v>
                </c:pt>
                <c:pt idx="3">
                  <c:v>47.435897435897438</c:v>
                </c:pt>
                <c:pt idx="4">
                  <c:v>47.368421052631575</c:v>
                </c:pt>
                <c:pt idx="5">
                  <c:v>46.25</c:v>
                </c:pt>
                <c:pt idx="6">
                  <c:v>47.674418604651159</c:v>
                </c:pt>
                <c:pt idx="7">
                  <c:v>44.047619047619044</c:v>
                </c:pt>
                <c:pt idx="8">
                  <c:v>50</c:v>
                </c:pt>
                <c:pt idx="9">
                  <c:v>53.260869565217398</c:v>
                </c:pt>
                <c:pt idx="10">
                  <c:v>52.173913043478251</c:v>
                </c:pt>
                <c:pt idx="11">
                  <c:v>51.020408163265309</c:v>
                </c:pt>
                <c:pt idx="12">
                  <c:v>52.884615384615387</c:v>
                </c:pt>
                <c:pt idx="13">
                  <c:v>47.87234042553191</c:v>
                </c:pt>
                <c:pt idx="14">
                  <c:v>46</c:v>
                </c:pt>
                <c:pt idx="15">
                  <c:v>36.666666666666664</c:v>
                </c:pt>
                <c:pt idx="16">
                  <c:v>48.113207547169814</c:v>
                </c:pt>
                <c:pt idx="17">
                  <c:v>38.636363636363633</c:v>
                </c:pt>
                <c:pt idx="18">
                  <c:v>35</c:v>
                </c:pt>
                <c:pt idx="19">
                  <c:v>38.461538461538467</c:v>
                </c:pt>
                <c:pt idx="20">
                  <c:v>35.365853658536587</c:v>
                </c:pt>
                <c:pt idx="21">
                  <c:v>39.473684210526315</c:v>
                </c:pt>
                <c:pt idx="22">
                  <c:v>38.461538461538467</c:v>
                </c:pt>
                <c:pt idx="23">
                  <c:v>33.75</c:v>
                </c:pt>
                <c:pt idx="24">
                  <c:v>34.61538461538462</c:v>
                </c:pt>
                <c:pt idx="25">
                  <c:v>32.000000000000007</c:v>
                </c:pt>
                <c:pt idx="26">
                  <c:v>33.75</c:v>
                </c:pt>
                <c:pt idx="27">
                  <c:v>35.714285714285715</c:v>
                </c:pt>
                <c:pt idx="28">
                  <c:v>32.926829268292678</c:v>
                </c:pt>
                <c:pt idx="29">
                  <c:v>23.943661971830977</c:v>
                </c:pt>
                <c:pt idx="30">
                  <c:v>34.482758620689644</c:v>
                </c:pt>
                <c:pt idx="31">
                  <c:v>33.720930232558132</c:v>
                </c:pt>
                <c:pt idx="32">
                  <c:v>28.749999999999996</c:v>
                </c:pt>
                <c:pt idx="33">
                  <c:v>32.183908045976999</c:v>
                </c:pt>
                <c:pt idx="34">
                  <c:v>30.864197530864203</c:v>
                </c:pt>
                <c:pt idx="35">
                  <c:v>32.941176470588232</c:v>
                </c:pt>
                <c:pt idx="36">
                  <c:v>31.578947368421044</c:v>
                </c:pt>
                <c:pt idx="37">
                  <c:v>31.764705882352946</c:v>
                </c:pt>
                <c:pt idx="38">
                  <c:v>30.95238095238096</c:v>
                </c:pt>
                <c:pt idx="39">
                  <c:v>33.333333333333336</c:v>
                </c:pt>
                <c:pt idx="40">
                  <c:v>29.411764705882355</c:v>
                </c:pt>
                <c:pt idx="41">
                  <c:v>30.555555555555557</c:v>
                </c:pt>
                <c:pt idx="42">
                  <c:v>32.000000000000007</c:v>
                </c:pt>
                <c:pt idx="43">
                  <c:v>45.45454545454546</c:v>
                </c:pt>
                <c:pt idx="44">
                  <c:v>40.74074074074074</c:v>
                </c:pt>
                <c:pt idx="45">
                  <c:v>40</c:v>
                </c:pt>
                <c:pt idx="46">
                  <c:v>36.486486486486484</c:v>
                </c:pt>
                <c:pt idx="47">
                  <c:v>41.428571428571431</c:v>
                </c:pt>
                <c:pt idx="48">
                  <c:v>37.179487179487175</c:v>
                </c:pt>
                <c:pt idx="49">
                  <c:v>37.179487179487175</c:v>
                </c:pt>
                <c:pt idx="50">
                  <c:v>38.461538461538467</c:v>
                </c:pt>
                <c:pt idx="51">
                  <c:v>40.476190476190474</c:v>
                </c:pt>
                <c:pt idx="52">
                  <c:v>44.444444444444443</c:v>
                </c:pt>
                <c:pt idx="53">
                  <c:v>45.55555555555555</c:v>
                </c:pt>
                <c:pt idx="54">
                  <c:v>43.181818181818187</c:v>
                </c:pt>
                <c:pt idx="55">
                  <c:v>40</c:v>
                </c:pt>
                <c:pt idx="56">
                  <c:v>51.785714285714278</c:v>
                </c:pt>
                <c:pt idx="57">
                  <c:v>60.666666666666671</c:v>
                </c:pt>
                <c:pt idx="58">
                  <c:v>54.999999999999993</c:v>
                </c:pt>
                <c:pt idx="59">
                  <c:v>54.6875</c:v>
                </c:pt>
                <c:pt idx="60">
                  <c:v>56.153846153846153</c:v>
                </c:pt>
                <c:pt idx="61">
                  <c:v>54.999999999999993</c:v>
                </c:pt>
                <c:pt idx="62">
                  <c:v>52.586206896551722</c:v>
                </c:pt>
                <c:pt idx="63">
                  <c:v>46.296296296296305</c:v>
                </c:pt>
                <c:pt idx="64">
                  <c:v>52.678571428571431</c:v>
                </c:pt>
                <c:pt idx="65">
                  <c:v>53.225806451612911</c:v>
                </c:pt>
                <c:pt idx="66">
                  <c:v>57.692307692307686</c:v>
                </c:pt>
                <c:pt idx="67">
                  <c:v>57.03125</c:v>
                </c:pt>
                <c:pt idx="68">
                  <c:v>51.612903225806448</c:v>
                </c:pt>
                <c:pt idx="69">
                  <c:v>50</c:v>
                </c:pt>
                <c:pt idx="70">
                  <c:v>49.107142857142854</c:v>
                </c:pt>
                <c:pt idx="71">
                  <c:v>47.321428571428562</c:v>
                </c:pt>
                <c:pt idx="72">
                  <c:v>55.555555555555557</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39.534883720930232</c:v>
                </c:pt>
                <c:pt idx="101">
                  <c:v>39.534883720930232</c:v>
                </c:pt>
                <c:pt idx="102">
                  <c:v>32.857142857142854</c:v>
                </c:pt>
                <c:pt idx="103">
                  <c:v>31.818181818181813</c:v>
                </c:pt>
                <c:pt idx="104">
                  <c:v>47.126436781609193</c:v>
                </c:pt>
                <c:pt idx="105">
                  <c:v>41.558441558441558</c:v>
                </c:pt>
                <c:pt idx="106">
                  <c:v>47.619047619047613</c:v>
                </c:pt>
                <c:pt idx="107">
                  <c:v>48.863636363636367</c:v>
                </c:pt>
                <c:pt idx="108">
                  <c:v>49.019607843137244</c:v>
                </c:pt>
                <c:pt idx="109">
                  <c:v>44.047619047619044</c:v>
                </c:pt>
                <c:pt idx="110">
                  <c:v>41.379310344827587</c:v>
                </c:pt>
                <c:pt idx="111">
                  <c:v>46.590909090909093</c:v>
                </c:pt>
                <c:pt idx="112">
                  <c:v>36.904761904761905</c:v>
                </c:pt>
                <c:pt idx="113">
                  <c:v>45.348837209302324</c:v>
                </c:pt>
                <c:pt idx="114">
                  <c:v>48.888888888888893</c:v>
                </c:pt>
                <c:pt idx="115">
                  <c:v>49.438202247191015</c:v>
                </c:pt>
                <c:pt idx="116">
                  <c:v>45.238095238095241</c:v>
                </c:pt>
                <c:pt idx="117">
                  <c:v>46.25</c:v>
                </c:pt>
                <c:pt idx="118">
                  <c:v>40</c:v>
                </c:pt>
                <c:pt idx="119">
                  <c:v>48.750000000000007</c:v>
                </c:pt>
                <c:pt idx="120">
                  <c:v>44.186046511627907</c:v>
                </c:pt>
                <c:pt idx="121">
                  <c:v>43.902439024390247</c:v>
                </c:pt>
                <c:pt idx="122">
                  <c:v>41.975308641975303</c:v>
                </c:pt>
                <c:pt idx="123">
                  <c:v>43.589743589743584</c:v>
                </c:pt>
                <c:pt idx="124">
                  <c:v>42.105263157894726</c:v>
                </c:pt>
                <c:pt idx="125">
                  <c:v>40.789473684210527</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44.155844155844157</c:v>
                </c:pt>
                <c:pt idx="154">
                  <c:v>38.961038961038966</c:v>
                </c:pt>
                <c:pt idx="155">
                  <c:v>36.619718309859152</c:v>
                </c:pt>
                <c:pt idx="156">
                  <c:v>42.682926829268283</c:v>
                </c:pt>
                <c:pt idx="157">
                  <c:v>37.662337662337663</c:v>
                </c:pt>
                <c:pt idx="158">
                  <c:v>39.473684210526315</c:v>
                </c:pt>
                <c:pt idx="159">
                  <c:v>40.54054054054054</c:v>
                </c:pt>
                <c:pt idx="160">
                  <c:v>36.84210526315789</c:v>
                </c:pt>
                <c:pt idx="161">
                  <c:v>43.421052631578952</c:v>
                </c:pt>
                <c:pt idx="162">
                  <c:v>37.837837837837846</c:v>
                </c:pt>
                <c:pt idx="163">
                  <c:v>42.857142857142854</c:v>
                </c:pt>
                <c:pt idx="164">
                  <c:v>42.105263157894726</c:v>
                </c:pt>
                <c:pt idx="165">
                  <c:v>41.891891891891895</c:v>
                </c:pt>
                <c:pt idx="166">
                  <c:v>44.44444444444445</c:v>
                </c:pt>
                <c:pt idx="167">
                  <c:v>44.871794871794876</c:v>
                </c:pt>
                <c:pt idx="168">
                  <c:v>40.476190476190474</c:v>
                </c:pt>
                <c:pt idx="169">
                  <c:v>38.749999999999993</c:v>
                </c:pt>
                <c:pt idx="170">
                  <c:v>36.84210526315789</c:v>
                </c:pt>
                <c:pt idx="171">
                  <c:v>36.84210526315789</c:v>
                </c:pt>
                <c:pt idx="172">
                  <c:v>46.05263157894737</c:v>
                </c:pt>
                <c:pt idx="173">
                  <c:v>38.571428571428577</c:v>
                </c:pt>
                <c:pt idx="174">
                  <c:v>41.17647058823529</c:v>
                </c:pt>
                <c:pt idx="175">
                  <c:v>38.235294117647058</c:v>
                </c:pt>
                <c:pt idx="176">
                  <c:v>35</c:v>
                </c:pt>
                <c:pt idx="177">
                  <c:v>37.31343283582089</c:v>
                </c:pt>
                <c:pt idx="178">
                  <c:v>0</c:v>
                </c:pt>
                <c:pt idx="179">
                  <c:v>0</c:v>
                </c:pt>
                <c:pt idx="180">
                  <c:v>0</c:v>
                </c:pt>
                <c:pt idx="181">
                  <c:v>0</c:v>
                </c:pt>
                <c:pt idx="182">
                  <c:v>0</c:v>
                </c:pt>
              </c:numCache>
            </c:numRef>
          </c:yVal>
          <c:smooth val="0"/>
          <c:extLst>
            <c:ext xmlns:c16="http://schemas.microsoft.com/office/drawing/2014/chart" uri="{C3380CC4-5D6E-409C-BE32-E72D297353CC}">
              <c16:uniqueId val="{00000003-77E4-44F1-915E-73710CB84977}"/>
            </c:ext>
          </c:extLst>
        </c:ser>
        <c:ser>
          <c:idx val="4"/>
          <c:order val="4"/>
          <c:tx>
            <c:strRef>
              <c:f>'WTP DOC Profile'!$N$3:$N$3</c:f>
              <c:strCache>
                <c:ptCount val="1"/>
                <c:pt idx="0">
                  <c:v>CW</c:v>
                </c:pt>
              </c:strCache>
            </c:strRef>
          </c:tx>
          <c:spPr>
            <a:ln w="3175">
              <a:solidFill>
                <a:srgbClr val="FF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Profile'!$N$4:$N$187</c:f>
              <c:numCache>
                <c:formatCode>0.0</c:formatCode>
                <c:ptCount val="184"/>
                <c:pt idx="0">
                  <c:v>41.666666666666664</c:v>
                </c:pt>
                <c:pt idx="1">
                  <c:v>37.837837837837846</c:v>
                </c:pt>
                <c:pt idx="2">
                  <c:v>80.555555555555557</c:v>
                </c:pt>
                <c:pt idx="3">
                  <c:v>79.487179487179489</c:v>
                </c:pt>
                <c:pt idx="4">
                  <c:v>76.31578947368422</c:v>
                </c:pt>
                <c:pt idx="5">
                  <c:v>68.75</c:v>
                </c:pt>
                <c:pt idx="6">
                  <c:v>74.418604651162795</c:v>
                </c:pt>
                <c:pt idx="7">
                  <c:v>65.476190476190482</c:v>
                </c:pt>
                <c:pt idx="8">
                  <c:v>81.111111111111114</c:v>
                </c:pt>
                <c:pt idx="9">
                  <c:v>76.086956521739125</c:v>
                </c:pt>
                <c:pt idx="10">
                  <c:v>76.086956521739125</c:v>
                </c:pt>
                <c:pt idx="11">
                  <c:v>73.469387755102048</c:v>
                </c:pt>
                <c:pt idx="12">
                  <c:v>73.07692307692308</c:v>
                </c:pt>
                <c:pt idx="13">
                  <c:v>69.148936170212764</c:v>
                </c:pt>
                <c:pt idx="14">
                  <c:v>63</c:v>
                </c:pt>
                <c:pt idx="15">
                  <c:v>56.666666666666664</c:v>
                </c:pt>
                <c:pt idx="16">
                  <c:v>63.20754716981132</c:v>
                </c:pt>
                <c:pt idx="17">
                  <c:v>60.227272727272727</c:v>
                </c:pt>
                <c:pt idx="18">
                  <c:v>53.75</c:v>
                </c:pt>
                <c:pt idx="19">
                  <c:v>52.564102564102569</c:v>
                </c:pt>
                <c:pt idx="20">
                  <c:v>51.219512195121951</c:v>
                </c:pt>
                <c:pt idx="21">
                  <c:v>47.368421052631575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87.179487179487182</c:v>
                </c:pt>
                <c:pt idx="49">
                  <c:v>83.333333333333343</c:v>
                </c:pt>
                <c:pt idx="50">
                  <c:v>83.333333333333343</c:v>
                </c:pt>
                <c:pt idx="51">
                  <c:v>80.952380952380949</c:v>
                </c:pt>
                <c:pt idx="52">
                  <c:v>80</c:v>
                </c:pt>
                <c:pt idx="53">
                  <c:v>81.111111111111114</c:v>
                </c:pt>
                <c:pt idx="54">
                  <c:v>73.86363636363636</c:v>
                </c:pt>
                <c:pt idx="55">
                  <c:v>75.555555555555557</c:v>
                </c:pt>
                <c:pt idx="56">
                  <c:v>74.999999999999986</c:v>
                </c:pt>
                <c:pt idx="57">
                  <c:v>79.333333333333329</c:v>
                </c:pt>
                <c:pt idx="58">
                  <c:v>78.333333333333329</c:v>
                </c:pt>
                <c:pt idx="59">
                  <c:v>77.34375</c:v>
                </c:pt>
                <c:pt idx="60">
                  <c:v>80.769230769230774</c:v>
                </c:pt>
                <c:pt idx="61">
                  <c:v>79.166666666666657</c:v>
                </c:pt>
                <c:pt idx="62">
                  <c:v>75.862068965517253</c:v>
                </c:pt>
                <c:pt idx="63">
                  <c:v>70.370370370370367</c:v>
                </c:pt>
                <c:pt idx="64">
                  <c:v>73.214285714285708</c:v>
                </c:pt>
                <c:pt idx="65">
                  <c:v>68.548387096774192</c:v>
                </c:pt>
                <c:pt idx="66">
                  <c:v>70</c:v>
                </c:pt>
                <c:pt idx="67">
                  <c:v>68.75</c:v>
                </c:pt>
                <c:pt idx="68">
                  <c:v>66.129032258064512</c:v>
                </c:pt>
                <c:pt idx="69">
                  <c:v>63.793103448275858</c:v>
                </c:pt>
                <c:pt idx="70">
                  <c:v>60.714285714285708</c:v>
                </c:pt>
                <c:pt idx="71">
                  <c:v>61.607142857142861</c:v>
                </c:pt>
                <c:pt idx="72">
                  <c:v>66.666666666666657</c:v>
                </c:pt>
                <c:pt idx="73">
                  <c:v>52.419354838709673</c:v>
                </c:pt>
                <c:pt idx="74">
                  <c:v>53.448275862068961</c:v>
                </c:pt>
                <c:pt idx="75">
                  <c:v>50</c:v>
                </c:pt>
                <c:pt idx="76">
                  <c:v>47.747747747747752</c:v>
                </c:pt>
                <c:pt idx="77">
                  <c:v>57.352941176470587</c:v>
                </c:pt>
                <c:pt idx="78">
                  <c:v>47.058823529411768</c:v>
                </c:pt>
                <c:pt idx="79">
                  <c:v>52.380952380952387</c:v>
                </c:pt>
                <c:pt idx="80">
                  <c:v>47.540983606557369</c:v>
                </c:pt>
                <c:pt idx="81">
                  <c:v>50</c:v>
                </c:pt>
                <c:pt idx="82">
                  <c:v>51.260504201680682</c:v>
                </c:pt>
                <c:pt idx="83">
                  <c:v>52.800000000000004</c:v>
                </c:pt>
                <c:pt idx="84">
                  <c:v>51.968503937007867</c:v>
                </c:pt>
                <c:pt idx="85">
                  <c:v>47.107438016528917</c:v>
                </c:pt>
                <c:pt idx="86">
                  <c:v>50</c:v>
                </c:pt>
                <c:pt idx="87">
                  <c:v>48.305084745762713</c:v>
                </c:pt>
                <c:pt idx="88">
                  <c:v>51.612903225806448</c:v>
                </c:pt>
                <c:pt idx="89">
                  <c:v>47.826086956521742</c:v>
                </c:pt>
                <c:pt idx="90">
                  <c:v>49.137931034482754</c:v>
                </c:pt>
                <c:pt idx="91">
                  <c:v>47.154471544715449</c:v>
                </c:pt>
                <c:pt idx="92">
                  <c:v>48.360655737704917</c:v>
                </c:pt>
                <c:pt idx="93">
                  <c:v>53.398058252427191</c:v>
                </c:pt>
                <c:pt idx="94">
                  <c:v>50.961538461538467</c:v>
                </c:pt>
                <c:pt idx="95">
                  <c:v>38.55421686746989</c:v>
                </c:pt>
                <c:pt idx="96">
                  <c:v>43.010752688172047</c:v>
                </c:pt>
                <c:pt idx="97">
                  <c:v>43.478260869565212</c:v>
                </c:pt>
                <c:pt idx="98">
                  <c:v>39.285714285714292</c:v>
                </c:pt>
                <c:pt idx="99">
                  <c:v>40</c:v>
                </c:pt>
                <c:pt idx="100">
                  <c:v>84.88372093023257</c:v>
                </c:pt>
                <c:pt idx="101">
                  <c:v>84.88372093023257</c:v>
                </c:pt>
                <c:pt idx="102">
                  <c:v>85.714285714285708</c:v>
                </c:pt>
                <c:pt idx="103">
                  <c:v>84.848484848484844</c:v>
                </c:pt>
                <c:pt idx="104">
                  <c:v>88.505747126436788</c:v>
                </c:pt>
                <c:pt idx="105">
                  <c:v>84.415584415584405</c:v>
                </c:pt>
                <c:pt idx="106">
                  <c:v>86.904761904761912</c:v>
                </c:pt>
                <c:pt idx="107">
                  <c:v>82.954545454545453</c:v>
                </c:pt>
                <c:pt idx="108">
                  <c:v>73.52941176470587</c:v>
                </c:pt>
                <c:pt idx="109">
                  <c:v>73.80952380952381</c:v>
                </c:pt>
                <c:pt idx="110">
                  <c:v>67.81609195402298</c:v>
                </c:pt>
                <c:pt idx="111">
                  <c:v>71.590909090909093</c:v>
                </c:pt>
                <c:pt idx="112">
                  <c:v>65.476190476190482</c:v>
                </c:pt>
                <c:pt idx="113">
                  <c:v>77.906976744186039</c:v>
                </c:pt>
                <c:pt idx="114">
                  <c:v>73.333333333333329</c:v>
                </c:pt>
                <c:pt idx="115">
                  <c:v>69.662921348314612</c:v>
                </c:pt>
                <c:pt idx="116">
                  <c:v>66.666666666666671</c:v>
                </c:pt>
                <c:pt idx="117">
                  <c:v>63.749999999999993</c:v>
                </c:pt>
                <c:pt idx="118">
                  <c:v>64.285714285714292</c:v>
                </c:pt>
                <c:pt idx="119">
                  <c:v>63.749999999999993</c:v>
                </c:pt>
                <c:pt idx="120">
                  <c:v>58.139534883720934</c:v>
                </c:pt>
                <c:pt idx="121">
                  <c:v>56.09756097560976</c:v>
                </c:pt>
                <c:pt idx="122">
                  <c:v>55.555555555555557</c:v>
                </c:pt>
                <c:pt idx="123">
                  <c:v>53.846153846153847</c:v>
                </c:pt>
                <c:pt idx="124">
                  <c:v>52.631578947368418</c:v>
                </c:pt>
                <c:pt idx="125">
                  <c:v>48.684210526315788</c:v>
                </c:pt>
                <c:pt idx="126">
                  <c:v>42.500000000000007</c:v>
                </c:pt>
                <c:pt idx="127">
                  <c:v>40</c:v>
                </c:pt>
                <c:pt idx="128">
                  <c:v>38.157894736842103</c:v>
                </c:pt>
                <c:pt idx="129">
                  <c:v>36.708860759493675</c:v>
                </c:pt>
                <c:pt idx="130">
                  <c:v>38.823529411764703</c:v>
                </c:pt>
                <c:pt idx="131">
                  <c:v>35.365853658536587</c:v>
                </c:pt>
                <c:pt idx="132">
                  <c:v>38.202247191011239</c:v>
                </c:pt>
                <c:pt idx="133">
                  <c:v>34.146341463414629</c:v>
                </c:pt>
                <c:pt idx="134">
                  <c:v>34.939759036144579</c:v>
                </c:pt>
                <c:pt idx="135">
                  <c:v>32.911392405063296</c:v>
                </c:pt>
                <c:pt idx="136">
                  <c:v>34.146341463414629</c:v>
                </c:pt>
                <c:pt idx="137">
                  <c:v>28.205128205128212</c:v>
                </c:pt>
                <c:pt idx="138">
                  <c:v>31.25</c:v>
                </c:pt>
                <c:pt idx="139">
                  <c:v>32.098765432098766</c:v>
                </c:pt>
                <c:pt idx="140">
                  <c:v>30.864197530864203</c:v>
                </c:pt>
                <c:pt idx="141">
                  <c:v>34.146341463414629</c:v>
                </c:pt>
                <c:pt idx="142">
                  <c:v>27.999999999999996</c:v>
                </c:pt>
                <c:pt idx="143">
                  <c:v>26.760563380281681</c:v>
                </c:pt>
                <c:pt idx="144">
                  <c:v>31.168831168831172</c:v>
                </c:pt>
                <c:pt idx="145">
                  <c:v>42.105263157894726</c:v>
                </c:pt>
                <c:pt idx="146">
                  <c:v>35.526315789473678</c:v>
                </c:pt>
                <c:pt idx="147">
                  <c:v>35</c:v>
                </c:pt>
                <c:pt idx="148">
                  <c:v>50</c:v>
                </c:pt>
                <c:pt idx="149">
                  <c:v>41.428571428571431</c:v>
                </c:pt>
                <c:pt idx="150">
                  <c:v>36.764705882352942</c:v>
                </c:pt>
                <c:pt idx="151">
                  <c:v>36.923076923076934</c:v>
                </c:pt>
                <c:pt idx="152">
                  <c:v>33.823529411764703</c:v>
                </c:pt>
                <c:pt idx="153">
                  <c:v>85.714285714285708</c:v>
                </c:pt>
                <c:pt idx="154">
                  <c:v>88.311688311688314</c:v>
                </c:pt>
                <c:pt idx="155">
                  <c:v>85.91549295774648</c:v>
                </c:pt>
                <c:pt idx="156">
                  <c:v>85.365853658536579</c:v>
                </c:pt>
                <c:pt idx="157">
                  <c:v>81.818181818181827</c:v>
                </c:pt>
                <c:pt idx="158">
                  <c:v>78.94736842105263</c:v>
                </c:pt>
                <c:pt idx="159">
                  <c:v>78.378378378378386</c:v>
                </c:pt>
                <c:pt idx="160">
                  <c:v>72.368421052631575</c:v>
                </c:pt>
                <c:pt idx="161">
                  <c:v>73.68421052631578</c:v>
                </c:pt>
                <c:pt idx="162">
                  <c:v>67.567567567567565</c:v>
                </c:pt>
                <c:pt idx="163">
                  <c:v>68.571428571428569</c:v>
                </c:pt>
                <c:pt idx="164">
                  <c:v>68.421052631578931</c:v>
                </c:pt>
                <c:pt idx="165">
                  <c:v>67.567567567567565</c:v>
                </c:pt>
                <c:pt idx="166">
                  <c:v>65.277777777777786</c:v>
                </c:pt>
                <c:pt idx="167">
                  <c:v>66.666666666666657</c:v>
                </c:pt>
                <c:pt idx="168">
                  <c:v>63.095238095238102</c:v>
                </c:pt>
                <c:pt idx="169">
                  <c:v>60</c:v>
                </c:pt>
                <c:pt idx="170">
                  <c:v>57.894736842105253</c:v>
                </c:pt>
                <c:pt idx="171">
                  <c:v>57.894736842105253</c:v>
                </c:pt>
                <c:pt idx="172">
                  <c:v>63.157894736842103</c:v>
                </c:pt>
                <c:pt idx="173">
                  <c:v>61.428571428571423</c:v>
                </c:pt>
                <c:pt idx="174">
                  <c:v>57.352941176470587</c:v>
                </c:pt>
                <c:pt idx="175">
                  <c:v>52.941176470588239</c:v>
                </c:pt>
                <c:pt idx="176">
                  <c:v>46.666666666666664</c:v>
                </c:pt>
                <c:pt idx="177">
                  <c:v>46.268656716417908</c:v>
                </c:pt>
                <c:pt idx="178">
                  <c:v>33.333333333333329</c:v>
                </c:pt>
                <c:pt idx="179">
                  <c:v>34.920634920634924</c:v>
                </c:pt>
                <c:pt idx="180">
                  <c:v>34.848484848484844</c:v>
                </c:pt>
                <c:pt idx="181">
                  <c:v>31.25</c:v>
                </c:pt>
                <c:pt idx="182">
                  <c:v>30.303030303030305</c:v>
                </c:pt>
              </c:numCache>
            </c:numRef>
          </c:yVal>
          <c:smooth val="0"/>
          <c:extLst>
            <c:ext xmlns:c16="http://schemas.microsoft.com/office/drawing/2014/chart" uri="{C3380CC4-5D6E-409C-BE32-E72D297353CC}">
              <c16:uniqueId val="{00000004-77E4-44F1-915E-73710CB84977}"/>
            </c:ext>
          </c:extLst>
        </c:ser>
        <c:dLbls>
          <c:showLegendKey val="0"/>
          <c:showVal val="0"/>
          <c:showCatName val="0"/>
          <c:showSerName val="0"/>
          <c:showPercent val="0"/>
          <c:showBubbleSize val="0"/>
        </c:dLbls>
        <c:axId val="442866255"/>
        <c:axId val="1"/>
      </c:scatterChart>
      <c:scatterChart>
        <c:scatterStyle val="lineMarker"/>
        <c:varyColors val="0"/>
        <c:ser>
          <c:idx val="5"/>
          <c:order val="5"/>
          <c:tx>
            <c:strRef>
              <c:f>'WTP DOC Profile'!$C$3:$C$3</c:f>
              <c:strCache>
                <c:ptCount val="1"/>
                <c:pt idx="0">
                  <c:v>Alum Dose</c:v>
                </c:pt>
              </c:strCache>
            </c:strRef>
          </c:tx>
          <c:spPr>
            <a:ln w="25400">
              <a:solidFill>
                <a:srgbClr val="00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Profile'!$C$4:$C$187</c:f>
              <c:numCache>
                <c:formatCode>0</c:formatCode>
                <c:ptCount val="184"/>
                <c:pt idx="0">
                  <c:v>60</c:v>
                </c:pt>
                <c:pt idx="1">
                  <c:v>55</c:v>
                </c:pt>
                <c:pt idx="2">
                  <c:v>75</c:v>
                </c:pt>
                <c:pt idx="3">
                  <c:v>75</c:v>
                </c:pt>
                <c:pt idx="4">
                  <c:v>80</c:v>
                </c:pt>
                <c:pt idx="5">
                  <c:v>85</c:v>
                </c:pt>
                <c:pt idx="6">
                  <c:v>90</c:v>
                </c:pt>
                <c:pt idx="7">
                  <c:v>90</c:v>
                </c:pt>
                <c:pt idx="8">
                  <c:v>90</c:v>
                </c:pt>
                <c:pt idx="9">
                  <c:v>90</c:v>
                </c:pt>
                <c:pt idx="10">
                  <c:v>90</c:v>
                </c:pt>
                <c:pt idx="11">
                  <c:v>100</c:v>
                </c:pt>
                <c:pt idx="12">
                  <c:v>90</c:v>
                </c:pt>
                <c:pt idx="13">
                  <c:v>80</c:v>
                </c:pt>
                <c:pt idx="14">
                  <c:v>75</c:v>
                </c:pt>
                <c:pt idx="15">
                  <c:v>55</c:v>
                </c:pt>
                <c:pt idx="16">
                  <c:v>50</c:v>
                </c:pt>
                <c:pt idx="17">
                  <c:v>55</c:v>
                </c:pt>
                <c:pt idx="18">
                  <c:v>65</c:v>
                </c:pt>
                <c:pt idx="19">
                  <c:v>65</c:v>
                </c:pt>
                <c:pt idx="20">
                  <c:v>65</c:v>
                </c:pt>
                <c:pt idx="21">
                  <c:v>55</c:v>
                </c:pt>
                <c:pt idx="22">
                  <c:v>60</c:v>
                </c:pt>
                <c:pt idx="23">
                  <c:v>55</c:v>
                </c:pt>
                <c:pt idx="24">
                  <c:v>55</c:v>
                </c:pt>
                <c:pt idx="25">
                  <c:v>60</c:v>
                </c:pt>
                <c:pt idx="26">
                  <c:v>60</c:v>
                </c:pt>
                <c:pt idx="27">
                  <c:v>60</c:v>
                </c:pt>
                <c:pt idx="28">
                  <c:v>60</c:v>
                </c:pt>
                <c:pt idx="29">
                  <c:v>60</c:v>
                </c:pt>
                <c:pt idx="30">
                  <c:v>55</c:v>
                </c:pt>
                <c:pt idx="31">
                  <c:v>55</c:v>
                </c:pt>
                <c:pt idx="32">
                  <c:v>55</c:v>
                </c:pt>
                <c:pt idx="33">
                  <c:v>55</c:v>
                </c:pt>
                <c:pt idx="34">
                  <c:v>55</c:v>
                </c:pt>
                <c:pt idx="35">
                  <c:v>55</c:v>
                </c:pt>
                <c:pt idx="36">
                  <c:v>55</c:v>
                </c:pt>
                <c:pt idx="37">
                  <c:v>60</c:v>
                </c:pt>
                <c:pt idx="38">
                  <c:v>60</c:v>
                </c:pt>
                <c:pt idx="39">
                  <c:v>65</c:v>
                </c:pt>
                <c:pt idx="40">
                  <c:v>65</c:v>
                </c:pt>
                <c:pt idx="41">
                  <c:v>70</c:v>
                </c:pt>
                <c:pt idx="42">
                  <c:v>70</c:v>
                </c:pt>
                <c:pt idx="43">
                  <c:v>65</c:v>
                </c:pt>
                <c:pt idx="44">
                  <c:v>65</c:v>
                </c:pt>
                <c:pt idx="45">
                  <c:v>65</c:v>
                </c:pt>
                <c:pt idx="46">
                  <c:v>65</c:v>
                </c:pt>
                <c:pt idx="47">
                  <c:v>65</c:v>
                </c:pt>
                <c:pt idx="48">
                  <c:v>65</c:v>
                </c:pt>
                <c:pt idx="49">
                  <c:v>65</c:v>
                </c:pt>
                <c:pt idx="50">
                  <c:v>75</c:v>
                </c:pt>
                <c:pt idx="51">
                  <c:v>80</c:v>
                </c:pt>
                <c:pt idx="52">
                  <c:v>80</c:v>
                </c:pt>
                <c:pt idx="53">
                  <c:v>75</c:v>
                </c:pt>
                <c:pt idx="54">
                  <c:v>65</c:v>
                </c:pt>
                <c:pt idx="55">
                  <c:v>70</c:v>
                </c:pt>
                <c:pt idx="56">
                  <c:v>78</c:v>
                </c:pt>
                <c:pt idx="57">
                  <c:v>85</c:v>
                </c:pt>
                <c:pt idx="58">
                  <c:v>85</c:v>
                </c:pt>
                <c:pt idx="59">
                  <c:v>85</c:v>
                </c:pt>
                <c:pt idx="60">
                  <c:v>100</c:v>
                </c:pt>
                <c:pt idx="61">
                  <c:v>100</c:v>
                </c:pt>
                <c:pt idx="62">
                  <c:v>100</c:v>
                </c:pt>
                <c:pt idx="63">
                  <c:v>100</c:v>
                </c:pt>
                <c:pt idx="64">
                  <c:v>100</c:v>
                </c:pt>
                <c:pt idx="65">
                  <c:v>100</c:v>
                </c:pt>
                <c:pt idx="66">
                  <c:v>100</c:v>
                </c:pt>
                <c:pt idx="67">
                  <c:v>100</c:v>
                </c:pt>
                <c:pt idx="68">
                  <c:v>92</c:v>
                </c:pt>
                <c:pt idx="69">
                  <c:v>87</c:v>
                </c:pt>
                <c:pt idx="70">
                  <c:v>87</c:v>
                </c:pt>
                <c:pt idx="71">
                  <c:v>88</c:v>
                </c:pt>
                <c:pt idx="72">
                  <c:v>92</c:v>
                </c:pt>
                <c:pt idx="73">
                  <c:v>88</c:v>
                </c:pt>
                <c:pt idx="74">
                  <c:v>82</c:v>
                </c:pt>
                <c:pt idx="75">
                  <c:v>82</c:v>
                </c:pt>
                <c:pt idx="76">
                  <c:v>82</c:v>
                </c:pt>
                <c:pt idx="77">
                  <c:v>82</c:v>
                </c:pt>
                <c:pt idx="78">
                  <c:v>90</c:v>
                </c:pt>
                <c:pt idx="79">
                  <c:v>88</c:v>
                </c:pt>
                <c:pt idx="80">
                  <c:v>88</c:v>
                </c:pt>
                <c:pt idx="81">
                  <c:v>87</c:v>
                </c:pt>
                <c:pt idx="82">
                  <c:v>87</c:v>
                </c:pt>
                <c:pt idx="83">
                  <c:v>87</c:v>
                </c:pt>
                <c:pt idx="84">
                  <c:v>95</c:v>
                </c:pt>
                <c:pt idx="85">
                  <c:v>95</c:v>
                </c:pt>
                <c:pt idx="86">
                  <c:v>95</c:v>
                </c:pt>
                <c:pt idx="87">
                  <c:v>95</c:v>
                </c:pt>
                <c:pt idx="88">
                  <c:v>95</c:v>
                </c:pt>
                <c:pt idx="89">
                  <c:v>95</c:v>
                </c:pt>
                <c:pt idx="90">
                  <c:v>95</c:v>
                </c:pt>
                <c:pt idx="91">
                  <c:v>95</c:v>
                </c:pt>
                <c:pt idx="92">
                  <c:v>95</c:v>
                </c:pt>
                <c:pt idx="93">
                  <c:v>95</c:v>
                </c:pt>
                <c:pt idx="94">
                  <c:v>92</c:v>
                </c:pt>
                <c:pt idx="95">
                  <c:v>82</c:v>
                </c:pt>
                <c:pt idx="96">
                  <c:v>82</c:v>
                </c:pt>
                <c:pt idx="97">
                  <c:v>86</c:v>
                </c:pt>
                <c:pt idx="98">
                  <c:v>86</c:v>
                </c:pt>
                <c:pt idx="99">
                  <c:v>86</c:v>
                </c:pt>
                <c:pt idx="100">
                  <c:v>74</c:v>
                </c:pt>
                <c:pt idx="101">
                  <c:v>74</c:v>
                </c:pt>
                <c:pt idx="102">
                  <c:v>72</c:v>
                </c:pt>
                <c:pt idx="103">
                  <c:v>70</c:v>
                </c:pt>
                <c:pt idx="104">
                  <c:v>65</c:v>
                </c:pt>
                <c:pt idx="105">
                  <c:v>80</c:v>
                </c:pt>
                <c:pt idx="106">
                  <c:v>85</c:v>
                </c:pt>
                <c:pt idx="107">
                  <c:v>85</c:v>
                </c:pt>
                <c:pt idx="108">
                  <c:v>85</c:v>
                </c:pt>
                <c:pt idx="109">
                  <c:v>80</c:v>
                </c:pt>
                <c:pt idx="110">
                  <c:v>75</c:v>
                </c:pt>
                <c:pt idx="111">
                  <c:v>75</c:v>
                </c:pt>
                <c:pt idx="112">
                  <c:v>75</c:v>
                </c:pt>
                <c:pt idx="113">
                  <c:v>75</c:v>
                </c:pt>
                <c:pt idx="114">
                  <c:v>85</c:v>
                </c:pt>
                <c:pt idx="115">
                  <c:v>85</c:v>
                </c:pt>
                <c:pt idx="116">
                  <c:v>85</c:v>
                </c:pt>
                <c:pt idx="117">
                  <c:v>85</c:v>
                </c:pt>
                <c:pt idx="118">
                  <c:v>90</c:v>
                </c:pt>
                <c:pt idx="119">
                  <c:v>80</c:v>
                </c:pt>
                <c:pt idx="120">
                  <c:v>65</c:v>
                </c:pt>
                <c:pt idx="121">
                  <c:v>65</c:v>
                </c:pt>
                <c:pt idx="122">
                  <c:v>65</c:v>
                </c:pt>
                <c:pt idx="123">
                  <c:v>60</c:v>
                </c:pt>
                <c:pt idx="124">
                  <c:v>55</c:v>
                </c:pt>
                <c:pt idx="125">
                  <c:v>60</c:v>
                </c:pt>
                <c:pt idx="126">
                  <c:v>60</c:v>
                </c:pt>
                <c:pt idx="127">
                  <c:v>57.5</c:v>
                </c:pt>
                <c:pt idx="128">
                  <c:v>60</c:v>
                </c:pt>
                <c:pt idx="129">
                  <c:v>55</c:v>
                </c:pt>
                <c:pt idx="130">
                  <c:v>60</c:v>
                </c:pt>
                <c:pt idx="131">
                  <c:v>60</c:v>
                </c:pt>
                <c:pt idx="132">
                  <c:v>60</c:v>
                </c:pt>
                <c:pt idx="133">
                  <c:v>60</c:v>
                </c:pt>
                <c:pt idx="134">
                  <c:v>60</c:v>
                </c:pt>
                <c:pt idx="135">
                  <c:v>60</c:v>
                </c:pt>
                <c:pt idx="136">
                  <c:v>60</c:v>
                </c:pt>
                <c:pt idx="137">
                  <c:v>60</c:v>
                </c:pt>
                <c:pt idx="138">
                  <c:v>60</c:v>
                </c:pt>
                <c:pt idx="139">
                  <c:v>60</c:v>
                </c:pt>
                <c:pt idx="140">
                  <c:v>65</c:v>
                </c:pt>
                <c:pt idx="141">
                  <c:v>65</c:v>
                </c:pt>
                <c:pt idx="142">
                  <c:v>65</c:v>
                </c:pt>
                <c:pt idx="143">
                  <c:v>65</c:v>
                </c:pt>
                <c:pt idx="144">
                  <c:v>72.5</c:v>
                </c:pt>
                <c:pt idx="145">
                  <c:v>72.5</c:v>
                </c:pt>
                <c:pt idx="146">
                  <c:v>73</c:v>
                </c:pt>
                <c:pt idx="147">
                  <c:v>73</c:v>
                </c:pt>
                <c:pt idx="148">
                  <c:v>73</c:v>
                </c:pt>
                <c:pt idx="149">
                  <c:v>70</c:v>
                </c:pt>
                <c:pt idx="150">
                  <c:v>70</c:v>
                </c:pt>
                <c:pt idx="151">
                  <c:v>65</c:v>
                </c:pt>
                <c:pt idx="152">
                  <c:v>65</c:v>
                </c:pt>
                <c:pt idx="153">
                  <c:v>65</c:v>
                </c:pt>
                <c:pt idx="154">
                  <c:v>65</c:v>
                </c:pt>
                <c:pt idx="155">
                  <c:v>70</c:v>
                </c:pt>
                <c:pt idx="156">
                  <c:v>70</c:v>
                </c:pt>
                <c:pt idx="157">
                  <c:v>70</c:v>
                </c:pt>
                <c:pt idx="158">
                  <c:v>70</c:v>
                </c:pt>
                <c:pt idx="159">
                  <c:v>70</c:v>
                </c:pt>
                <c:pt idx="160">
                  <c:v>70</c:v>
                </c:pt>
                <c:pt idx="161">
                  <c:v>70</c:v>
                </c:pt>
                <c:pt idx="162">
                  <c:v>70</c:v>
                </c:pt>
                <c:pt idx="163">
                  <c:v>80</c:v>
                </c:pt>
                <c:pt idx="164">
                  <c:v>80</c:v>
                </c:pt>
                <c:pt idx="165">
                  <c:v>90</c:v>
                </c:pt>
                <c:pt idx="166">
                  <c:v>90</c:v>
                </c:pt>
                <c:pt idx="167">
                  <c:v>90</c:v>
                </c:pt>
                <c:pt idx="168">
                  <c:v>80</c:v>
                </c:pt>
                <c:pt idx="169">
                  <c:v>80</c:v>
                </c:pt>
                <c:pt idx="170">
                  <c:v>82</c:v>
                </c:pt>
                <c:pt idx="171">
                  <c:v>82</c:v>
                </c:pt>
                <c:pt idx="172">
                  <c:v>100</c:v>
                </c:pt>
                <c:pt idx="173">
                  <c:v>85</c:v>
                </c:pt>
                <c:pt idx="174">
                  <c:v>85</c:v>
                </c:pt>
                <c:pt idx="175">
                  <c:v>75</c:v>
                </c:pt>
                <c:pt idx="176">
                  <c:v>80</c:v>
                </c:pt>
                <c:pt idx="177">
                  <c:v>60</c:v>
                </c:pt>
                <c:pt idx="178">
                  <c:v>55</c:v>
                </c:pt>
                <c:pt idx="179">
                  <c:v>60</c:v>
                </c:pt>
                <c:pt idx="180">
                  <c:v>55</c:v>
                </c:pt>
                <c:pt idx="181">
                  <c:v>55</c:v>
                </c:pt>
                <c:pt idx="182">
                  <c:v>65</c:v>
                </c:pt>
              </c:numCache>
            </c:numRef>
          </c:yVal>
          <c:smooth val="0"/>
          <c:extLst>
            <c:ext xmlns:c16="http://schemas.microsoft.com/office/drawing/2014/chart" uri="{C3380CC4-5D6E-409C-BE32-E72D297353CC}">
              <c16:uniqueId val="{00000005-77E4-44F1-915E-73710CB84977}"/>
            </c:ext>
          </c:extLst>
        </c:ser>
        <c:dLbls>
          <c:showLegendKey val="0"/>
          <c:showVal val="0"/>
          <c:showCatName val="0"/>
          <c:showSerName val="0"/>
          <c:showPercent val="0"/>
          <c:showBubbleSize val="0"/>
        </c:dLbls>
        <c:axId val="3"/>
        <c:axId val="4"/>
      </c:scatterChart>
      <c:valAx>
        <c:axId val="442866255"/>
        <c:scaling>
          <c:orientation val="minMax"/>
        </c:scaling>
        <c:delete val="0"/>
        <c:axPos val="b"/>
        <c:title>
          <c:tx>
            <c:rich>
              <a:bodyPr/>
              <a:lstStyle/>
              <a:p>
                <a:pPr>
                  <a:defRPr sz="1000" b="0" i="0" u="none" strike="noStrike" baseline="0">
                    <a:solidFill>
                      <a:srgbClr val="000000"/>
                    </a:solidFill>
                    <a:latin typeface="Arial MT"/>
                    <a:ea typeface="Arial MT"/>
                    <a:cs typeface="Arial MT"/>
                  </a:defRPr>
                </a:pPr>
                <a:r>
                  <a:rPr lang="en-US"/>
                  <a:t>Date</a:t>
                </a:r>
              </a:p>
            </c:rich>
          </c:tx>
          <c:layout>
            <c:manualLayout>
              <c:xMode val="edge"/>
              <c:yMode val="edge"/>
              <c:x val="0.49628665021880025"/>
              <c:y val="0.95182240084630043"/>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Arial MT"/>
                    <a:ea typeface="Arial MT"/>
                    <a:cs typeface="Arial MT"/>
                  </a:defRPr>
                </a:pPr>
                <a:r>
                  <a:rPr lang="en-US"/>
                  <a:t>DOC % Removal</a:t>
                </a:r>
              </a:p>
            </c:rich>
          </c:tx>
          <c:layout>
            <c:manualLayout>
              <c:xMode val="edge"/>
              <c:yMode val="edge"/>
              <c:x val="1.966162958517105E-2"/>
              <c:y val="0.47714733341126231"/>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442866255"/>
        <c:crosses val="autoZero"/>
        <c:crossBetween val="midCat"/>
        <c:majorUnit val="10"/>
      </c:valAx>
      <c:valAx>
        <c:axId val="3"/>
        <c:scaling>
          <c:orientation val="minMax"/>
        </c:scaling>
        <c:delete val="1"/>
        <c:axPos val="b"/>
        <c:numFmt formatCode="dd\-mmm\-yy"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100" b="0" i="0" u="none" strike="noStrike" baseline="0">
                    <a:solidFill>
                      <a:srgbClr val="000000"/>
                    </a:solidFill>
                    <a:latin typeface="Arial MT"/>
                    <a:ea typeface="Arial MT"/>
                    <a:cs typeface="Arial MT"/>
                  </a:defRPr>
                </a:pPr>
                <a:r>
                  <a:rPr lang="en-US"/>
                  <a:t>Alum Dose (mg/L)</a:t>
                </a:r>
              </a:p>
            </c:rich>
          </c:tx>
          <c:layout>
            <c:manualLayout>
              <c:xMode val="edge"/>
              <c:yMode val="edge"/>
              <c:x val="0.97833556866902838"/>
              <c:y val="0.46354987054202945"/>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3832809028452662"/>
          <c:y val="2.348652677412949E-2"/>
          <c:w val="7.661255665945961E-2"/>
          <c:h val="0.156988889490233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Dissolved Oxygen Comparison for Raw Water</a:t>
            </a:r>
          </a:p>
        </c:rich>
      </c:tx>
      <c:layout>
        <c:manualLayout>
          <c:xMode val="edge"/>
          <c:yMode val="edge"/>
          <c:x val="0.32565272171446918"/>
          <c:y val="2.561329559725942E-2"/>
        </c:manualLayout>
      </c:layout>
      <c:overlay val="0"/>
      <c:spPr>
        <a:noFill/>
        <a:ln w="25400">
          <a:noFill/>
        </a:ln>
      </c:spPr>
    </c:title>
    <c:autoTitleDeleted val="0"/>
    <c:plotArea>
      <c:layout>
        <c:manualLayout>
          <c:layoutTarget val="inner"/>
          <c:xMode val="edge"/>
          <c:yMode val="edge"/>
          <c:x val="5.6692579083895446E-2"/>
          <c:y val="0.25167846978176645"/>
          <c:w val="0.89521537669686069"/>
          <c:h val="0.64033238993148545"/>
        </c:manualLayout>
      </c:layout>
      <c:scatterChart>
        <c:scatterStyle val="lineMarker"/>
        <c:varyColors val="0"/>
        <c:ser>
          <c:idx val="0"/>
          <c:order val="0"/>
          <c:tx>
            <c:v>Bench</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0-88E5-44B5-9AF1-B71DA49E7EC9}"/>
            </c:ext>
          </c:extLst>
        </c:ser>
        <c:ser>
          <c:idx val="1"/>
          <c:order val="1"/>
          <c:tx>
            <c:v>On - Line</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Data'!$E$18:$BD$18</c:f>
              <c:numCache>
                <c:formatCode>0.0</c:formatCode>
                <c:ptCount val="52"/>
                <c:pt idx="0">
                  <c:v>99</c:v>
                </c:pt>
                <c:pt idx="1">
                  <c:v>89</c:v>
                </c:pt>
                <c:pt idx="3">
                  <c:v>61</c:v>
                </c:pt>
                <c:pt idx="4">
                  <c:v>57</c:v>
                </c:pt>
                <c:pt idx="5">
                  <c:v>53</c:v>
                </c:pt>
                <c:pt idx="6">
                  <c:v>49</c:v>
                </c:pt>
                <c:pt idx="7">
                  <c:v>45</c:v>
                </c:pt>
                <c:pt idx="9">
                  <c:v>35</c:v>
                </c:pt>
                <c:pt idx="10">
                  <c:v>27</c:v>
                </c:pt>
                <c:pt idx="11">
                  <c:v>39</c:v>
                </c:pt>
                <c:pt idx="12">
                  <c:v>66</c:v>
                </c:pt>
                <c:pt idx="13">
                  <c:v>54</c:v>
                </c:pt>
                <c:pt idx="14">
                  <c:v>61</c:v>
                </c:pt>
                <c:pt idx="15">
                  <c:v>102</c:v>
                </c:pt>
                <c:pt idx="16">
                  <c:v>91</c:v>
                </c:pt>
                <c:pt idx="17">
                  <c:v>93.5</c:v>
                </c:pt>
                <c:pt idx="18">
                  <c:v>88.1</c:v>
                </c:pt>
                <c:pt idx="19">
                  <c:v>88.6</c:v>
                </c:pt>
                <c:pt idx="20">
                  <c:v>88</c:v>
                </c:pt>
                <c:pt idx="21">
                  <c:v>87.3</c:v>
                </c:pt>
                <c:pt idx="22">
                  <c:v>88.7</c:v>
                </c:pt>
                <c:pt idx="23">
                  <c:v>84.4</c:v>
                </c:pt>
                <c:pt idx="24">
                  <c:v>94.6</c:v>
                </c:pt>
                <c:pt idx="25">
                  <c:v>102</c:v>
                </c:pt>
                <c:pt idx="26">
                  <c:v>100.5</c:v>
                </c:pt>
                <c:pt idx="27">
                  <c:v>99</c:v>
                </c:pt>
                <c:pt idx="28">
                  <c:v>89.2</c:v>
                </c:pt>
                <c:pt idx="29">
                  <c:v>80.599999999999994</c:v>
                </c:pt>
                <c:pt idx="30">
                  <c:v>69.099999999999994</c:v>
                </c:pt>
                <c:pt idx="31">
                  <c:v>84.7</c:v>
                </c:pt>
                <c:pt idx="32">
                  <c:v>65</c:v>
                </c:pt>
                <c:pt idx="33">
                  <c:v>77</c:v>
                </c:pt>
                <c:pt idx="34">
                  <c:v>86.1</c:v>
                </c:pt>
                <c:pt idx="35">
                  <c:v>87.8</c:v>
                </c:pt>
                <c:pt idx="36">
                  <c:v>73.8</c:v>
                </c:pt>
                <c:pt idx="37">
                  <c:v>98</c:v>
                </c:pt>
                <c:pt idx="38">
                  <c:v>97.1</c:v>
                </c:pt>
                <c:pt idx="39">
                  <c:v>111.4</c:v>
                </c:pt>
                <c:pt idx="40">
                  <c:v>97.8</c:v>
                </c:pt>
                <c:pt idx="41">
                  <c:v>97.8</c:v>
                </c:pt>
                <c:pt idx="42">
                  <c:v>94.5</c:v>
                </c:pt>
                <c:pt idx="43">
                  <c:v>88.6</c:v>
                </c:pt>
                <c:pt idx="44">
                  <c:v>80.400000000000006</c:v>
                </c:pt>
                <c:pt idx="45">
                  <c:v>97.4</c:v>
                </c:pt>
                <c:pt idx="46" formatCode="General;[Red]\-General">
                  <c:v>95</c:v>
                </c:pt>
                <c:pt idx="47">
                  <c:v>98</c:v>
                </c:pt>
                <c:pt idx="49">
                  <c:v>92</c:v>
                </c:pt>
                <c:pt idx="50">
                  <c:v>81.400000000000006</c:v>
                </c:pt>
                <c:pt idx="51">
                  <c:v>89.8</c:v>
                </c:pt>
              </c:numCache>
            </c:numRef>
          </c:yVal>
          <c:smooth val="0"/>
          <c:extLst>
            <c:ext xmlns:c16="http://schemas.microsoft.com/office/drawing/2014/chart" uri="{C3380CC4-5D6E-409C-BE32-E72D297353CC}">
              <c16:uniqueId val="{00000001-88E5-44B5-9AF1-B71DA49E7EC9}"/>
            </c:ext>
          </c:extLst>
        </c:ser>
        <c:dLbls>
          <c:showLegendKey val="0"/>
          <c:showVal val="0"/>
          <c:showCatName val="0"/>
          <c:showSerName val="0"/>
          <c:showPercent val="0"/>
          <c:showBubbleSize val="0"/>
        </c:dLbls>
        <c:axId val="444437535"/>
        <c:axId val="1"/>
      </c:scatterChart>
      <c:valAx>
        <c:axId val="44443753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1003237430445311"/>
              <c:y val="0.94435107245547778"/>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296080179296247E-3"/>
              <c:y val="0.3997901356267883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7535"/>
        <c:crosses val="autoZero"/>
        <c:crossBetween val="midCat"/>
      </c:valAx>
      <c:spPr>
        <a:noFill/>
        <a:ln w="3175">
          <a:solidFill>
            <a:srgbClr val="000000"/>
          </a:solidFill>
          <a:prstDash val="solid"/>
        </a:ln>
      </c:spPr>
    </c:plotArea>
    <c:legend>
      <c:legendPos val="r"/>
      <c:layout>
        <c:manualLayout>
          <c:xMode val="edge"/>
          <c:yMode val="edge"/>
          <c:x val="0.80160669960484721"/>
          <c:y val="8.5748859173433709E-2"/>
          <c:w val="0.13118399113599064"/>
          <c:h val="0.11247577631840006"/>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CLEARWELL
Seven Day THMFP</a:t>
            </a:r>
          </a:p>
        </c:rich>
      </c:tx>
      <c:layout>
        <c:manualLayout>
          <c:xMode val="edge"/>
          <c:yMode val="edge"/>
          <c:x val="0.38783457161898249"/>
          <c:y val="2.5641822416244395E-2"/>
        </c:manualLayout>
      </c:layout>
      <c:overlay val="0"/>
      <c:spPr>
        <a:noFill/>
        <a:ln w="25400">
          <a:noFill/>
        </a:ln>
      </c:spPr>
    </c:title>
    <c:autoTitleDeleted val="0"/>
    <c:plotArea>
      <c:layout>
        <c:manualLayout>
          <c:layoutTarget val="inner"/>
          <c:xMode val="edge"/>
          <c:yMode val="edge"/>
          <c:x val="5.6917701636915521E-2"/>
          <c:y val="0.31773562559259355"/>
          <c:w val="0.91068322619064834"/>
          <c:h val="0.51395131016907236"/>
        </c:manualLayout>
      </c:layout>
      <c:scatterChart>
        <c:scatterStyle val="lineMarker"/>
        <c:varyColors val="0"/>
        <c:ser>
          <c:idx val="0"/>
          <c:order val="0"/>
          <c:tx>
            <c:v>Initial</c:v>
          </c:tx>
          <c:spPr>
            <a:ln w="25400">
              <a:solidFill>
                <a:srgbClr val="0000FF"/>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THMFP'!$Q$4:$Q$143</c:f>
              <c:numCache>
                <c:formatCode>0</c:formatCode>
                <c:ptCount val="140"/>
                <c:pt idx="0">
                  <c:v>66</c:v>
                </c:pt>
                <c:pt idx="1">
                  <c:v>73</c:v>
                </c:pt>
                <c:pt idx="2">
                  <c:v>85</c:v>
                </c:pt>
                <c:pt idx="3">
                  <c:v>74</c:v>
                </c:pt>
                <c:pt idx="4">
                  <c:v>3</c:v>
                </c:pt>
                <c:pt idx="5">
                  <c:v>3</c:v>
                </c:pt>
                <c:pt idx="6">
                  <c:v>3</c:v>
                </c:pt>
                <c:pt idx="7">
                  <c:v>8</c:v>
                </c:pt>
                <c:pt idx="8">
                  <c:v>12</c:v>
                </c:pt>
                <c:pt idx="9">
                  <c:v>18</c:v>
                </c:pt>
                <c:pt idx="10">
                  <c:v>29</c:v>
                </c:pt>
                <c:pt idx="11">
                  <c:v>33</c:v>
                </c:pt>
                <c:pt idx="12">
                  <c:v>51</c:v>
                </c:pt>
                <c:pt idx="13">
                  <c:v>56</c:v>
                </c:pt>
                <c:pt idx="14">
                  <c:v>66</c:v>
                </c:pt>
                <c:pt idx="15">
                  <c:v>73</c:v>
                </c:pt>
                <c:pt idx="16">
                  <c:v>56</c:v>
                </c:pt>
                <c:pt idx="17">
                  <c:v>65</c:v>
                </c:pt>
                <c:pt idx="18">
                  <c:v>60</c:v>
                </c:pt>
                <c:pt idx="19">
                  <c:v>54</c:v>
                </c:pt>
                <c:pt idx="20">
                  <c:v>48</c:v>
                </c:pt>
                <c:pt idx="21">
                  <c:v>46</c:v>
                </c:pt>
                <c:pt idx="22">
                  <c:v>43</c:v>
                </c:pt>
                <c:pt idx="23">
                  <c:v>45</c:v>
                </c:pt>
                <c:pt idx="24">
                  <c:v>42</c:v>
                </c:pt>
                <c:pt idx="25">
                  <c:v>34</c:v>
                </c:pt>
                <c:pt idx="26">
                  <c:v>36</c:v>
                </c:pt>
                <c:pt idx="27">
                  <c:v>29</c:v>
                </c:pt>
                <c:pt idx="28">
                  <c:v>37</c:v>
                </c:pt>
                <c:pt idx="29">
                  <c:v>35</c:v>
                </c:pt>
                <c:pt idx="30">
                  <c:v>42</c:v>
                </c:pt>
                <c:pt idx="31">
                  <c:v>41</c:v>
                </c:pt>
                <c:pt idx="32">
                  <c:v>40</c:v>
                </c:pt>
                <c:pt idx="33">
                  <c:v>40</c:v>
                </c:pt>
                <c:pt idx="34">
                  <c:v>34</c:v>
                </c:pt>
                <c:pt idx="35">
                  <c:v>20</c:v>
                </c:pt>
                <c:pt idx="36">
                  <c:v>16</c:v>
                </c:pt>
                <c:pt idx="37">
                  <c:v>23</c:v>
                </c:pt>
                <c:pt idx="38">
                  <c:v>14</c:v>
                </c:pt>
                <c:pt idx="39">
                  <c:v>19</c:v>
                </c:pt>
                <c:pt idx="40">
                  <c:v>16</c:v>
                </c:pt>
                <c:pt idx="41">
                  <c:v>21</c:v>
                </c:pt>
                <c:pt idx="42">
                  <c:v>17</c:v>
                </c:pt>
                <c:pt idx="43">
                  <c:v>20</c:v>
                </c:pt>
                <c:pt idx="44">
                  <c:v>33</c:v>
                </c:pt>
                <c:pt idx="45">
                  <c:v>36</c:v>
                </c:pt>
                <c:pt idx="46">
                  <c:v>40</c:v>
                </c:pt>
                <c:pt idx="47">
                  <c:v>48</c:v>
                </c:pt>
                <c:pt idx="48">
                  <c:v>53</c:v>
                </c:pt>
                <c:pt idx="49">
                  <c:v>44</c:v>
                </c:pt>
                <c:pt idx="50">
                  <c:v>27</c:v>
                </c:pt>
                <c:pt idx="51">
                  <c:v>28</c:v>
                </c:pt>
                <c:pt idx="52">
                  <c:v>34</c:v>
                </c:pt>
                <c:pt idx="53">
                  <c:v>38</c:v>
                </c:pt>
                <c:pt idx="54">
                  <c:v>38</c:v>
                </c:pt>
                <c:pt idx="55">
                  <c:v>41</c:v>
                </c:pt>
                <c:pt idx="56">
                  <c:v>40</c:v>
                </c:pt>
                <c:pt idx="57">
                  <c:v>2</c:v>
                </c:pt>
                <c:pt idx="58">
                  <c:v>2</c:v>
                </c:pt>
                <c:pt idx="59">
                  <c:v>1</c:v>
                </c:pt>
                <c:pt idx="60">
                  <c:v>2</c:v>
                </c:pt>
                <c:pt idx="61">
                  <c:v>2</c:v>
                </c:pt>
                <c:pt idx="62">
                  <c:v>3</c:v>
                </c:pt>
                <c:pt idx="63">
                  <c:v>5</c:v>
                </c:pt>
                <c:pt idx="64">
                  <c:v>7</c:v>
                </c:pt>
                <c:pt idx="65">
                  <c:v>22</c:v>
                </c:pt>
                <c:pt idx="66">
                  <c:v>25</c:v>
                </c:pt>
                <c:pt idx="67">
                  <c:v>38</c:v>
                </c:pt>
                <c:pt idx="68">
                  <c:v>41</c:v>
                </c:pt>
                <c:pt idx="69">
                  <c:v>46</c:v>
                </c:pt>
                <c:pt idx="70">
                  <c:v>28</c:v>
                </c:pt>
                <c:pt idx="71">
                  <c:v>48</c:v>
                </c:pt>
                <c:pt idx="72">
                  <c:v>43</c:v>
                </c:pt>
                <c:pt idx="73">
                  <c:v>42</c:v>
                </c:pt>
                <c:pt idx="74">
                  <c:v>45</c:v>
                </c:pt>
                <c:pt idx="75">
                  <c:v>37</c:v>
                </c:pt>
                <c:pt idx="76">
                  <c:v>43</c:v>
                </c:pt>
                <c:pt idx="77">
                  <c:v>33</c:v>
                </c:pt>
                <c:pt idx="78">
                  <c:v>35</c:v>
                </c:pt>
                <c:pt idx="79">
                  <c:v>33</c:v>
                </c:pt>
                <c:pt idx="80">
                  <c:v>30</c:v>
                </c:pt>
                <c:pt idx="81">
                  <c:v>34</c:v>
                </c:pt>
                <c:pt idx="82">
                  <c:v>26</c:v>
                </c:pt>
                <c:pt idx="83">
                  <c:v>26</c:v>
                </c:pt>
                <c:pt idx="84">
                  <c:v>28</c:v>
                </c:pt>
                <c:pt idx="85">
                  <c:v>27</c:v>
                </c:pt>
                <c:pt idx="86">
                  <c:v>29</c:v>
                </c:pt>
                <c:pt idx="87">
                  <c:v>33</c:v>
                </c:pt>
                <c:pt idx="88">
                  <c:v>36</c:v>
                </c:pt>
                <c:pt idx="89">
                  <c:v>30</c:v>
                </c:pt>
                <c:pt idx="90">
                  <c:v>36</c:v>
                </c:pt>
                <c:pt idx="91">
                  <c:v>35</c:v>
                </c:pt>
                <c:pt idx="92">
                  <c:v>36</c:v>
                </c:pt>
                <c:pt idx="93">
                  <c:v>33</c:v>
                </c:pt>
                <c:pt idx="94">
                  <c:v>32</c:v>
                </c:pt>
                <c:pt idx="95">
                  <c:v>31</c:v>
                </c:pt>
                <c:pt idx="96">
                  <c:v>31</c:v>
                </c:pt>
                <c:pt idx="97">
                  <c:v>34</c:v>
                </c:pt>
                <c:pt idx="98">
                  <c:v>37</c:v>
                </c:pt>
                <c:pt idx="99">
                  <c:v>35</c:v>
                </c:pt>
                <c:pt idx="100">
                  <c:v>33</c:v>
                </c:pt>
                <c:pt idx="101">
                  <c:v>38</c:v>
                </c:pt>
                <c:pt idx="102">
                  <c:v>31</c:v>
                </c:pt>
                <c:pt idx="103">
                  <c:v>36</c:v>
                </c:pt>
                <c:pt idx="104">
                  <c:v>23</c:v>
                </c:pt>
                <c:pt idx="105">
                  <c:v>40</c:v>
                </c:pt>
                <c:pt idx="106">
                  <c:v>44</c:v>
                </c:pt>
                <c:pt idx="107">
                  <c:v>39</c:v>
                </c:pt>
                <c:pt idx="108">
                  <c:v>42</c:v>
                </c:pt>
                <c:pt idx="109">
                  <c:v>0</c:v>
                </c:pt>
                <c:pt idx="110">
                  <c:v>0</c:v>
                </c:pt>
                <c:pt idx="111">
                  <c:v>1</c:v>
                </c:pt>
                <c:pt idx="112">
                  <c:v>1</c:v>
                </c:pt>
                <c:pt idx="113">
                  <c:v>2</c:v>
                </c:pt>
                <c:pt idx="114">
                  <c:v>5</c:v>
                </c:pt>
                <c:pt idx="115">
                  <c:v>7</c:v>
                </c:pt>
                <c:pt idx="116">
                  <c:v>14</c:v>
                </c:pt>
                <c:pt idx="117">
                  <c:v>21</c:v>
                </c:pt>
                <c:pt idx="118">
                  <c:v>38</c:v>
                </c:pt>
                <c:pt idx="119">
                  <c:v>44</c:v>
                </c:pt>
                <c:pt idx="120">
                  <c:v>49</c:v>
                </c:pt>
                <c:pt idx="121">
                  <c:v>53</c:v>
                </c:pt>
                <c:pt idx="122">
                  <c:v>48</c:v>
                </c:pt>
                <c:pt idx="123">
                  <c:v>46</c:v>
                </c:pt>
                <c:pt idx="124">
                  <c:v>48</c:v>
                </c:pt>
                <c:pt idx="125">
                  <c:v>45</c:v>
                </c:pt>
                <c:pt idx="126">
                  <c:v>46</c:v>
                </c:pt>
                <c:pt idx="127">
                  <c:v>43</c:v>
                </c:pt>
                <c:pt idx="128">
                  <c:v>39</c:v>
                </c:pt>
                <c:pt idx="129">
                  <c:v>36</c:v>
                </c:pt>
                <c:pt idx="130">
                  <c:v>35</c:v>
                </c:pt>
                <c:pt idx="131">
                  <c:v>32</c:v>
                </c:pt>
                <c:pt idx="132">
                  <c:v>31</c:v>
                </c:pt>
                <c:pt idx="133">
                  <c:v>30</c:v>
                </c:pt>
                <c:pt idx="134">
                  <c:v>25</c:v>
                </c:pt>
                <c:pt idx="135">
                  <c:v>27</c:v>
                </c:pt>
                <c:pt idx="136">
                  <c:v>28</c:v>
                </c:pt>
                <c:pt idx="137">
                  <c:v>30</c:v>
                </c:pt>
                <c:pt idx="138">
                  <c:v>28</c:v>
                </c:pt>
              </c:numCache>
            </c:numRef>
          </c:yVal>
          <c:smooth val="0"/>
          <c:extLst>
            <c:ext xmlns:c16="http://schemas.microsoft.com/office/drawing/2014/chart" uri="{C3380CC4-5D6E-409C-BE32-E72D297353CC}">
              <c16:uniqueId val="{00000000-C894-4671-B611-6006383C16DA}"/>
            </c:ext>
          </c:extLst>
        </c:ser>
        <c:ser>
          <c:idx val="1"/>
          <c:order val="1"/>
          <c:tx>
            <c:v>Final</c:v>
          </c:tx>
          <c:spPr>
            <a:ln w="25400">
              <a:solidFill>
                <a:srgbClr val="FF0000"/>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THMFP'!$R$4:$R$143</c:f>
              <c:numCache>
                <c:formatCode>0</c:formatCode>
                <c:ptCount val="140"/>
                <c:pt idx="0">
                  <c:v>98</c:v>
                </c:pt>
                <c:pt idx="1">
                  <c:v>124</c:v>
                </c:pt>
                <c:pt idx="2">
                  <c:v>134</c:v>
                </c:pt>
                <c:pt idx="3">
                  <c:v>131</c:v>
                </c:pt>
                <c:pt idx="4">
                  <c:v>24</c:v>
                </c:pt>
                <c:pt idx="5">
                  <c:v>15</c:v>
                </c:pt>
                <c:pt idx="6">
                  <c:v>11</c:v>
                </c:pt>
                <c:pt idx="7">
                  <c:v>24</c:v>
                </c:pt>
                <c:pt idx="8">
                  <c:v>29</c:v>
                </c:pt>
                <c:pt idx="9">
                  <c:v>37</c:v>
                </c:pt>
                <c:pt idx="10">
                  <c:v>57</c:v>
                </c:pt>
                <c:pt idx="11">
                  <c:v>62</c:v>
                </c:pt>
                <c:pt idx="12">
                  <c:v>79</c:v>
                </c:pt>
                <c:pt idx="13">
                  <c:v>87</c:v>
                </c:pt>
                <c:pt idx="14">
                  <c:v>68</c:v>
                </c:pt>
                <c:pt idx="15">
                  <c:v>114</c:v>
                </c:pt>
                <c:pt idx="16">
                  <c:v>73</c:v>
                </c:pt>
                <c:pt idx="17">
                  <c:v>94</c:v>
                </c:pt>
                <c:pt idx="18">
                  <c:v>100</c:v>
                </c:pt>
                <c:pt idx="19">
                  <c:v>95</c:v>
                </c:pt>
                <c:pt idx="20">
                  <c:v>79</c:v>
                </c:pt>
                <c:pt idx="21">
                  <c:v>87</c:v>
                </c:pt>
                <c:pt idx="22">
                  <c:v>75</c:v>
                </c:pt>
                <c:pt idx="23">
                  <c:v>91</c:v>
                </c:pt>
                <c:pt idx="24">
                  <c:v>83</c:v>
                </c:pt>
                <c:pt idx="25">
                  <c:v>80</c:v>
                </c:pt>
                <c:pt idx="26">
                  <c:v>87</c:v>
                </c:pt>
                <c:pt idx="27">
                  <c:v>69</c:v>
                </c:pt>
                <c:pt idx="28">
                  <c:v>99</c:v>
                </c:pt>
                <c:pt idx="29">
                  <c:v>72</c:v>
                </c:pt>
                <c:pt idx="30">
                  <c:v>76</c:v>
                </c:pt>
                <c:pt idx="31">
                  <c:v>83</c:v>
                </c:pt>
                <c:pt idx="32">
                  <c:v>95</c:v>
                </c:pt>
                <c:pt idx="33">
                  <c:v>93</c:v>
                </c:pt>
                <c:pt idx="34">
                  <c:v>82</c:v>
                </c:pt>
                <c:pt idx="35">
                  <c:v>71</c:v>
                </c:pt>
                <c:pt idx="36">
                  <c:v>62</c:v>
                </c:pt>
                <c:pt idx="37">
                  <c:v>80</c:v>
                </c:pt>
                <c:pt idx="38">
                  <c:v>73</c:v>
                </c:pt>
                <c:pt idx="39">
                  <c:v>63</c:v>
                </c:pt>
                <c:pt idx="40">
                  <c:v>67</c:v>
                </c:pt>
                <c:pt idx="41">
                  <c:v>59</c:v>
                </c:pt>
                <c:pt idx="42">
                  <c:v>70</c:v>
                </c:pt>
                <c:pt idx="43">
                  <c:v>82</c:v>
                </c:pt>
                <c:pt idx="44">
                  <c:v>90</c:v>
                </c:pt>
                <c:pt idx="45">
                  <c:v>95</c:v>
                </c:pt>
                <c:pt idx="46">
                  <c:v>94</c:v>
                </c:pt>
                <c:pt idx="47">
                  <c:v>100</c:v>
                </c:pt>
                <c:pt idx="48">
                  <c:v>101</c:v>
                </c:pt>
                <c:pt idx="49">
                  <c:v>109</c:v>
                </c:pt>
                <c:pt idx="50">
                  <c:v>71</c:v>
                </c:pt>
                <c:pt idx="51">
                  <c:v>80</c:v>
                </c:pt>
                <c:pt idx="52">
                  <c:v>89</c:v>
                </c:pt>
                <c:pt idx="53">
                  <c:v>79</c:v>
                </c:pt>
                <c:pt idx="54">
                  <c:v>82</c:v>
                </c:pt>
                <c:pt idx="55">
                  <c:v>79</c:v>
                </c:pt>
                <c:pt idx="56">
                  <c:v>80</c:v>
                </c:pt>
                <c:pt idx="57">
                  <c:v>8</c:v>
                </c:pt>
                <c:pt idx="58">
                  <c:v>12</c:v>
                </c:pt>
                <c:pt idx="59">
                  <c:v>12</c:v>
                </c:pt>
                <c:pt idx="60">
                  <c:v>8</c:v>
                </c:pt>
                <c:pt idx="61">
                  <c:v>13</c:v>
                </c:pt>
                <c:pt idx="62">
                  <c:v>21</c:v>
                </c:pt>
                <c:pt idx="63">
                  <c:v>22</c:v>
                </c:pt>
                <c:pt idx="64">
                  <c:v>25</c:v>
                </c:pt>
                <c:pt idx="65">
                  <c:v>47</c:v>
                </c:pt>
                <c:pt idx="66">
                  <c:v>47</c:v>
                </c:pt>
                <c:pt idx="67">
                  <c:v>63</c:v>
                </c:pt>
                <c:pt idx="68">
                  <c:v>39</c:v>
                </c:pt>
                <c:pt idx="69">
                  <c:v>76</c:v>
                </c:pt>
                <c:pt idx="70">
                  <c:v>49</c:v>
                </c:pt>
                <c:pt idx="71">
                  <c:v>60</c:v>
                </c:pt>
                <c:pt idx="72">
                  <c:v>65</c:v>
                </c:pt>
                <c:pt idx="73">
                  <c:v>62</c:v>
                </c:pt>
                <c:pt idx="74">
                  <c:v>65</c:v>
                </c:pt>
                <c:pt idx="75">
                  <c:v>65</c:v>
                </c:pt>
                <c:pt idx="76">
                  <c:v>59</c:v>
                </c:pt>
                <c:pt idx="77">
                  <c:v>56</c:v>
                </c:pt>
                <c:pt idx="78">
                  <c:v>63</c:v>
                </c:pt>
                <c:pt idx="79">
                  <c:v>61</c:v>
                </c:pt>
                <c:pt idx="80">
                  <c:v>54</c:v>
                </c:pt>
                <c:pt idx="81">
                  <c:v>51</c:v>
                </c:pt>
                <c:pt idx="82">
                  <c:v>50</c:v>
                </c:pt>
                <c:pt idx="83">
                  <c:v>65</c:v>
                </c:pt>
                <c:pt idx="84">
                  <c:v>68</c:v>
                </c:pt>
                <c:pt idx="85">
                  <c:v>58</c:v>
                </c:pt>
                <c:pt idx="86">
                  <c:v>73</c:v>
                </c:pt>
                <c:pt idx="87">
                  <c:v>0</c:v>
                </c:pt>
                <c:pt idx="88">
                  <c:v>85</c:v>
                </c:pt>
                <c:pt idx="89">
                  <c:v>83</c:v>
                </c:pt>
                <c:pt idx="90">
                  <c:v>75</c:v>
                </c:pt>
                <c:pt idx="91">
                  <c:v>79</c:v>
                </c:pt>
                <c:pt idx="92">
                  <c:v>91</c:v>
                </c:pt>
                <c:pt idx="93">
                  <c:v>78</c:v>
                </c:pt>
                <c:pt idx="94">
                  <c:v>83</c:v>
                </c:pt>
                <c:pt idx="95">
                  <c:v>83</c:v>
                </c:pt>
                <c:pt idx="96">
                  <c:v>84</c:v>
                </c:pt>
                <c:pt idx="97">
                  <c:v>89</c:v>
                </c:pt>
                <c:pt idx="98">
                  <c:v>79</c:v>
                </c:pt>
                <c:pt idx="99">
                  <c:v>95</c:v>
                </c:pt>
                <c:pt idx="100">
                  <c:v>85</c:v>
                </c:pt>
                <c:pt idx="101">
                  <c:v>89</c:v>
                </c:pt>
                <c:pt idx="102">
                  <c:v>77</c:v>
                </c:pt>
                <c:pt idx="103">
                  <c:v>85</c:v>
                </c:pt>
                <c:pt idx="104">
                  <c:v>58</c:v>
                </c:pt>
                <c:pt idx="105">
                  <c:v>84</c:v>
                </c:pt>
                <c:pt idx="106">
                  <c:v>84</c:v>
                </c:pt>
                <c:pt idx="107">
                  <c:v>83</c:v>
                </c:pt>
                <c:pt idx="108">
                  <c:v>78</c:v>
                </c:pt>
                <c:pt idx="109">
                  <c:v>8</c:v>
                </c:pt>
                <c:pt idx="110">
                  <c:v>17</c:v>
                </c:pt>
                <c:pt idx="111">
                  <c:v>13</c:v>
                </c:pt>
                <c:pt idx="112">
                  <c:v>16</c:v>
                </c:pt>
                <c:pt idx="113">
                  <c:v>2</c:v>
                </c:pt>
                <c:pt idx="114">
                  <c:v>17</c:v>
                </c:pt>
                <c:pt idx="115">
                  <c:v>22</c:v>
                </c:pt>
                <c:pt idx="116">
                  <c:v>38</c:v>
                </c:pt>
                <c:pt idx="117">
                  <c:v>24</c:v>
                </c:pt>
                <c:pt idx="118">
                  <c:v>63</c:v>
                </c:pt>
                <c:pt idx="119">
                  <c:v>71</c:v>
                </c:pt>
                <c:pt idx="120">
                  <c:v>76</c:v>
                </c:pt>
                <c:pt idx="121">
                  <c:v>72</c:v>
                </c:pt>
                <c:pt idx="122">
                  <c:v>54</c:v>
                </c:pt>
                <c:pt idx="123">
                  <c:v>72</c:v>
                </c:pt>
                <c:pt idx="124">
                  <c:v>64</c:v>
                </c:pt>
                <c:pt idx="125">
                  <c:v>69</c:v>
                </c:pt>
                <c:pt idx="126">
                  <c:v>83</c:v>
                </c:pt>
                <c:pt idx="127">
                  <c:v>77</c:v>
                </c:pt>
                <c:pt idx="128">
                  <c:v>71</c:v>
                </c:pt>
                <c:pt idx="129">
                  <c:v>55</c:v>
                </c:pt>
                <c:pt idx="130">
                  <c:v>64</c:v>
                </c:pt>
                <c:pt idx="131">
                  <c:v>73</c:v>
                </c:pt>
                <c:pt idx="132">
                  <c:v>66</c:v>
                </c:pt>
                <c:pt idx="133">
                  <c:v>66</c:v>
                </c:pt>
                <c:pt idx="134">
                  <c:v>102</c:v>
                </c:pt>
                <c:pt idx="135">
                  <c:v>76</c:v>
                </c:pt>
                <c:pt idx="136">
                  <c:v>87</c:v>
                </c:pt>
                <c:pt idx="137">
                  <c:v>80</c:v>
                </c:pt>
                <c:pt idx="138">
                  <c:v>84</c:v>
                </c:pt>
              </c:numCache>
            </c:numRef>
          </c:yVal>
          <c:smooth val="0"/>
          <c:extLst>
            <c:ext xmlns:c16="http://schemas.microsoft.com/office/drawing/2014/chart" uri="{C3380CC4-5D6E-409C-BE32-E72D297353CC}">
              <c16:uniqueId val="{00000001-C894-4671-B611-6006383C16DA}"/>
            </c:ext>
          </c:extLst>
        </c:ser>
        <c:dLbls>
          <c:showLegendKey val="0"/>
          <c:showVal val="0"/>
          <c:showCatName val="0"/>
          <c:showSerName val="0"/>
          <c:showPercent val="0"/>
          <c:showBubbleSize val="0"/>
        </c:dLbls>
        <c:axId val="444433375"/>
        <c:axId val="1"/>
      </c:scatterChart>
      <c:valAx>
        <c:axId val="44443337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7910752786597"/>
              <c:y val="0.9442879820243044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091686998206701E-3"/>
              <c:y val="0.47158656009005995"/>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3375"/>
        <c:crosses val="autoZero"/>
        <c:crossBetween val="midCat"/>
        <c:majorUnit val="10"/>
      </c:valAx>
      <c:spPr>
        <a:noFill/>
        <a:ln w="3175">
          <a:solidFill>
            <a:srgbClr val="000000"/>
          </a:solidFill>
          <a:prstDash val="solid"/>
        </a:ln>
      </c:spPr>
    </c:plotArea>
    <c:legend>
      <c:legendPos val="r"/>
      <c:layout>
        <c:manualLayout>
          <c:xMode val="edge"/>
          <c:yMode val="edge"/>
          <c:x val="0.83523417983473702"/>
          <c:y val="0.1404725923672519"/>
          <c:w val="9.1994889855014625E-2"/>
          <c:h val="0.11260104626263842"/>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PreGAC
Seven Day THMFP</a:t>
            </a:r>
          </a:p>
        </c:rich>
      </c:tx>
      <c:layout>
        <c:manualLayout>
          <c:xMode val="edge"/>
          <c:yMode val="edge"/>
          <c:x val="0.38727983830096202"/>
          <c:y val="2.6018928313720754E-2"/>
        </c:manualLayout>
      </c:layout>
      <c:overlay val="0"/>
      <c:spPr>
        <a:noFill/>
        <a:ln w="25400">
          <a:noFill/>
        </a:ln>
      </c:spPr>
    </c:title>
    <c:autoTitleDeleted val="0"/>
    <c:plotArea>
      <c:layout>
        <c:manualLayout>
          <c:layoutTarget val="inner"/>
          <c:xMode val="edge"/>
          <c:yMode val="edge"/>
          <c:x val="5.7030935092264957E-2"/>
          <c:y val="0.31901468628127183"/>
          <c:w val="0.91050551025209048"/>
          <c:h val="0.51019724649948084"/>
        </c:manualLayout>
      </c:layout>
      <c:scatterChart>
        <c:scatterStyle val="lineMarker"/>
        <c:varyColors val="0"/>
        <c:ser>
          <c:idx val="0"/>
          <c:order val="0"/>
          <c:tx>
            <c:v>Initial</c:v>
          </c:tx>
          <c:spPr>
            <a:ln w="25400">
              <a:solidFill>
                <a:srgbClr val="0000FF"/>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THMFP'!$Q$4:$Q$92</c:f>
              <c:numCache>
                <c:formatCode>General</c:formatCode>
                <c:ptCount val="89"/>
                <c:pt idx="0">
                  <c:v>74</c:v>
                </c:pt>
                <c:pt idx="1">
                  <c:v>59</c:v>
                </c:pt>
                <c:pt idx="2">
                  <c:v>67</c:v>
                </c:pt>
                <c:pt idx="3">
                  <c:v>71</c:v>
                </c:pt>
                <c:pt idx="4">
                  <c:v>73</c:v>
                </c:pt>
                <c:pt idx="5">
                  <c:v>81</c:v>
                </c:pt>
                <c:pt idx="6">
                  <c:v>68</c:v>
                </c:pt>
                <c:pt idx="7">
                  <c:v>78</c:v>
                </c:pt>
                <c:pt idx="8">
                  <c:v>92</c:v>
                </c:pt>
                <c:pt idx="9">
                  <c:v>78</c:v>
                </c:pt>
                <c:pt idx="10">
                  <c:v>51</c:v>
                </c:pt>
                <c:pt idx="11">
                  <c:v>37</c:v>
                </c:pt>
                <c:pt idx="12">
                  <c:v>33</c:v>
                </c:pt>
                <c:pt idx="13">
                  <c:v>27</c:v>
                </c:pt>
                <c:pt idx="14">
                  <c:v>31</c:v>
                </c:pt>
                <c:pt idx="15">
                  <c:v>33</c:v>
                </c:pt>
                <c:pt idx="16">
                  <c:v>30</c:v>
                </c:pt>
                <c:pt idx="17">
                  <c:v>39</c:v>
                </c:pt>
                <c:pt idx="18">
                  <c:v>51</c:v>
                </c:pt>
                <c:pt idx="19">
                  <c:v>53</c:v>
                </c:pt>
                <c:pt idx="20">
                  <c:v>61</c:v>
                </c:pt>
                <c:pt idx="21">
                  <c:v>63</c:v>
                </c:pt>
                <c:pt idx="22">
                  <c:v>55</c:v>
                </c:pt>
                <c:pt idx="23">
                  <c:v>52</c:v>
                </c:pt>
                <c:pt idx="24">
                  <c:v>57</c:v>
                </c:pt>
                <c:pt idx="25">
                  <c:v>61</c:v>
                </c:pt>
                <c:pt idx="26">
                  <c:v>54</c:v>
                </c:pt>
                <c:pt idx="27">
                  <c:v>50</c:v>
                </c:pt>
                <c:pt idx="28">
                  <c:v>39</c:v>
                </c:pt>
                <c:pt idx="29">
                  <c:v>38</c:v>
                </c:pt>
                <c:pt idx="30">
                  <c:v>40</c:v>
                </c:pt>
                <c:pt idx="31">
                  <c:v>36</c:v>
                </c:pt>
                <c:pt idx="32">
                  <c:v>35</c:v>
                </c:pt>
                <c:pt idx="33">
                  <c:v>26</c:v>
                </c:pt>
                <c:pt idx="34">
                  <c:v>26</c:v>
                </c:pt>
                <c:pt idx="35">
                  <c:v>32</c:v>
                </c:pt>
                <c:pt idx="36">
                  <c:v>24</c:v>
                </c:pt>
                <c:pt idx="37">
                  <c:v>29</c:v>
                </c:pt>
                <c:pt idx="38">
                  <c:v>19</c:v>
                </c:pt>
                <c:pt idx="39">
                  <c:v>41</c:v>
                </c:pt>
                <c:pt idx="40">
                  <c:v>32</c:v>
                </c:pt>
                <c:pt idx="41">
                  <c:v>43</c:v>
                </c:pt>
                <c:pt idx="42">
                  <c:v>46</c:v>
                </c:pt>
                <c:pt idx="43">
                  <c:v>59</c:v>
                </c:pt>
                <c:pt idx="44">
                  <c:v>45</c:v>
                </c:pt>
                <c:pt idx="45">
                  <c:v>51</c:v>
                </c:pt>
                <c:pt idx="46">
                  <c:v>58</c:v>
                </c:pt>
                <c:pt idx="47">
                  <c:v>56</c:v>
                </c:pt>
                <c:pt idx="48">
                  <c:v>56</c:v>
                </c:pt>
                <c:pt idx="49">
                  <c:v>51</c:v>
                </c:pt>
                <c:pt idx="50">
                  <c:v>55</c:v>
                </c:pt>
                <c:pt idx="51">
                  <c:v>47</c:v>
                </c:pt>
                <c:pt idx="52">
                  <c:v>48</c:v>
                </c:pt>
                <c:pt idx="53">
                  <c:v>40</c:v>
                </c:pt>
                <c:pt idx="54">
                  <c:v>43</c:v>
                </c:pt>
                <c:pt idx="55">
                  <c:v>42</c:v>
                </c:pt>
                <c:pt idx="56">
                  <c:v>44</c:v>
                </c:pt>
                <c:pt idx="57">
                  <c:v>41</c:v>
                </c:pt>
                <c:pt idx="58">
                  <c:v>37</c:v>
                </c:pt>
                <c:pt idx="59">
                  <c:v>36</c:v>
                </c:pt>
                <c:pt idx="60">
                  <c:v>23</c:v>
                </c:pt>
                <c:pt idx="61">
                  <c:v>30</c:v>
                </c:pt>
                <c:pt idx="62">
                  <c:v>20</c:v>
                </c:pt>
                <c:pt idx="63">
                  <c:v>23</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0-41A9-4F43-A69F-C0BAD561BF8C}"/>
            </c:ext>
          </c:extLst>
        </c:ser>
        <c:ser>
          <c:idx val="1"/>
          <c:order val="1"/>
          <c:tx>
            <c:v>Final</c:v>
          </c:tx>
          <c:spPr>
            <a:ln w="25400">
              <a:solidFill>
                <a:srgbClr val="FF0000"/>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THMFP'!$R$4:$R$92</c:f>
              <c:numCache>
                <c:formatCode>General</c:formatCode>
                <c:ptCount val="89"/>
                <c:pt idx="0">
                  <c:v>78</c:v>
                </c:pt>
                <c:pt idx="1">
                  <c:v>92</c:v>
                </c:pt>
                <c:pt idx="2">
                  <c:v>83</c:v>
                </c:pt>
                <c:pt idx="3">
                  <c:v>88</c:v>
                </c:pt>
                <c:pt idx="4">
                  <c:v>97</c:v>
                </c:pt>
                <c:pt idx="5">
                  <c:v>92</c:v>
                </c:pt>
                <c:pt idx="6">
                  <c:v>100</c:v>
                </c:pt>
                <c:pt idx="7">
                  <c:v>109</c:v>
                </c:pt>
                <c:pt idx="8">
                  <c:v>118</c:v>
                </c:pt>
                <c:pt idx="9">
                  <c:v>104</c:v>
                </c:pt>
                <c:pt idx="10">
                  <c:v>67</c:v>
                </c:pt>
                <c:pt idx="11">
                  <c:v>54</c:v>
                </c:pt>
                <c:pt idx="12">
                  <c:v>40</c:v>
                </c:pt>
                <c:pt idx="13">
                  <c:v>53</c:v>
                </c:pt>
                <c:pt idx="14">
                  <c:v>51</c:v>
                </c:pt>
                <c:pt idx="15">
                  <c:v>52</c:v>
                </c:pt>
                <c:pt idx="16">
                  <c:v>52</c:v>
                </c:pt>
                <c:pt idx="17">
                  <c:v>47</c:v>
                </c:pt>
                <c:pt idx="18">
                  <c:v>66</c:v>
                </c:pt>
                <c:pt idx="19">
                  <c:v>65</c:v>
                </c:pt>
                <c:pt idx="20">
                  <c:v>71</c:v>
                </c:pt>
                <c:pt idx="21">
                  <c:v>83</c:v>
                </c:pt>
                <c:pt idx="22">
                  <c:v>70</c:v>
                </c:pt>
                <c:pt idx="23">
                  <c:v>66</c:v>
                </c:pt>
                <c:pt idx="24">
                  <c:v>63</c:v>
                </c:pt>
                <c:pt idx="25">
                  <c:v>77</c:v>
                </c:pt>
                <c:pt idx="26">
                  <c:v>63</c:v>
                </c:pt>
                <c:pt idx="27">
                  <c:v>65</c:v>
                </c:pt>
                <c:pt idx="28">
                  <c:v>58</c:v>
                </c:pt>
                <c:pt idx="29">
                  <c:v>59</c:v>
                </c:pt>
                <c:pt idx="30">
                  <c:v>50</c:v>
                </c:pt>
                <c:pt idx="31">
                  <c:v>45</c:v>
                </c:pt>
                <c:pt idx="32">
                  <c:v>45</c:v>
                </c:pt>
                <c:pt idx="33">
                  <c:v>39</c:v>
                </c:pt>
                <c:pt idx="34">
                  <c:v>41</c:v>
                </c:pt>
                <c:pt idx="35">
                  <c:v>51</c:v>
                </c:pt>
                <c:pt idx="36">
                  <c:v>45</c:v>
                </c:pt>
                <c:pt idx="37">
                  <c:v>38</c:v>
                </c:pt>
                <c:pt idx="38">
                  <c:v>26</c:v>
                </c:pt>
                <c:pt idx="39">
                  <c:v>56</c:v>
                </c:pt>
                <c:pt idx="40">
                  <c:v>46</c:v>
                </c:pt>
                <c:pt idx="41">
                  <c:v>53</c:v>
                </c:pt>
                <c:pt idx="42">
                  <c:v>55</c:v>
                </c:pt>
                <c:pt idx="43">
                  <c:v>63</c:v>
                </c:pt>
                <c:pt idx="44">
                  <c:v>48</c:v>
                </c:pt>
                <c:pt idx="45">
                  <c:v>62</c:v>
                </c:pt>
                <c:pt idx="46">
                  <c:v>72</c:v>
                </c:pt>
                <c:pt idx="47">
                  <c:v>64</c:v>
                </c:pt>
                <c:pt idx="48">
                  <c:v>82</c:v>
                </c:pt>
                <c:pt idx="49">
                  <c:v>73</c:v>
                </c:pt>
                <c:pt idx="50">
                  <c:v>78</c:v>
                </c:pt>
                <c:pt idx="51">
                  <c:v>81</c:v>
                </c:pt>
                <c:pt idx="52">
                  <c:v>68</c:v>
                </c:pt>
                <c:pt idx="53">
                  <c:v>85</c:v>
                </c:pt>
                <c:pt idx="54">
                  <c:v>61</c:v>
                </c:pt>
                <c:pt idx="55">
                  <c:v>72</c:v>
                </c:pt>
                <c:pt idx="56">
                  <c:v>65</c:v>
                </c:pt>
                <c:pt idx="57">
                  <c:v>57</c:v>
                </c:pt>
                <c:pt idx="58">
                  <c:v>63</c:v>
                </c:pt>
                <c:pt idx="59">
                  <c:v>67</c:v>
                </c:pt>
                <c:pt idx="60">
                  <c:v>52</c:v>
                </c:pt>
                <c:pt idx="61">
                  <c:v>56</c:v>
                </c:pt>
                <c:pt idx="62">
                  <c:v>50</c:v>
                </c:pt>
                <c:pt idx="63">
                  <c:v>42</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1-41A9-4F43-A69F-C0BAD561BF8C}"/>
            </c:ext>
          </c:extLst>
        </c:ser>
        <c:dLbls>
          <c:showLegendKey val="0"/>
          <c:showVal val="0"/>
          <c:showCatName val="0"/>
          <c:showSerName val="0"/>
          <c:showPercent val="0"/>
          <c:showBubbleSize val="0"/>
        </c:dLbls>
        <c:axId val="444428799"/>
        <c:axId val="1"/>
      </c:scatterChart>
      <c:valAx>
        <c:axId val="444428799"/>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24819197340838"/>
              <c:y val="0.9434689658105699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157520402479625E-3"/>
              <c:y val="0.4694719673997440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28799"/>
        <c:crosses val="autoZero"/>
        <c:crossBetween val="midCat"/>
      </c:valAx>
      <c:spPr>
        <a:noFill/>
        <a:ln w="3175">
          <a:solidFill>
            <a:srgbClr val="000000"/>
          </a:solidFill>
          <a:prstDash val="solid"/>
        </a:ln>
      </c:spPr>
    </c:plotArea>
    <c:legend>
      <c:legendPos val="r"/>
      <c:layout>
        <c:manualLayout>
          <c:xMode val="edge"/>
          <c:yMode val="edge"/>
          <c:x val="0.83556951414248659"/>
          <c:y val="0.14140721909630843"/>
          <c:w val="9.2177906718893365E-2"/>
          <c:h val="0.114257033029817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Clearwell Algae Counts</a:t>
            </a:r>
          </a:p>
        </c:rich>
      </c:tx>
      <c:layout>
        <c:manualLayout>
          <c:xMode val="edge"/>
          <c:yMode val="edge"/>
          <c:x val="0.40225079243690282"/>
          <c:y val="2.527553222343282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9.0852061139595069E-2"/>
          <c:y val="0.24616170513256319"/>
          <c:w val="0.84202743621407317"/>
          <c:h val="0.62639362466768311"/>
        </c:manualLayout>
      </c:layout>
      <c:scatterChart>
        <c:scatterStyle val="lineMarker"/>
        <c:varyColors val="0"/>
        <c:ser>
          <c:idx val="0"/>
          <c:order val="0"/>
          <c:tx>
            <c:v>Blue Green</c:v>
          </c:tx>
          <c:spPr>
            <a:ln w="25400">
              <a:solidFill>
                <a:srgbClr val="0000FF"/>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Data'!$E$253:$BD$253</c:f>
              <c:numCache>
                <c:formatCode>#,##0</c:formatCode>
                <c:ptCount val="52"/>
                <c:pt idx="1">
                  <c:v>0</c:v>
                </c:pt>
                <c:pt idx="2">
                  <c:v>0</c:v>
                </c:pt>
                <c:pt idx="3">
                  <c:v>0</c:v>
                </c:pt>
                <c:pt idx="4">
                  <c:v>0</c:v>
                </c:pt>
                <c:pt idx="5">
                  <c:v>0</c:v>
                </c:pt>
                <c:pt idx="6">
                  <c:v>0</c:v>
                </c:pt>
                <c:pt idx="7">
                  <c:v>200</c:v>
                </c:pt>
                <c:pt idx="9">
                  <c:v>1200</c:v>
                </c:pt>
                <c:pt idx="10">
                  <c:v>0</c:v>
                </c:pt>
                <c:pt idx="11">
                  <c:v>0</c:v>
                </c:pt>
                <c:pt idx="12">
                  <c:v>0</c:v>
                </c:pt>
                <c:pt idx="13">
                  <c:v>0</c:v>
                </c:pt>
                <c:pt idx="14">
                  <c:v>400</c:v>
                </c:pt>
                <c:pt idx="15">
                  <c:v>0</c:v>
                </c:pt>
                <c:pt idx="16">
                  <c:v>400</c:v>
                </c:pt>
                <c:pt idx="17">
                  <c:v>0</c:v>
                </c:pt>
                <c:pt idx="18">
                  <c:v>800</c:v>
                </c:pt>
                <c:pt idx="19">
                  <c:v>200</c:v>
                </c:pt>
                <c:pt idx="20">
                  <c:v>400</c:v>
                </c:pt>
                <c:pt idx="21">
                  <c:v>200</c:v>
                </c:pt>
                <c:pt idx="22">
                  <c:v>2600</c:v>
                </c:pt>
                <c:pt idx="23">
                  <c:v>6000</c:v>
                </c:pt>
                <c:pt idx="24">
                  <c:v>10600</c:v>
                </c:pt>
                <c:pt idx="25">
                  <c:v>5800</c:v>
                </c:pt>
                <c:pt idx="27">
                  <c:v>3400</c:v>
                </c:pt>
                <c:pt idx="28">
                  <c:v>1400</c:v>
                </c:pt>
                <c:pt idx="29">
                  <c:v>14200</c:v>
                </c:pt>
                <c:pt idx="30">
                  <c:v>14400</c:v>
                </c:pt>
                <c:pt idx="31">
                  <c:v>41800</c:v>
                </c:pt>
                <c:pt idx="32">
                  <c:v>3400</c:v>
                </c:pt>
                <c:pt idx="33" formatCode="#,##0;[Red]\-#,##0">
                  <c:v>3200</c:v>
                </c:pt>
                <c:pt idx="34">
                  <c:v>10200</c:v>
                </c:pt>
                <c:pt idx="35">
                  <c:v>25000</c:v>
                </c:pt>
                <c:pt idx="36">
                  <c:v>17800</c:v>
                </c:pt>
                <c:pt idx="37">
                  <c:v>8200</c:v>
                </c:pt>
                <c:pt idx="38">
                  <c:v>1800</c:v>
                </c:pt>
                <c:pt idx="39">
                  <c:v>5400</c:v>
                </c:pt>
                <c:pt idx="40">
                  <c:v>3000</c:v>
                </c:pt>
                <c:pt idx="41">
                  <c:v>4800</c:v>
                </c:pt>
                <c:pt idx="42">
                  <c:v>4400</c:v>
                </c:pt>
                <c:pt idx="43">
                  <c:v>3600</c:v>
                </c:pt>
                <c:pt idx="44">
                  <c:v>220</c:v>
                </c:pt>
                <c:pt idx="45">
                  <c:v>800</c:v>
                </c:pt>
                <c:pt idx="46" formatCode="#,##0;[Red]\-#,##0">
                  <c:v>800</c:v>
                </c:pt>
                <c:pt idx="47">
                  <c:v>2000</c:v>
                </c:pt>
                <c:pt idx="48">
                  <c:v>600</c:v>
                </c:pt>
                <c:pt idx="49">
                  <c:v>800</c:v>
                </c:pt>
                <c:pt idx="50">
                  <c:v>600</c:v>
                </c:pt>
              </c:numCache>
            </c:numRef>
          </c:yVal>
          <c:smooth val="0"/>
          <c:extLst>
            <c:ext xmlns:c16="http://schemas.microsoft.com/office/drawing/2014/chart" uri="{C3380CC4-5D6E-409C-BE32-E72D297353CC}">
              <c16:uniqueId val="{00000000-7F28-45F4-9BD0-6C6D6C08DEB1}"/>
            </c:ext>
          </c:extLst>
        </c:ser>
        <c:ser>
          <c:idx val="1"/>
          <c:order val="1"/>
          <c:tx>
            <c:v>Green</c:v>
          </c:tx>
          <c:spPr>
            <a:ln w="25400">
              <a:solidFill>
                <a:srgbClr val="00FF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Data'!$E$254:$BD$254</c:f>
              <c:numCache>
                <c:formatCode>#,##0</c:formatCode>
                <c:ptCount val="52"/>
                <c:pt idx="1">
                  <c:v>14400</c:v>
                </c:pt>
                <c:pt idx="2">
                  <c:v>7800</c:v>
                </c:pt>
                <c:pt idx="3">
                  <c:v>17000</c:v>
                </c:pt>
                <c:pt idx="4">
                  <c:v>9800</c:v>
                </c:pt>
                <c:pt idx="5">
                  <c:v>15800</c:v>
                </c:pt>
                <c:pt idx="6">
                  <c:v>28200</c:v>
                </c:pt>
                <c:pt idx="7">
                  <c:v>25200</c:v>
                </c:pt>
                <c:pt idx="9">
                  <c:v>54800</c:v>
                </c:pt>
                <c:pt idx="10">
                  <c:v>27400</c:v>
                </c:pt>
                <c:pt idx="11">
                  <c:v>14800</c:v>
                </c:pt>
                <c:pt idx="12">
                  <c:v>53600</c:v>
                </c:pt>
                <c:pt idx="13">
                  <c:v>24400</c:v>
                </c:pt>
                <c:pt idx="14">
                  <c:v>26600</c:v>
                </c:pt>
                <c:pt idx="15">
                  <c:v>34000</c:v>
                </c:pt>
                <c:pt idx="16">
                  <c:v>112800</c:v>
                </c:pt>
                <c:pt idx="17">
                  <c:v>200</c:v>
                </c:pt>
                <c:pt idx="18">
                  <c:v>0</c:v>
                </c:pt>
                <c:pt idx="19">
                  <c:v>0</c:v>
                </c:pt>
                <c:pt idx="20">
                  <c:v>200</c:v>
                </c:pt>
                <c:pt idx="21">
                  <c:v>400</c:v>
                </c:pt>
                <c:pt idx="22">
                  <c:v>1400</c:v>
                </c:pt>
                <c:pt idx="23">
                  <c:v>1000</c:v>
                </c:pt>
                <c:pt idx="24">
                  <c:v>600</c:v>
                </c:pt>
                <c:pt idx="25">
                  <c:v>2800</c:v>
                </c:pt>
                <c:pt idx="27">
                  <c:v>3000</c:v>
                </c:pt>
                <c:pt idx="28">
                  <c:v>400</c:v>
                </c:pt>
                <c:pt idx="29">
                  <c:v>1400</c:v>
                </c:pt>
                <c:pt idx="30">
                  <c:v>25600</c:v>
                </c:pt>
                <c:pt idx="31">
                  <c:v>29600</c:v>
                </c:pt>
                <c:pt idx="32">
                  <c:v>4600</c:v>
                </c:pt>
                <c:pt idx="33" formatCode="#,##0;[Red]\-#,##0">
                  <c:v>3600</c:v>
                </c:pt>
                <c:pt idx="34">
                  <c:v>0</c:v>
                </c:pt>
                <c:pt idx="35">
                  <c:v>800</c:v>
                </c:pt>
                <c:pt idx="36">
                  <c:v>0</c:v>
                </c:pt>
                <c:pt idx="37">
                  <c:v>800</c:v>
                </c:pt>
                <c:pt idx="38">
                  <c:v>200</c:v>
                </c:pt>
                <c:pt idx="39">
                  <c:v>200</c:v>
                </c:pt>
                <c:pt idx="40">
                  <c:v>1000</c:v>
                </c:pt>
                <c:pt idx="41">
                  <c:v>0</c:v>
                </c:pt>
                <c:pt idx="42">
                  <c:v>0</c:v>
                </c:pt>
                <c:pt idx="43">
                  <c:v>400</c:v>
                </c:pt>
                <c:pt idx="44">
                  <c:v>200</c:v>
                </c:pt>
                <c:pt idx="45">
                  <c:v>200</c:v>
                </c:pt>
                <c:pt idx="46" formatCode="#,##0;[Red]\-#,##0">
                  <c:v>0</c:v>
                </c:pt>
                <c:pt idx="47">
                  <c:v>1800</c:v>
                </c:pt>
                <c:pt idx="48">
                  <c:v>1600</c:v>
                </c:pt>
                <c:pt idx="49">
                  <c:v>800</c:v>
                </c:pt>
                <c:pt idx="50">
                  <c:v>2200</c:v>
                </c:pt>
              </c:numCache>
            </c:numRef>
          </c:yVal>
          <c:smooth val="0"/>
          <c:extLst>
            <c:ext xmlns:c16="http://schemas.microsoft.com/office/drawing/2014/chart" uri="{C3380CC4-5D6E-409C-BE32-E72D297353CC}">
              <c16:uniqueId val="{00000001-7F28-45F4-9BD0-6C6D6C08DEB1}"/>
            </c:ext>
          </c:extLst>
        </c:ser>
        <c:ser>
          <c:idx val="2"/>
          <c:order val="2"/>
          <c:tx>
            <c:v>Diatoms</c:v>
          </c:tx>
          <c:spPr>
            <a:ln w="3175">
              <a:solidFill>
                <a:srgbClr val="0000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Data'!$E$255:$BD$255</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200</c:v>
                </c:pt>
                <c:pt idx="18">
                  <c:v>200</c:v>
                </c:pt>
                <c:pt idx="19">
                  <c:v>0</c:v>
                </c:pt>
                <c:pt idx="20">
                  <c:v>0</c:v>
                </c:pt>
                <c:pt idx="21">
                  <c:v>200</c:v>
                </c:pt>
                <c:pt idx="22">
                  <c:v>0</c:v>
                </c:pt>
                <c:pt idx="23">
                  <c:v>600</c:v>
                </c:pt>
                <c:pt idx="24">
                  <c:v>0</c:v>
                </c:pt>
                <c:pt idx="25">
                  <c:v>600</c:v>
                </c:pt>
                <c:pt idx="27">
                  <c:v>1400</c:v>
                </c:pt>
                <c:pt idx="28">
                  <c:v>400</c:v>
                </c:pt>
                <c:pt idx="29">
                  <c:v>200</c:v>
                </c:pt>
                <c:pt idx="30">
                  <c:v>1200</c:v>
                </c:pt>
                <c:pt idx="31">
                  <c:v>800</c:v>
                </c:pt>
                <c:pt idx="32">
                  <c:v>0</c:v>
                </c:pt>
                <c:pt idx="33" formatCode="#,##0;[Red]\-#,##0">
                  <c:v>400</c:v>
                </c:pt>
                <c:pt idx="34">
                  <c:v>0</c:v>
                </c:pt>
                <c:pt idx="35">
                  <c:v>400</c:v>
                </c:pt>
                <c:pt idx="36">
                  <c:v>200</c:v>
                </c:pt>
                <c:pt idx="37">
                  <c:v>600</c:v>
                </c:pt>
                <c:pt idx="38">
                  <c:v>400</c:v>
                </c:pt>
                <c:pt idx="39">
                  <c:v>600</c:v>
                </c:pt>
                <c:pt idx="40">
                  <c:v>400</c:v>
                </c:pt>
                <c:pt idx="41">
                  <c:v>200</c:v>
                </c:pt>
                <c:pt idx="42">
                  <c:v>600</c:v>
                </c:pt>
                <c:pt idx="43">
                  <c:v>0</c:v>
                </c:pt>
                <c:pt idx="44">
                  <c:v>0</c:v>
                </c:pt>
                <c:pt idx="45">
                  <c:v>0</c:v>
                </c:pt>
                <c:pt idx="46" formatCode="#,##0;[Red]\-#,##0">
                  <c:v>0</c:v>
                </c:pt>
                <c:pt idx="47">
                  <c:v>200</c:v>
                </c:pt>
                <c:pt idx="48">
                  <c:v>200</c:v>
                </c:pt>
                <c:pt idx="49">
                  <c:v>400</c:v>
                </c:pt>
                <c:pt idx="50">
                  <c:v>200</c:v>
                </c:pt>
              </c:numCache>
            </c:numRef>
          </c:yVal>
          <c:smooth val="0"/>
          <c:extLst>
            <c:ext xmlns:c16="http://schemas.microsoft.com/office/drawing/2014/chart" uri="{C3380CC4-5D6E-409C-BE32-E72D297353CC}">
              <c16:uniqueId val="{00000002-7F28-45F4-9BD0-6C6D6C08DEB1}"/>
            </c:ext>
          </c:extLst>
        </c:ser>
        <c:ser>
          <c:idx val="3"/>
          <c:order val="3"/>
          <c:tx>
            <c:v>Flagellates</c:v>
          </c:tx>
          <c:spPr>
            <a:ln w="3175">
              <a:solidFill>
                <a:srgbClr val="000000"/>
              </a:solidFill>
              <a:prstDash val="solid"/>
            </a:ln>
          </c:spPr>
          <c:marker>
            <c:symbol val="square"/>
            <c:size val="5"/>
            <c:spPr>
              <a:no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Data'!$E$256:$BD$256</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200</c:v>
                </c:pt>
                <c:pt idx="30">
                  <c:v>0</c:v>
                </c:pt>
                <c:pt idx="31">
                  <c:v>0</c:v>
                </c:pt>
                <c:pt idx="32">
                  <c:v>0</c:v>
                </c:pt>
                <c:pt idx="33" formatCode="#,##0;[Red]\-#,##0">
                  <c:v>0</c:v>
                </c:pt>
                <c:pt idx="34">
                  <c:v>0</c:v>
                </c:pt>
                <c:pt idx="35">
                  <c:v>400</c:v>
                </c:pt>
                <c:pt idx="36">
                  <c:v>0</c:v>
                </c:pt>
                <c:pt idx="37">
                  <c:v>0</c:v>
                </c:pt>
                <c:pt idx="38">
                  <c:v>0</c:v>
                </c:pt>
                <c:pt idx="39">
                  <c:v>0</c:v>
                </c:pt>
                <c:pt idx="40">
                  <c:v>0</c:v>
                </c:pt>
                <c:pt idx="41">
                  <c:v>0</c:v>
                </c:pt>
                <c:pt idx="42">
                  <c:v>0</c:v>
                </c:pt>
                <c:pt idx="43">
                  <c:v>0</c:v>
                </c:pt>
                <c:pt idx="44">
                  <c:v>0</c:v>
                </c:pt>
                <c:pt idx="45">
                  <c:v>0</c:v>
                </c:pt>
                <c:pt idx="46" formatCode="#,##0;[Red]\-#,##0">
                  <c:v>0</c:v>
                </c:pt>
                <c:pt idx="47">
                  <c:v>0</c:v>
                </c:pt>
                <c:pt idx="48">
                  <c:v>200</c:v>
                </c:pt>
                <c:pt idx="49">
                  <c:v>0</c:v>
                </c:pt>
                <c:pt idx="50">
                  <c:v>400</c:v>
                </c:pt>
              </c:numCache>
            </c:numRef>
          </c:yVal>
          <c:smooth val="0"/>
          <c:extLst>
            <c:ext xmlns:c16="http://schemas.microsoft.com/office/drawing/2014/chart" uri="{C3380CC4-5D6E-409C-BE32-E72D297353CC}">
              <c16:uniqueId val="{00000003-7F28-45F4-9BD0-6C6D6C08DEB1}"/>
            </c:ext>
          </c:extLst>
        </c:ser>
        <c:dLbls>
          <c:showLegendKey val="0"/>
          <c:showVal val="0"/>
          <c:showCatName val="0"/>
          <c:showSerName val="0"/>
          <c:showPercent val="0"/>
          <c:showBubbleSize val="0"/>
        </c:dLbls>
        <c:axId val="444431295"/>
        <c:axId val="1"/>
      </c:scatterChart>
      <c:valAx>
        <c:axId val="444431295"/>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8717771915435037"/>
              <c:y val="0.95387660738868241"/>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Times New Roman"/>
                <a:ea typeface="Times New Roman"/>
                <a:cs typeface="Times New Roman"/>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500" b="1" i="0" u="none" strike="noStrike" baseline="0">
                    <a:solidFill>
                      <a:srgbClr val="000000"/>
                    </a:solidFill>
                    <a:latin typeface="Times New Roman"/>
                    <a:ea typeface="Times New Roman"/>
                    <a:cs typeface="Times New Roman"/>
                  </a:defRPr>
                </a:pPr>
                <a:r>
                  <a:rPr lang="en-US"/>
                  <a:t>Counts per Litre</a:t>
                </a:r>
              </a:p>
            </c:rich>
          </c:tx>
          <c:layout>
            <c:manualLayout>
              <c:xMode val="edge"/>
              <c:yMode val="edge"/>
              <c:x val="1.185026884429501E-2"/>
              <c:y val="0.47913617606159625"/>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1295"/>
        <c:crosses val="autoZero"/>
        <c:crossBetween val="midCat"/>
      </c:valAx>
      <c:spPr>
        <a:solidFill>
          <a:srgbClr val="FFFFFF"/>
        </a:solidFill>
        <a:ln w="3175">
          <a:solidFill>
            <a:srgbClr val="000000"/>
          </a:solidFill>
          <a:prstDash val="solid"/>
        </a:ln>
      </c:spPr>
    </c:plotArea>
    <c:legend>
      <c:legendPos val="r"/>
      <c:layout>
        <c:manualLayout>
          <c:xMode val="edge"/>
          <c:yMode val="edge"/>
          <c:x val="0.78014269891608812"/>
          <c:y val="9.2310639424711197E-2"/>
          <c:w val="7.0443264796642549E-2"/>
          <c:h val="0.10220106507735884"/>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Raw Algae Counts</a:t>
            </a:r>
          </a:p>
        </c:rich>
      </c:tx>
      <c:layout>
        <c:manualLayout>
          <c:xMode val="edge"/>
          <c:yMode val="edge"/>
          <c:x val="0.42265958877985532"/>
          <c:y val="2.596016555227008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3610230179192557E-2"/>
          <c:y val="0.25395814127220739"/>
          <c:w val="0.83676065006105316"/>
          <c:h val="0.63433100175546908"/>
        </c:manualLayout>
      </c:layout>
      <c:scatterChart>
        <c:scatterStyle val="lineMarker"/>
        <c:varyColors val="0"/>
        <c:ser>
          <c:idx val="0"/>
          <c:order val="0"/>
          <c:tx>
            <c:v>Blue Green</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Data'!$E$91:$BD$91</c:f>
              <c:numCache>
                <c:formatCode>#,##0</c:formatCode>
                <c:ptCount val="52"/>
                <c:pt idx="1">
                  <c:v>0</c:v>
                </c:pt>
                <c:pt idx="2">
                  <c:v>0</c:v>
                </c:pt>
                <c:pt idx="3">
                  <c:v>0</c:v>
                </c:pt>
                <c:pt idx="4">
                  <c:v>0</c:v>
                </c:pt>
                <c:pt idx="5">
                  <c:v>0</c:v>
                </c:pt>
                <c:pt idx="6">
                  <c:v>20</c:v>
                </c:pt>
                <c:pt idx="7">
                  <c:v>0</c:v>
                </c:pt>
                <c:pt idx="9">
                  <c:v>0</c:v>
                </c:pt>
                <c:pt idx="10">
                  <c:v>0</c:v>
                </c:pt>
                <c:pt idx="11">
                  <c:v>0</c:v>
                </c:pt>
                <c:pt idx="12">
                  <c:v>0</c:v>
                </c:pt>
                <c:pt idx="13">
                  <c:v>0</c:v>
                </c:pt>
                <c:pt idx="14">
                  <c:v>0</c:v>
                </c:pt>
                <c:pt idx="15">
                  <c:v>20</c:v>
                </c:pt>
                <c:pt idx="16">
                  <c:v>20</c:v>
                </c:pt>
                <c:pt idx="17">
                  <c:v>0</c:v>
                </c:pt>
                <c:pt idx="18">
                  <c:v>26</c:v>
                </c:pt>
                <c:pt idx="19">
                  <c:v>46</c:v>
                </c:pt>
                <c:pt idx="20">
                  <c:v>61</c:v>
                </c:pt>
                <c:pt idx="21">
                  <c:v>69.2</c:v>
                </c:pt>
                <c:pt idx="22">
                  <c:v>409.2</c:v>
                </c:pt>
                <c:pt idx="23">
                  <c:v>1370</c:v>
                </c:pt>
                <c:pt idx="24">
                  <c:v>3400</c:v>
                </c:pt>
                <c:pt idx="25">
                  <c:v>3140</c:v>
                </c:pt>
                <c:pt idx="27">
                  <c:v>700</c:v>
                </c:pt>
                <c:pt idx="28">
                  <c:v>680</c:v>
                </c:pt>
                <c:pt idx="29">
                  <c:v>3820</c:v>
                </c:pt>
                <c:pt idx="30">
                  <c:v>1420</c:v>
                </c:pt>
                <c:pt idx="31">
                  <c:v>1270</c:v>
                </c:pt>
                <c:pt idx="32">
                  <c:v>1770</c:v>
                </c:pt>
                <c:pt idx="33">
                  <c:v>5020</c:v>
                </c:pt>
                <c:pt idx="34">
                  <c:v>3500</c:v>
                </c:pt>
                <c:pt idx="35">
                  <c:v>6350</c:v>
                </c:pt>
                <c:pt idx="36">
                  <c:v>8640</c:v>
                </c:pt>
                <c:pt idx="37">
                  <c:v>8780</c:v>
                </c:pt>
                <c:pt idx="38">
                  <c:v>12600</c:v>
                </c:pt>
                <c:pt idx="39">
                  <c:v>13780</c:v>
                </c:pt>
                <c:pt idx="40">
                  <c:v>13620</c:v>
                </c:pt>
                <c:pt idx="41">
                  <c:v>15120</c:v>
                </c:pt>
                <c:pt idx="42">
                  <c:v>6660</c:v>
                </c:pt>
                <c:pt idx="43">
                  <c:v>380</c:v>
                </c:pt>
                <c:pt idx="45">
                  <c:v>120</c:v>
                </c:pt>
                <c:pt idx="46">
                  <c:v>60</c:v>
                </c:pt>
                <c:pt idx="47">
                  <c:v>40</c:v>
                </c:pt>
                <c:pt idx="48">
                  <c:v>0</c:v>
                </c:pt>
                <c:pt idx="49">
                  <c:v>60</c:v>
                </c:pt>
                <c:pt idx="50">
                  <c:v>20</c:v>
                </c:pt>
              </c:numCache>
            </c:numRef>
          </c:yVal>
          <c:smooth val="0"/>
          <c:extLst>
            <c:ext xmlns:c16="http://schemas.microsoft.com/office/drawing/2014/chart" uri="{C3380CC4-5D6E-409C-BE32-E72D297353CC}">
              <c16:uniqueId val="{00000000-0F38-4164-95C1-10B21FDEB3B0}"/>
            </c:ext>
          </c:extLst>
        </c:ser>
        <c:ser>
          <c:idx val="1"/>
          <c:order val="1"/>
          <c:tx>
            <c:v>Green</c:v>
          </c:tx>
          <c:spPr>
            <a:ln w="381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Data'!$E$92:$BD$92</c:f>
              <c:numCache>
                <c:formatCode>#,##0</c:formatCode>
                <c:ptCount val="52"/>
                <c:pt idx="1">
                  <c:v>1500</c:v>
                </c:pt>
                <c:pt idx="2">
                  <c:v>480</c:v>
                </c:pt>
                <c:pt idx="3">
                  <c:v>380</c:v>
                </c:pt>
                <c:pt idx="4">
                  <c:v>360</c:v>
                </c:pt>
                <c:pt idx="5">
                  <c:v>380</c:v>
                </c:pt>
                <c:pt idx="6">
                  <c:v>820</c:v>
                </c:pt>
                <c:pt idx="7">
                  <c:v>660</c:v>
                </c:pt>
                <c:pt idx="9">
                  <c:v>420</c:v>
                </c:pt>
                <c:pt idx="10">
                  <c:v>830</c:v>
                </c:pt>
                <c:pt idx="11">
                  <c:v>2480</c:v>
                </c:pt>
                <c:pt idx="12">
                  <c:v>10760</c:v>
                </c:pt>
                <c:pt idx="13">
                  <c:v>16540</c:v>
                </c:pt>
                <c:pt idx="14">
                  <c:v>15460</c:v>
                </c:pt>
                <c:pt idx="15">
                  <c:v>7760</c:v>
                </c:pt>
                <c:pt idx="16">
                  <c:v>7640</c:v>
                </c:pt>
                <c:pt idx="17">
                  <c:v>2760</c:v>
                </c:pt>
                <c:pt idx="18">
                  <c:v>1800</c:v>
                </c:pt>
                <c:pt idx="19">
                  <c:v>1380</c:v>
                </c:pt>
                <c:pt idx="20">
                  <c:v>980</c:v>
                </c:pt>
                <c:pt idx="21">
                  <c:v>1380</c:v>
                </c:pt>
                <c:pt idx="22">
                  <c:v>1480</c:v>
                </c:pt>
                <c:pt idx="23">
                  <c:v>1260</c:v>
                </c:pt>
                <c:pt idx="24">
                  <c:v>1400</c:v>
                </c:pt>
                <c:pt idx="25">
                  <c:v>1220</c:v>
                </c:pt>
                <c:pt idx="27">
                  <c:v>1760</c:v>
                </c:pt>
                <c:pt idx="28">
                  <c:v>700</c:v>
                </c:pt>
                <c:pt idx="29">
                  <c:v>920</c:v>
                </c:pt>
                <c:pt idx="30">
                  <c:v>1280</c:v>
                </c:pt>
                <c:pt idx="31">
                  <c:v>1000</c:v>
                </c:pt>
                <c:pt idx="32">
                  <c:v>1320</c:v>
                </c:pt>
                <c:pt idx="33">
                  <c:v>1800</c:v>
                </c:pt>
                <c:pt idx="34">
                  <c:v>1120</c:v>
                </c:pt>
                <c:pt idx="35">
                  <c:v>700</c:v>
                </c:pt>
                <c:pt idx="36">
                  <c:v>1380</c:v>
                </c:pt>
                <c:pt idx="37">
                  <c:v>940</c:v>
                </c:pt>
                <c:pt idx="38">
                  <c:v>1380</c:v>
                </c:pt>
                <c:pt idx="39">
                  <c:v>980</c:v>
                </c:pt>
                <c:pt idx="40">
                  <c:v>720</c:v>
                </c:pt>
                <c:pt idx="41">
                  <c:v>720</c:v>
                </c:pt>
                <c:pt idx="42">
                  <c:v>540</c:v>
                </c:pt>
                <c:pt idx="43">
                  <c:v>440</c:v>
                </c:pt>
                <c:pt idx="45">
                  <c:v>520</c:v>
                </c:pt>
                <c:pt idx="46">
                  <c:v>400</c:v>
                </c:pt>
                <c:pt idx="47">
                  <c:v>580</c:v>
                </c:pt>
                <c:pt idx="48">
                  <c:v>560</c:v>
                </c:pt>
                <c:pt idx="49">
                  <c:v>420</c:v>
                </c:pt>
                <c:pt idx="50">
                  <c:v>640</c:v>
                </c:pt>
              </c:numCache>
            </c:numRef>
          </c:yVal>
          <c:smooth val="0"/>
          <c:extLst>
            <c:ext xmlns:c16="http://schemas.microsoft.com/office/drawing/2014/chart" uri="{C3380CC4-5D6E-409C-BE32-E72D297353CC}">
              <c16:uniqueId val="{00000001-0F38-4164-95C1-10B21FDEB3B0}"/>
            </c:ext>
          </c:extLst>
        </c:ser>
        <c:ser>
          <c:idx val="2"/>
          <c:order val="2"/>
          <c:tx>
            <c:v>Diatoms</c:v>
          </c:tx>
          <c:spPr>
            <a:ln w="25400">
              <a:solidFill>
                <a:srgbClr val="000000"/>
              </a:solidFill>
              <a:prstDash val="solid"/>
            </a:ln>
          </c:spPr>
          <c:marker>
            <c:symbol val="triangle"/>
            <c:size val="5"/>
            <c:spPr>
              <a:solidFill>
                <a:srgbClr val="00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Data'!$E$93:$BD$93</c:f>
              <c:numCache>
                <c:formatCode>#,##0</c:formatCode>
                <c:ptCount val="52"/>
                <c:pt idx="1">
                  <c:v>60</c:v>
                </c:pt>
                <c:pt idx="2">
                  <c:v>40</c:v>
                </c:pt>
                <c:pt idx="3">
                  <c:v>0</c:v>
                </c:pt>
                <c:pt idx="4">
                  <c:v>20</c:v>
                </c:pt>
                <c:pt idx="5">
                  <c:v>20</c:v>
                </c:pt>
                <c:pt idx="6">
                  <c:v>0</c:v>
                </c:pt>
                <c:pt idx="7">
                  <c:v>0</c:v>
                </c:pt>
                <c:pt idx="9">
                  <c:v>0</c:v>
                </c:pt>
                <c:pt idx="10">
                  <c:v>0</c:v>
                </c:pt>
                <c:pt idx="11">
                  <c:v>0</c:v>
                </c:pt>
                <c:pt idx="12">
                  <c:v>100</c:v>
                </c:pt>
                <c:pt idx="13">
                  <c:v>380</c:v>
                </c:pt>
                <c:pt idx="14">
                  <c:v>360</c:v>
                </c:pt>
                <c:pt idx="15">
                  <c:v>140</c:v>
                </c:pt>
                <c:pt idx="16">
                  <c:v>100</c:v>
                </c:pt>
                <c:pt idx="17">
                  <c:v>160</c:v>
                </c:pt>
                <c:pt idx="18">
                  <c:v>400</c:v>
                </c:pt>
                <c:pt idx="19">
                  <c:v>280</c:v>
                </c:pt>
                <c:pt idx="20">
                  <c:v>200</c:v>
                </c:pt>
                <c:pt idx="21">
                  <c:v>80</c:v>
                </c:pt>
                <c:pt idx="22">
                  <c:v>460</c:v>
                </c:pt>
                <c:pt idx="23">
                  <c:v>280</c:v>
                </c:pt>
                <c:pt idx="24">
                  <c:v>200</c:v>
                </c:pt>
                <c:pt idx="25">
                  <c:v>160</c:v>
                </c:pt>
                <c:pt idx="27">
                  <c:v>1140</c:v>
                </c:pt>
                <c:pt idx="28">
                  <c:v>120</c:v>
                </c:pt>
                <c:pt idx="29">
                  <c:v>240</c:v>
                </c:pt>
                <c:pt idx="30">
                  <c:v>520</c:v>
                </c:pt>
                <c:pt idx="31">
                  <c:v>460</c:v>
                </c:pt>
                <c:pt idx="32">
                  <c:v>1300</c:v>
                </c:pt>
                <c:pt idx="33">
                  <c:v>320</c:v>
                </c:pt>
                <c:pt idx="34">
                  <c:v>180</c:v>
                </c:pt>
                <c:pt idx="35">
                  <c:v>460</c:v>
                </c:pt>
                <c:pt idx="36">
                  <c:v>240</c:v>
                </c:pt>
                <c:pt idx="37">
                  <c:v>200</c:v>
                </c:pt>
                <c:pt idx="38">
                  <c:v>160</c:v>
                </c:pt>
                <c:pt idx="39">
                  <c:v>60</c:v>
                </c:pt>
                <c:pt idx="40">
                  <c:v>180</c:v>
                </c:pt>
                <c:pt idx="41">
                  <c:v>200</c:v>
                </c:pt>
                <c:pt idx="42">
                  <c:v>100</c:v>
                </c:pt>
                <c:pt idx="43">
                  <c:v>120</c:v>
                </c:pt>
                <c:pt idx="45">
                  <c:v>100</c:v>
                </c:pt>
                <c:pt idx="46">
                  <c:v>80</c:v>
                </c:pt>
                <c:pt idx="47">
                  <c:v>60</c:v>
                </c:pt>
                <c:pt idx="48">
                  <c:v>80</c:v>
                </c:pt>
                <c:pt idx="49">
                  <c:v>100</c:v>
                </c:pt>
                <c:pt idx="50">
                  <c:v>140</c:v>
                </c:pt>
              </c:numCache>
            </c:numRef>
          </c:yVal>
          <c:smooth val="0"/>
          <c:extLst>
            <c:ext xmlns:c16="http://schemas.microsoft.com/office/drawing/2014/chart" uri="{C3380CC4-5D6E-409C-BE32-E72D297353CC}">
              <c16:uniqueId val="{00000002-0F38-4164-95C1-10B21FDEB3B0}"/>
            </c:ext>
          </c:extLst>
        </c:ser>
        <c:ser>
          <c:idx val="3"/>
          <c:order val="3"/>
          <c:tx>
            <c:v>Flagellates</c:v>
          </c:tx>
          <c:spPr>
            <a:ln w="3175">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Data'!$E$94:$BD$94</c:f>
              <c:numCache>
                <c:formatCode>#,##0</c:formatCode>
                <c:ptCount val="52"/>
                <c:pt idx="1">
                  <c:v>220</c:v>
                </c:pt>
                <c:pt idx="2">
                  <c:v>220</c:v>
                </c:pt>
                <c:pt idx="3">
                  <c:v>140</c:v>
                </c:pt>
                <c:pt idx="4">
                  <c:v>200</c:v>
                </c:pt>
                <c:pt idx="5">
                  <c:v>140</c:v>
                </c:pt>
                <c:pt idx="6">
                  <c:v>100</c:v>
                </c:pt>
                <c:pt idx="7">
                  <c:v>120</c:v>
                </c:pt>
                <c:pt idx="9">
                  <c:v>180</c:v>
                </c:pt>
                <c:pt idx="10">
                  <c:v>210</c:v>
                </c:pt>
                <c:pt idx="11">
                  <c:v>1100</c:v>
                </c:pt>
                <c:pt idx="12">
                  <c:v>2140</c:v>
                </c:pt>
                <c:pt idx="13">
                  <c:v>3240</c:v>
                </c:pt>
                <c:pt idx="14">
                  <c:v>1960</c:v>
                </c:pt>
                <c:pt idx="15">
                  <c:v>1640</c:v>
                </c:pt>
                <c:pt idx="16">
                  <c:v>2220</c:v>
                </c:pt>
                <c:pt idx="17">
                  <c:v>2540</c:v>
                </c:pt>
                <c:pt idx="18">
                  <c:v>1300</c:v>
                </c:pt>
                <c:pt idx="19">
                  <c:v>1300</c:v>
                </c:pt>
                <c:pt idx="20">
                  <c:v>2280</c:v>
                </c:pt>
                <c:pt idx="21">
                  <c:v>2680</c:v>
                </c:pt>
                <c:pt idx="22">
                  <c:v>1420</c:v>
                </c:pt>
                <c:pt idx="23">
                  <c:v>900</c:v>
                </c:pt>
                <c:pt idx="24">
                  <c:v>1700</c:v>
                </c:pt>
                <c:pt idx="25">
                  <c:v>2680</c:v>
                </c:pt>
                <c:pt idx="27">
                  <c:v>2460</c:v>
                </c:pt>
                <c:pt idx="28">
                  <c:v>3680</c:v>
                </c:pt>
                <c:pt idx="29">
                  <c:v>2420</c:v>
                </c:pt>
                <c:pt idx="30">
                  <c:v>1760</c:v>
                </c:pt>
                <c:pt idx="31">
                  <c:v>4380</c:v>
                </c:pt>
                <c:pt idx="32">
                  <c:v>4420</c:v>
                </c:pt>
                <c:pt idx="33">
                  <c:v>3700</c:v>
                </c:pt>
                <c:pt idx="34">
                  <c:v>2620</c:v>
                </c:pt>
                <c:pt idx="35">
                  <c:v>1980</c:v>
                </c:pt>
                <c:pt idx="36">
                  <c:v>1080</c:v>
                </c:pt>
                <c:pt idx="37">
                  <c:v>420</c:v>
                </c:pt>
                <c:pt idx="38">
                  <c:v>60</c:v>
                </c:pt>
                <c:pt idx="39">
                  <c:v>60</c:v>
                </c:pt>
                <c:pt idx="40">
                  <c:v>120</c:v>
                </c:pt>
                <c:pt idx="41">
                  <c:v>220</c:v>
                </c:pt>
                <c:pt idx="42">
                  <c:v>60</c:v>
                </c:pt>
                <c:pt idx="43">
                  <c:v>100</c:v>
                </c:pt>
                <c:pt idx="45">
                  <c:v>800</c:v>
                </c:pt>
                <c:pt idx="46">
                  <c:v>1300</c:v>
                </c:pt>
                <c:pt idx="47">
                  <c:v>1160</c:v>
                </c:pt>
                <c:pt idx="48">
                  <c:v>2040</c:v>
                </c:pt>
                <c:pt idx="49">
                  <c:v>1980</c:v>
                </c:pt>
                <c:pt idx="50">
                  <c:v>2540</c:v>
                </c:pt>
              </c:numCache>
            </c:numRef>
          </c:yVal>
          <c:smooth val="0"/>
          <c:extLst>
            <c:ext xmlns:c16="http://schemas.microsoft.com/office/drawing/2014/chart" uri="{C3380CC4-5D6E-409C-BE32-E72D297353CC}">
              <c16:uniqueId val="{00000003-0F38-4164-95C1-10B21FDEB3B0}"/>
            </c:ext>
          </c:extLst>
        </c:ser>
        <c:ser>
          <c:idx val="5"/>
          <c:order val="5"/>
          <c:tx>
            <c:strRef>
              <c:f>'Weekly Data'!$A$99:$A$99</c:f>
              <c:strCache>
                <c:ptCount val="1"/>
                <c:pt idx="0">
                  <c:v>Total Green &amp; B-G</c:v>
                </c:pt>
              </c:strCache>
            </c:strRef>
          </c:tx>
          <c:spPr>
            <a:ln w="12700">
              <a:solidFill>
                <a:srgbClr val="FF0000"/>
              </a:solidFill>
              <a:prstDash val="solid"/>
            </a:ln>
          </c:spPr>
          <c:marker>
            <c:symbol val="star"/>
            <c:size val="5"/>
            <c:spPr>
              <a:no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Data'!$E$99:$BD$99</c:f>
              <c:numCache>
                <c:formatCode>#,##0;[Red]\-#,##0</c:formatCode>
                <c:ptCount val="52"/>
                <c:pt idx="0">
                  <c:v>0</c:v>
                </c:pt>
                <c:pt idx="1">
                  <c:v>1500</c:v>
                </c:pt>
                <c:pt idx="2">
                  <c:v>480</c:v>
                </c:pt>
                <c:pt idx="3">
                  <c:v>380</c:v>
                </c:pt>
                <c:pt idx="4">
                  <c:v>360</c:v>
                </c:pt>
                <c:pt idx="5">
                  <c:v>380</c:v>
                </c:pt>
                <c:pt idx="6">
                  <c:v>840</c:v>
                </c:pt>
                <c:pt idx="7">
                  <c:v>660</c:v>
                </c:pt>
                <c:pt idx="8">
                  <c:v>0</c:v>
                </c:pt>
                <c:pt idx="9">
                  <c:v>420</c:v>
                </c:pt>
                <c:pt idx="10">
                  <c:v>830</c:v>
                </c:pt>
                <c:pt idx="11">
                  <c:v>2480</c:v>
                </c:pt>
                <c:pt idx="12">
                  <c:v>10760</c:v>
                </c:pt>
                <c:pt idx="13">
                  <c:v>16540</c:v>
                </c:pt>
                <c:pt idx="14">
                  <c:v>15460</c:v>
                </c:pt>
                <c:pt idx="15">
                  <c:v>7780</c:v>
                </c:pt>
                <c:pt idx="16">
                  <c:v>7660</c:v>
                </c:pt>
                <c:pt idx="17">
                  <c:v>2760</c:v>
                </c:pt>
                <c:pt idx="18">
                  <c:v>1826</c:v>
                </c:pt>
                <c:pt idx="19">
                  <c:v>1426</c:v>
                </c:pt>
                <c:pt idx="20">
                  <c:v>1041</c:v>
                </c:pt>
                <c:pt idx="21">
                  <c:v>1449.2</c:v>
                </c:pt>
                <c:pt idx="22">
                  <c:v>1889.2</c:v>
                </c:pt>
                <c:pt idx="23">
                  <c:v>2630</c:v>
                </c:pt>
                <c:pt idx="24">
                  <c:v>4800</c:v>
                </c:pt>
                <c:pt idx="25">
                  <c:v>4360</c:v>
                </c:pt>
                <c:pt idx="26">
                  <c:v>0</c:v>
                </c:pt>
                <c:pt idx="27">
                  <c:v>2460</c:v>
                </c:pt>
                <c:pt idx="28">
                  <c:v>1380</c:v>
                </c:pt>
                <c:pt idx="29">
                  <c:v>4740</c:v>
                </c:pt>
                <c:pt idx="30">
                  <c:v>2700</c:v>
                </c:pt>
                <c:pt idx="31">
                  <c:v>2270</c:v>
                </c:pt>
                <c:pt idx="32">
                  <c:v>3090</c:v>
                </c:pt>
                <c:pt idx="33">
                  <c:v>6820</c:v>
                </c:pt>
                <c:pt idx="34">
                  <c:v>4620</c:v>
                </c:pt>
                <c:pt idx="35">
                  <c:v>7050</c:v>
                </c:pt>
                <c:pt idx="36">
                  <c:v>10020</c:v>
                </c:pt>
                <c:pt idx="37">
                  <c:v>9720</c:v>
                </c:pt>
                <c:pt idx="38">
                  <c:v>13980</c:v>
                </c:pt>
                <c:pt idx="39">
                  <c:v>14760</c:v>
                </c:pt>
                <c:pt idx="40">
                  <c:v>14340</c:v>
                </c:pt>
                <c:pt idx="41">
                  <c:v>15840</c:v>
                </c:pt>
                <c:pt idx="42">
                  <c:v>7200</c:v>
                </c:pt>
                <c:pt idx="43">
                  <c:v>820</c:v>
                </c:pt>
                <c:pt idx="44">
                  <c:v>0</c:v>
                </c:pt>
                <c:pt idx="45">
                  <c:v>640</c:v>
                </c:pt>
                <c:pt idx="46">
                  <c:v>460</c:v>
                </c:pt>
                <c:pt idx="47">
                  <c:v>620</c:v>
                </c:pt>
                <c:pt idx="48">
                  <c:v>560</c:v>
                </c:pt>
                <c:pt idx="49">
                  <c:v>480</c:v>
                </c:pt>
                <c:pt idx="50">
                  <c:v>660</c:v>
                </c:pt>
                <c:pt idx="51">
                  <c:v>0</c:v>
                </c:pt>
              </c:numCache>
            </c:numRef>
          </c:yVal>
          <c:smooth val="0"/>
          <c:extLst>
            <c:ext xmlns:c16="http://schemas.microsoft.com/office/drawing/2014/chart" uri="{C3380CC4-5D6E-409C-BE32-E72D297353CC}">
              <c16:uniqueId val="{00000004-0F38-4164-95C1-10B21FDEB3B0}"/>
            </c:ext>
          </c:extLst>
        </c:ser>
        <c:dLbls>
          <c:showLegendKey val="0"/>
          <c:showVal val="0"/>
          <c:showCatName val="0"/>
          <c:showSerName val="0"/>
          <c:showPercent val="0"/>
          <c:showBubbleSize val="0"/>
        </c:dLbls>
        <c:axId val="444434207"/>
        <c:axId val="1"/>
      </c:scatterChart>
      <c:scatterChart>
        <c:scatterStyle val="lineMarker"/>
        <c:varyColors val="0"/>
        <c:ser>
          <c:idx val="4"/>
          <c:order val="4"/>
          <c:tx>
            <c:strRef>
              <c:f>'Weekly Data'!$A$52:$A$52</c:f>
              <c:strCache>
                <c:ptCount val="1"/>
                <c:pt idx="0">
                  <c:v>Chlorophyll a</c:v>
                </c:pt>
              </c:strCache>
            </c:strRef>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5-0F38-4164-95C1-10B21FDEB3B0}"/>
            </c:ext>
          </c:extLst>
        </c:ser>
        <c:dLbls>
          <c:showLegendKey val="0"/>
          <c:showVal val="0"/>
          <c:showCatName val="0"/>
          <c:showSerName val="0"/>
          <c:showPercent val="0"/>
          <c:showBubbleSize val="0"/>
        </c:dLbls>
        <c:axId val="3"/>
        <c:axId val="4"/>
      </c:scatterChart>
      <c:valAx>
        <c:axId val="444434207"/>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7730249511743783"/>
              <c:y val="0.9560113140335985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400" b="1" i="0" u="none" strike="noStrike" baseline="0">
                    <a:solidFill>
                      <a:srgbClr val="000000"/>
                    </a:solidFill>
                    <a:latin typeface="Times New Roman"/>
                    <a:ea typeface="Times New Roman"/>
                    <a:cs typeface="Times New Roman"/>
                  </a:defRPr>
                </a:pPr>
                <a:r>
                  <a:rPr lang="en-US"/>
                  <a:t>Counts per Litre (x 10 -3)</a:t>
                </a:r>
              </a:p>
            </c:rich>
          </c:tx>
          <c:layout>
            <c:manualLayout>
              <c:xMode val="edge"/>
              <c:yMode val="edge"/>
              <c:x val="1.2508617113422509E-2"/>
              <c:y val="0.4514811400394798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420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1" i="0" u="none" strike="noStrike" baseline="0">
                    <a:solidFill>
                      <a:srgbClr val="008000"/>
                    </a:solidFill>
                    <a:latin typeface="Arial MT"/>
                    <a:ea typeface="Arial MT"/>
                    <a:cs typeface="Arial MT"/>
                  </a:defRPr>
                </a:pPr>
                <a:r>
                  <a:rPr lang="en-US"/>
                  <a:t>Chlorophyl A (µg/L)</a:t>
                </a:r>
              </a:p>
            </c:rich>
          </c:tx>
          <c:layout>
            <c:manualLayout>
              <c:xMode val="edge"/>
              <c:yMode val="edge"/>
              <c:x val="0.94670481100534576"/>
              <c:y val="0.4638968713905655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500" b="1" i="0" u="none" strike="noStrike" baseline="0">
                <a:solidFill>
                  <a:srgbClr val="008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891630988723054"/>
          <c:y val="5.6435142504934976E-2"/>
          <c:w val="0.10204398171476257"/>
          <c:h val="0.15688969616371923"/>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0" i="0" u="none" strike="noStrike" baseline="0">
                <a:solidFill>
                  <a:srgbClr val="000000"/>
                </a:solidFill>
                <a:latin typeface="Arial MT"/>
                <a:ea typeface="Arial MT"/>
                <a:cs typeface="Arial MT"/>
              </a:defRPr>
            </a:pPr>
            <a:r>
              <a:rPr lang="en-US"/>
              <a:t>PreCl2 vs Raw Total Fe &amp; Mn</a:t>
            </a:r>
          </a:p>
        </c:rich>
      </c:tx>
      <c:layout>
        <c:manualLayout>
          <c:xMode val="edge"/>
          <c:yMode val="edge"/>
          <c:x val="0.37172193504998818"/>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8027789838317056E-2"/>
          <c:y val="0.24701545878973338"/>
          <c:w val="0.91055426214014801"/>
          <c:h val="0.67249142525134464"/>
        </c:manualLayout>
      </c:layout>
      <c:scatterChart>
        <c:scatterStyle val="lineMarker"/>
        <c:varyColors val="0"/>
        <c:ser>
          <c:idx val="0"/>
          <c:order val="0"/>
          <c:tx>
            <c:strRef>
              <c:f>'Weekly Data'!$A$55:$A$55</c:f>
              <c:strCache>
                <c:ptCount val="1"/>
                <c:pt idx="0">
                  <c:v>Iron (total)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Data'!$F$55:$BD$55</c:f>
              <c:numCache>
                <c:formatCode>0.00</c:formatCode>
                <c:ptCount val="51"/>
                <c:pt idx="3">
                  <c:v>0.05</c:v>
                </c:pt>
                <c:pt idx="4">
                  <c:v>0.09</c:v>
                </c:pt>
                <c:pt idx="6">
                  <c:v>7.0000000000000007E-2</c:v>
                </c:pt>
                <c:pt idx="8">
                  <c:v>7.0000000000000007E-2</c:v>
                </c:pt>
                <c:pt idx="10">
                  <c:v>0.05</c:v>
                </c:pt>
                <c:pt idx="11">
                  <c:v>0.05</c:v>
                </c:pt>
                <c:pt idx="12">
                  <c:v>0.08</c:v>
                </c:pt>
                <c:pt idx="13">
                  <c:v>0.08</c:v>
                </c:pt>
                <c:pt idx="15">
                  <c:v>0.1</c:v>
                </c:pt>
                <c:pt idx="16">
                  <c:v>0.13</c:v>
                </c:pt>
                <c:pt idx="17">
                  <c:v>0.42</c:v>
                </c:pt>
                <c:pt idx="18">
                  <c:v>0.11</c:v>
                </c:pt>
                <c:pt idx="19">
                  <c:v>0.26</c:v>
                </c:pt>
                <c:pt idx="20">
                  <c:v>0.12</c:v>
                </c:pt>
                <c:pt idx="21">
                  <c:v>0.24</c:v>
                </c:pt>
                <c:pt idx="22">
                  <c:v>0.18</c:v>
                </c:pt>
                <c:pt idx="23">
                  <c:v>0.18</c:v>
                </c:pt>
                <c:pt idx="24">
                  <c:v>0.1</c:v>
                </c:pt>
                <c:pt idx="25">
                  <c:v>0.21</c:v>
                </c:pt>
                <c:pt idx="26">
                  <c:v>0.13</c:v>
                </c:pt>
                <c:pt idx="27">
                  <c:v>0.16</c:v>
                </c:pt>
                <c:pt idx="28">
                  <c:v>0.31</c:v>
                </c:pt>
                <c:pt idx="29">
                  <c:v>0.21</c:v>
                </c:pt>
                <c:pt idx="30">
                  <c:v>0.14000000000000001</c:v>
                </c:pt>
                <c:pt idx="31">
                  <c:v>0.1</c:v>
                </c:pt>
                <c:pt idx="32" formatCode="General;[Red]\-General">
                  <c:v>0.15</c:v>
                </c:pt>
                <c:pt idx="33">
                  <c:v>0.1</c:v>
                </c:pt>
                <c:pt idx="34">
                  <c:v>7.0000000000000007E-2</c:v>
                </c:pt>
                <c:pt idx="35">
                  <c:v>0.1</c:v>
                </c:pt>
                <c:pt idx="36">
                  <c:v>7.0000000000000007E-2</c:v>
                </c:pt>
                <c:pt idx="37">
                  <c:v>0.16</c:v>
                </c:pt>
                <c:pt idx="38">
                  <c:v>0.16</c:v>
                </c:pt>
                <c:pt idx="39">
                  <c:v>0.21</c:v>
                </c:pt>
                <c:pt idx="40">
                  <c:v>0.48</c:v>
                </c:pt>
                <c:pt idx="41">
                  <c:v>0.14000000000000001</c:v>
                </c:pt>
                <c:pt idx="42">
                  <c:v>0.17</c:v>
                </c:pt>
                <c:pt idx="44">
                  <c:v>0.26</c:v>
                </c:pt>
                <c:pt idx="45" formatCode="General;[Red]\-General">
                  <c:v>0.17</c:v>
                </c:pt>
                <c:pt idx="46">
                  <c:v>0.09</c:v>
                </c:pt>
                <c:pt idx="47">
                  <c:v>0.08</c:v>
                </c:pt>
                <c:pt idx="48">
                  <c:v>0.03</c:v>
                </c:pt>
                <c:pt idx="49">
                  <c:v>7.0000000000000007E-2</c:v>
                </c:pt>
              </c:numCache>
            </c:numRef>
          </c:yVal>
          <c:smooth val="0"/>
          <c:extLst>
            <c:ext xmlns:c16="http://schemas.microsoft.com/office/drawing/2014/chart" uri="{C3380CC4-5D6E-409C-BE32-E72D297353CC}">
              <c16:uniqueId val="{00000000-0D5F-4FF5-B8CA-DEB4EB7E3390}"/>
            </c:ext>
          </c:extLst>
        </c:ser>
        <c:ser>
          <c:idx val="1"/>
          <c:order val="1"/>
          <c:tx>
            <c:strRef>
              <c:f>'Weekly Data'!$A$57:$A$57</c:f>
              <c:strCache>
                <c:ptCount val="1"/>
                <c:pt idx="0">
                  <c:v>Manganese(total)</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1-0D5F-4FF5-B8CA-DEB4EB7E3390}"/>
            </c:ext>
          </c:extLst>
        </c:ser>
        <c:dLbls>
          <c:showLegendKey val="0"/>
          <c:showVal val="0"/>
          <c:showCatName val="0"/>
          <c:showSerName val="0"/>
          <c:showPercent val="0"/>
          <c:showBubbleSize val="0"/>
        </c:dLbls>
        <c:axId val="444435039"/>
        <c:axId val="1"/>
      </c:scatterChart>
      <c:scatterChart>
        <c:scatterStyle val="lineMarker"/>
        <c:varyColors val="0"/>
        <c:ser>
          <c:idx val="2"/>
          <c:order val="2"/>
          <c:tx>
            <c:strRef>
              <c:f>'Weekly Data'!$A$113:$A$113</c:f>
              <c:strCache>
                <c:ptCount val="1"/>
                <c:pt idx="0">
                  <c:v>Chlorine-pre</c:v>
                </c:pt>
              </c:strCache>
            </c:strRef>
          </c:tx>
          <c:spPr>
            <a:ln w="254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2-0D5F-4FF5-B8CA-DEB4EB7E3390}"/>
            </c:ext>
          </c:extLst>
        </c:ser>
        <c:dLbls>
          <c:showLegendKey val="0"/>
          <c:showVal val="0"/>
          <c:showCatName val="0"/>
          <c:showSerName val="0"/>
          <c:showPercent val="0"/>
          <c:showBubbleSize val="0"/>
        </c:dLbls>
        <c:axId val="3"/>
        <c:axId val="4"/>
      </c:scatterChart>
      <c:valAx>
        <c:axId val="444435039"/>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500" b="0" i="0" u="none" strike="noStrike" baseline="0">
                    <a:solidFill>
                      <a:srgbClr val="000000"/>
                    </a:solidFill>
                    <a:latin typeface="Arial MT"/>
                    <a:ea typeface="Arial MT"/>
                    <a:cs typeface="Arial MT"/>
                  </a:defRPr>
                </a:pPr>
                <a:r>
                  <a:rPr lang="en-US"/>
                  <a:t>Total Iron &amp; Manganese (mg/L)</a:t>
                </a:r>
              </a:p>
            </c:rich>
          </c:tx>
          <c:layout>
            <c:manualLayout>
              <c:xMode val="edge"/>
              <c:yMode val="edge"/>
              <c:x val="3.2895746464600725E-3"/>
              <c:y val="0.4309168355979490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5039"/>
        <c:crosses val="autoZero"/>
        <c:crossBetween val="midCat"/>
        <c:minorUnit val="0.02"/>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0" i="0" u="none" strike="noStrike" baseline="0">
                    <a:solidFill>
                      <a:srgbClr val="000000"/>
                    </a:solidFill>
                    <a:latin typeface="Arial MT"/>
                    <a:ea typeface="Arial MT"/>
                    <a:cs typeface="Arial MT"/>
                  </a:defRPr>
                </a:pPr>
                <a:r>
                  <a:rPr lang="en-US"/>
                  <a:t>Pre Chlorine (mg/L)</a:t>
                </a:r>
              </a:p>
            </c:rich>
          </c:tx>
          <c:layout>
            <c:manualLayout>
              <c:xMode val="edge"/>
              <c:yMode val="edge"/>
              <c:x val="0.97568784014005749"/>
              <c:y val="0.48641370078859392"/>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6580990844351862"/>
          <c:y val="6.6378603463320432E-2"/>
          <c:w val="0.13092507092911088"/>
          <c:h val="9.249477531774157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CW (d)Al vs pH</a:t>
            </a:r>
          </a:p>
        </c:rich>
      </c:tx>
      <c:layout>
        <c:manualLayout>
          <c:xMode val="edge"/>
          <c:yMode val="edge"/>
          <c:x val="0.42801844963273566"/>
          <c:y val="2.5241185159369045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0768051491067406E-2"/>
          <c:y val="0.26563342477240759"/>
          <c:w val="0.90491554937785157"/>
          <c:h val="0.65867473653972552"/>
        </c:manualLayout>
      </c:layout>
      <c:scatterChart>
        <c:scatterStyle val="lineMarker"/>
        <c:varyColors val="0"/>
        <c:ser>
          <c:idx val="0"/>
          <c:order val="0"/>
          <c:tx>
            <c:strRef>
              <c:f>'Weekly Data'!$A$182:$A$182</c:f>
              <c:strCache>
                <c:ptCount val="1"/>
                <c:pt idx="0">
                  <c:v>Aluminum (dissolved 0.45µ)</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0-9F58-40EF-AE1E-8E4B8BF05E08}"/>
            </c:ext>
          </c:extLst>
        </c:ser>
        <c:dLbls>
          <c:showLegendKey val="0"/>
          <c:showVal val="0"/>
          <c:showCatName val="0"/>
          <c:showSerName val="0"/>
          <c:showPercent val="0"/>
          <c:showBubbleSize val="0"/>
        </c:dLbls>
        <c:axId val="444438367"/>
        <c:axId val="1"/>
      </c:scatterChart>
      <c:scatterChart>
        <c:scatterStyle val="lineMarker"/>
        <c:varyColors val="0"/>
        <c:ser>
          <c:idx val="1"/>
          <c:order val="1"/>
          <c:tx>
            <c:strRef>
              <c:f>'Weekly Data'!$A$153:$A$153</c:f>
              <c:strCache>
                <c:ptCount val="1"/>
                <c:pt idx="0">
                  <c:v>pH</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Data'!$E$153:$BD$153</c:f>
              <c:numCache>
                <c:formatCode>0.00</c:formatCode>
                <c:ptCount val="52"/>
                <c:pt idx="0">
                  <c:v>7.27</c:v>
                </c:pt>
                <c:pt idx="1">
                  <c:v>7.46</c:v>
                </c:pt>
                <c:pt idx="2">
                  <c:v>7.43</c:v>
                </c:pt>
                <c:pt idx="3">
                  <c:v>7.38</c:v>
                </c:pt>
                <c:pt idx="4">
                  <c:v>7.25</c:v>
                </c:pt>
                <c:pt idx="5">
                  <c:v>7.24</c:v>
                </c:pt>
                <c:pt idx="6">
                  <c:v>7.42</c:v>
                </c:pt>
                <c:pt idx="7">
                  <c:v>7.24</c:v>
                </c:pt>
                <c:pt idx="9">
                  <c:v>7.4</c:v>
                </c:pt>
                <c:pt idx="10">
                  <c:v>7.1</c:v>
                </c:pt>
                <c:pt idx="11">
                  <c:v>7.26</c:v>
                </c:pt>
                <c:pt idx="12">
                  <c:v>7.28</c:v>
                </c:pt>
                <c:pt idx="13">
                  <c:v>7.2</c:v>
                </c:pt>
                <c:pt idx="14">
                  <c:v>7.41</c:v>
                </c:pt>
                <c:pt idx="15">
                  <c:v>7.46</c:v>
                </c:pt>
                <c:pt idx="16">
                  <c:v>7.43</c:v>
                </c:pt>
                <c:pt idx="17">
                  <c:v>7.25</c:v>
                </c:pt>
                <c:pt idx="18">
                  <c:v>7.32</c:v>
                </c:pt>
                <c:pt idx="19">
                  <c:v>7.32</c:v>
                </c:pt>
                <c:pt idx="20">
                  <c:v>7.3</c:v>
                </c:pt>
                <c:pt idx="21">
                  <c:v>7.27</c:v>
                </c:pt>
                <c:pt idx="22">
                  <c:v>7.58</c:v>
                </c:pt>
                <c:pt idx="23">
                  <c:v>7.34</c:v>
                </c:pt>
                <c:pt idx="24">
                  <c:v>7.41</c:v>
                </c:pt>
                <c:pt idx="25">
                  <c:v>7.45</c:v>
                </c:pt>
                <c:pt idx="26">
                  <c:v>7.64</c:v>
                </c:pt>
                <c:pt idx="27">
                  <c:v>7.36</c:v>
                </c:pt>
                <c:pt idx="28">
                  <c:v>7.39</c:v>
                </c:pt>
                <c:pt idx="29">
                  <c:v>7.39</c:v>
                </c:pt>
                <c:pt idx="30">
                  <c:v>7.44</c:v>
                </c:pt>
                <c:pt idx="31">
                  <c:v>7.33</c:v>
                </c:pt>
                <c:pt idx="32">
                  <c:v>7.26</c:v>
                </c:pt>
                <c:pt idx="33" formatCode="General;[Red]\-General">
                  <c:v>7.19</c:v>
                </c:pt>
                <c:pt idx="34">
                  <c:v>7.08</c:v>
                </c:pt>
                <c:pt idx="35">
                  <c:v>7.14</c:v>
                </c:pt>
                <c:pt idx="36">
                  <c:v>7.25</c:v>
                </c:pt>
                <c:pt idx="37">
                  <c:v>7.19</c:v>
                </c:pt>
                <c:pt idx="38">
                  <c:v>7.25</c:v>
                </c:pt>
                <c:pt idx="39">
                  <c:v>7.19</c:v>
                </c:pt>
                <c:pt idx="40">
                  <c:v>7.26</c:v>
                </c:pt>
                <c:pt idx="41">
                  <c:v>7.3</c:v>
                </c:pt>
                <c:pt idx="42">
                  <c:v>7.31</c:v>
                </c:pt>
                <c:pt idx="43">
                  <c:v>7.18</c:v>
                </c:pt>
                <c:pt idx="44">
                  <c:v>7.2</c:v>
                </c:pt>
                <c:pt idx="45">
                  <c:v>7.08</c:v>
                </c:pt>
                <c:pt idx="46" formatCode="General;[Red]\-General">
                  <c:v>7.33</c:v>
                </c:pt>
                <c:pt idx="47">
                  <c:v>7.43</c:v>
                </c:pt>
                <c:pt idx="48">
                  <c:v>7.14</c:v>
                </c:pt>
                <c:pt idx="49">
                  <c:v>7.33</c:v>
                </c:pt>
                <c:pt idx="50">
                  <c:v>7.3</c:v>
                </c:pt>
                <c:pt idx="51">
                  <c:v>7.3</c:v>
                </c:pt>
              </c:numCache>
            </c:numRef>
          </c:yVal>
          <c:smooth val="0"/>
          <c:extLst>
            <c:ext xmlns:c16="http://schemas.microsoft.com/office/drawing/2014/chart" uri="{C3380CC4-5D6E-409C-BE32-E72D297353CC}">
              <c16:uniqueId val="{00000001-9F58-40EF-AE1E-8E4B8BF05E08}"/>
            </c:ext>
          </c:extLst>
        </c:ser>
        <c:dLbls>
          <c:showLegendKey val="0"/>
          <c:showVal val="0"/>
          <c:showCatName val="0"/>
          <c:showSerName val="0"/>
          <c:showPercent val="0"/>
          <c:showBubbleSize val="0"/>
        </c:dLbls>
        <c:axId val="3"/>
        <c:axId val="4"/>
      </c:scatterChart>
      <c:valAx>
        <c:axId val="444438367"/>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title>
          <c:tx>
            <c:rich>
              <a:bodyPr/>
              <a:lstStyle/>
              <a:p>
                <a:pPr>
                  <a:defRPr sz="1500" b="1" i="0" u="none" strike="noStrike" baseline="0">
                    <a:solidFill>
                      <a:srgbClr val="000000"/>
                    </a:solidFill>
                    <a:latin typeface="Arial"/>
                    <a:ea typeface="Arial"/>
                    <a:cs typeface="Arial"/>
                  </a:defRPr>
                </a:pPr>
                <a:r>
                  <a:rPr lang="en-US"/>
                  <a:t>Dissolved Aluminum (µg/L)</a:t>
                </a:r>
              </a:p>
            </c:rich>
          </c:tx>
          <c:layout>
            <c:manualLayout>
              <c:xMode val="edge"/>
              <c:yMode val="edge"/>
              <c:x val="1.1889401378687102E-2"/>
              <c:y val="0.4399177984918605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4438367"/>
        <c:crosses val="autoZero"/>
        <c:crossBetween val="midCat"/>
        <c:majorUnit val="25"/>
        <c:minorUnit val="5"/>
      </c:valAx>
      <c:valAx>
        <c:axId val="3"/>
        <c:scaling>
          <c:orientation val="minMax"/>
        </c:scaling>
        <c:delete val="1"/>
        <c:axPos val="b"/>
        <c:numFmt formatCode="dd\-mmm" sourceLinked="1"/>
        <c:majorTickMark val="out"/>
        <c:minorTickMark val="none"/>
        <c:tickLblPos val="nextTo"/>
        <c:crossAx val="4"/>
        <c:crosses val="autoZero"/>
        <c:crossBetween val="midCat"/>
        <c:majorUnit val="30.4375"/>
        <c:minorUnit val="15.21875"/>
      </c:valAx>
      <c:valAx>
        <c:axId val="4"/>
        <c:scaling>
          <c:orientation val="minMax"/>
        </c:scaling>
        <c:delete val="0"/>
        <c:axPos val="r"/>
        <c:title>
          <c:tx>
            <c:rich>
              <a:bodyPr/>
              <a:lstStyle/>
              <a:p>
                <a:pPr>
                  <a:defRPr sz="1500" b="1" i="0" u="none" strike="noStrike" baseline="0">
                    <a:solidFill>
                      <a:srgbClr val="000000"/>
                    </a:solidFill>
                    <a:latin typeface="Arial"/>
                    <a:ea typeface="Arial"/>
                    <a:cs typeface="Arial"/>
                  </a:defRPr>
                </a:pPr>
                <a:r>
                  <a:rPr lang="en-US"/>
                  <a:t>pH</a:t>
                </a:r>
              </a:p>
            </c:rich>
          </c:tx>
          <c:layout>
            <c:manualLayout>
              <c:xMode val="edge"/>
              <c:yMode val="edge"/>
              <c:x val="0.97360986845471043"/>
              <c:y val="0.57573941387322725"/>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66184334341358197"/>
          <c:y val="0.11779219741038888"/>
          <c:w val="0.15522274022174826"/>
          <c:h val="5.8896098705194438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MT"/>
                <a:ea typeface="Arial MT"/>
                <a:cs typeface="Arial MT"/>
              </a:defRPr>
            </a:pPr>
            <a:r>
              <a:rPr lang="en-US"/>
              <a:t>% Error Comparison of CW Data
With and Without Si 4+ Added to Calculation</a:t>
            </a:r>
          </a:p>
        </c:rich>
      </c:tx>
      <c:layout>
        <c:manualLayout>
          <c:xMode val="edge"/>
          <c:yMode val="edge"/>
          <c:x val="0.30398297106560596"/>
          <c:y val="2.558478991192124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086313268849638E-2"/>
          <c:y val="0.29366889290205261"/>
          <c:w val="0.86757667123299298"/>
          <c:h val="0.57398919976310281"/>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Data'!$E$295:$BD$295</c:f>
              <c:numCache>
                <c:formatCode>0.00</c:formatCode>
                <c:ptCount val="52"/>
                <c:pt idx="0">
                  <c:v>0</c:v>
                </c:pt>
                <c:pt idx="1">
                  <c:v>1.4361910062480585</c:v>
                </c:pt>
                <c:pt idx="2">
                  <c:v>1.0981695870856159</c:v>
                </c:pt>
                <c:pt idx="3">
                  <c:v>2.3397298107111655</c:v>
                </c:pt>
                <c:pt idx="4">
                  <c:v>1.6473735658795048</c:v>
                </c:pt>
                <c:pt idx="5">
                  <c:v>1.9122758549795333</c:v>
                </c:pt>
                <c:pt idx="6">
                  <c:v>0</c:v>
                </c:pt>
                <c:pt idx="7">
                  <c:v>0.44067835444437919</c:v>
                </c:pt>
                <c:pt idx="8">
                  <c:v>0</c:v>
                </c:pt>
                <c:pt idx="9">
                  <c:v>0.27791585421937909</c:v>
                </c:pt>
                <c:pt idx="10">
                  <c:v>0.88202293754459937</c:v>
                </c:pt>
                <c:pt idx="11">
                  <c:v>0.34667455517022328</c:v>
                </c:pt>
                <c:pt idx="12">
                  <c:v>6.6685527219819143E-2</c:v>
                </c:pt>
                <c:pt idx="13">
                  <c:v>2.5790535704347302</c:v>
                </c:pt>
                <c:pt idx="14">
                  <c:v>1.2836074329032394</c:v>
                </c:pt>
                <c:pt idx="15">
                  <c:v>2.6889878265673874E-2</c:v>
                </c:pt>
                <c:pt idx="16">
                  <c:v>2.4094766443520701</c:v>
                </c:pt>
                <c:pt idx="17">
                  <c:v>2.1729635115554453</c:v>
                </c:pt>
                <c:pt idx="18">
                  <c:v>3.4783959646243581</c:v>
                </c:pt>
                <c:pt idx="19">
                  <c:v>0.92597782585788146</c:v>
                </c:pt>
                <c:pt idx="20">
                  <c:v>3.3736513956984107</c:v>
                </c:pt>
                <c:pt idx="21">
                  <c:v>1.2446314863814398</c:v>
                </c:pt>
                <c:pt idx="22">
                  <c:v>0.67733085101169999</c:v>
                </c:pt>
                <c:pt idx="23">
                  <c:v>1.0090150209155735</c:v>
                </c:pt>
                <c:pt idx="24">
                  <c:v>0.32219178426667078</c:v>
                </c:pt>
                <c:pt idx="25">
                  <c:v>0.35863407478088444</c:v>
                </c:pt>
                <c:pt idx="26">
                  <c:v>0</c:v>
                </c:pt>
                <c:pt idx="27">
                  <c:v>0.24216279810780131</c:v>
                </c:pt>
                <c:pt idx="28">
                  <c:v>1.9441827111492811</c:v>
                </c:pt>
                <c:pt idx="29">
                  <c:v>0.34055246341680395</c:v>
                </c:pt>
                <c:pt idx="30">
                  <c:v>2.5777372193123824</c:v>
                </c:pt>
                <c:pt idx="31">
                  <c:v>2.8710851494046157</c:v>
                </c:pt>
                <c:pt idx="32">
                  <c:v>2.3918450781935316</c:v>
                </c:pt>
                <c:pt idx="33">
                  <c:v>2.6906796797066543</c:v>
                </c:pt>
                <c:pt idx="34">
                  <c:v>2.0272891819561298</c:v>
                </c:pt>
                <c:pt idx="35">
                  <c:v>2.3922413409095253</c:v>
                </c:pt>
                <c:pt idx="36">
                  <c:v>0.5155914421859793</c:v>
                </c:pt>
                <c:pt idx="37">
                  <c:v>0.74960837303867822</c:v>
                </c:pt>
                <c:pt idx="38">
                  <c:v>4.6790866422893082E-2</c:v>
                </c:pt>
                <c:pt idx="39">
                  <c:v>1.0867396385610686</c:v>
                </c:pt>
                <c:pt idx="40">
                  <c:v>1.0964537795992659</c:v>
                </c:pt>
                <c:pt idx="41">
                  <c:v>0.14058384051390582</c:v>
                </c:pt>
                <c:pt idx="42">
                  <c:v>0.48905559211157368</c:v>
                </c:pt>
                <c:pt idx="43">
                  <c:v>4.0379567938638103E-2</c:v>
                </c:pt>
                <c:pt idx="44">
                  <c:v>1.9317739634225417</c:v>
                </c:pt>
                <c:pt idx="45">
                  <c:v>1.5351815333034249</c:v>
                </c:pt>
                <c:pt idx="46">
                  <c:v>1.0506940056030141</c:v>
                </c:pt>
                <c:pt idx="47">
                  <c:v>0.16062166406099113</c:v>
                </c:pt>
                <c:pt idx="48">
                  <c:v>2.2798762919298974</c:v>
                </c:pt>
                <c:pt idx="49">
                  <c:v>1.763488941222866</c:v>
                </c:pt>
                <c:pt idx="50">
                  <c:v>2.2088857873923979</c:v>
                </c:pt>
                <c:pt idx="51">
                  <c:v>0</c:v>
                </c:pt>
              </c:numCache>
            </c:numRef>
          </c:yVal>
          <c:smooth val="0"/>
          <c:extLst>
            <c:ext xmlns:c16="http://schemas.microsoft.com/office/drawing/2014/chart" uri="{C3380CC4-5D6E-409C-BE32-E72D297353CC}">
              <c16:uniqueId val="{00000000-8B79-4DD4-83D9-CCDCE95E1DAF}"/>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Data'!$E$342:$BD$342</c:f>
              <c:numCache>
                <c:formatCode>0.00</c:formatCode>
                <c:ptCount val="52"/>
                <c:pt idx="0">
                  <c:v>0</c:v>
                </c:pt>
                <c:pt idx="1">
                  <c:v>3.979975747226177</c:v>
                </c:pt>
                <c:pt idx="2">
                  <c:v>3.7629209082066422</c:v>
                </c:pt>
                <c:pt idx="3">
                  <c:v>4.9319260942883538</c:v>
                </c:pt>
                <c:pt idx="4">
                  <c:v>4.3270793321562255</c:v>
                </c:pt>
                <c:pt idx="5">
                  <c:v>4.6216527343495617</c:v>
                </c:pt>
                <c:pt idx="6">
                  <c:v>0</c:v>
                </c:pt>
                <c:pt idx="7">
                  <c:v>3.1351690475613037</c:v>
                </c:pt>
                <c:pt idx="8">
                  <c:v>0</c:v>
                </c:pt>
                <c:pt idx="9">
                  <c:v>3.1170742992634728</c:v>
                </c:pt>
                <c:pt idx="10">
                  <c:v>3.7509414552501155</c:v>
                </c:pt>
                <c:pt idx="11">
                  <c:v>3.3404653995593834</c:v>
                </c:pt>
                <c:pt idx="12">
                  <c:v>3.0293869851083652</c:v>
                </c:pt>
                <c:pt idx="13">
                  <c:v>5.3803424336353283</c:v>
                </c:pt>
                <c:pt idx="14">
                  <c:v>4.0417634988692885</c:v>
                </c:pt>
                <c:pt idx="15">
                  <c:v>2.5854755240162937</c:v>
                </c:pt>
                <c:pt idx="16">
                  <c:v>5.087456539312897</c:v>
                </c:pt>
                <c:pt idx="17">
                  <c:v>4.4434122993380578</c:v>
                </c:pt>
                <c:pt idx="18">
                  <c:v>1.1232325371551983</c:v>
                </c:pt>
                <c:pt idx="19">
                  <c:v>3.2823221117698043</c:v>
                </c:pt>
                <c:pt idx="20">
                  <c:v>5.5340879010142388</c:v>
                </c:pt>
                <c:pt idx="21">
                  <c:v>3.5679792048721701</c:v>
                </c:pt>
                <c:pt idx="22">
                  <c:v>3.1807352599774532</c:v>
                </c:pt>
                <c:pt idx="23">
                  <c:v>3.5854443402158713</c:v>
                </c:pt>
                <c:pt idx="24">
                  <c:v>3.0483782368275012</c:v>
                </c:pt>
                <c:pt idx="25">
                  <c:v>3.5188166806526588</c:v>
                </c:pt>
                <c:pt idx="26">
                  <c:v>0</c:v>
                </c:pt>
                <c:pt idx="27">
                  <c:v>3.575223113020229</c:v>
                </c:pt>
                <c:pt idx="28">
                  <c:v>5.4079972703651613</c:v>
                </c:pt>
                <c:pt idx="29">
                  <c:v>4.2104779491333177</c:v>
                </c:pt>
                <c:pt idx="30">
                  <c:v>1.4477227492269988</c:v>
                </c:pt>
                <c:pt idx="31">
                  <c:v>7.1360925902062879</c:v>
                </c:pt>
                <c:pt idx="32">
                  <c:v>6.9592401951829164</c:v>
                </c:pt>
                <c:pt idx="33">
                  <c:v>7.4581415795840913</c:v>
                </c:pt>
                <c:pt idx="34">
                  <c:v>6.9189109199010144</c:v>
                </c:pt>
                <c:pt idx="35">
                  <c:v>7.4170774665099195</c:v>
                </c:pt>
                <c:pt idx="36">
                  <c:v>5.7300212505485595</c:v>
                </c:pt>
                <c:pt idx="37">
                  <c:v>6.3175147317597107</c:v>
                </c:pt>
                <c:pt idx="38">
                  <c:v>4.8873490924658016</c:v>
                </c:pt>
                <c:pt idx="39">
                  <c:v>5.9757894269660934</c:v>
                </c:pt>
                <c:pt idx="40">
                  <c:v>6.1547884666998112</c:v>
                </c:pt>
                <c:pt idx="41">
                  <c:v>4.705646562805371</c:v>
                </c:pt>
                <c:pt idx="42">
                  <c:v>5.2738624204848339</c:v>
                </c:pt>
                <c:pt idx="43">
                  <c:v>4.5425208789661431</c:v>
                </c:pt>
                <c:pt idx="44">
                  <c:v>6.6782169995152101</c:v>
                </c:pt>
                <c:pt idx="45">
                  <c:v>6.0051930306667298</c:v>
                </c:pt>
                <c:pt idx="46">
                  <c:v>5.4583859504510563</c:v>
                </c:pt>
                <c:pt idx="47">
                  <c:v>4.288415488457276</c:v>
                </c:pt>
                <c:pt idx="48">
                  <c:v>2.0238024275833792</c:v>
                </c:pt>
                <c:pt idx="49">
                  <c:v>5.730836234171421</c:v>
                </c:pt>
                <c:pt idx="50">
                  <c:v>6.2105573885829539</c:v>
                </c:pt>
                <c:pt idx="51">
                  <c:v>0</c:v>
                </c:pt>
              </c:numCache>
            </c:numRef>
          </c:yVal>
          <c:smooth val="0"/>
          <c:extLst>
            <c:ext xmlns:c16="http://schemas.microsoft.com/office/drawing/2014/chart" uri="{C3380CC4-5D6E-409C-BE32-E72D297353CC}">
              <c16:uniqueId val="{00000001-8B79-4DD4-83D9-CCDCE95E1DAF}"/>
            </c:ext>
          </c:extLst>
        </c:ser>
        <c:dLbls>
          <c:showLegendKey val="0"/>
          <c:showVal val="0"/>
          <c:showCatName val="0"/>
          <c:showSerName val="0"/>
          <c:showPercent val="0"/>
          <c:showBubbleSize val="0"/>
        </c:dLbls>
        <c:axId val="415880047"/>
        <c:axId val="1"/>
      </c:scatterChart>
      <c:valAx>
        <c:axId val="415880047"/>
        <c:scaling>
          <c:orientation val="minMax"/>
        </c:scaling>
        <c:delete val="0"/>
        <c:axPos val="b"/>
        <c:majorGridlines>
          <c:spPr>
            <a:ln w="3175">
              <a:solidFill>
                <a:srgbClr val="000000"/>
              </a:solidFill>
              <a:prstDash val="solid"/>
            </a:ln>
          </c:spPr>
        </c:majorGridlines>
        <c:numFmt formatCode="dd\-mmm\-yy" sourceLinked="0"/>
        <c:majorTickMark val="in"/>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MT"/>
                    <a:ea typeface="Arial MT"/>
                    <a:cs typeface="Arial MT"/>
                  </a:defRPr>
                </a:pPr>
                <a:r>
                  <a:rPr lang="en-US"/>
                  <a:t>% Error</a:t>
                </a:r>
              </a:p>
            </c:rich>
          </c:tx>
          <c:layout>
            <c:manualLayout>
              <c:xMode val="edge"/>
              <c:yMode val="edge"/>
              <c:x val="4.6359058768175197E-3"/>
              <c:y val="0.52504438427942735"/>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15880047"/>
        <c:crosses val="autoZero"/>
        <c:crossBetween val="midCat"/>
      </c:valAx>
      <c:spPr>
        <a:solidFill>
          <a:srgbClr val="FFFFFF"/>
        </a:solidFill>
        <a:ln w="3175">
          <a:solidFill>
            <a:srgbClr val="000000"/>
          </a:solidFill>
          <a:prstDash val="solid"/>
        </a:ln>
      </c:spPr>
    </c:plotArea>
    <c:legend>
      <c:legendPos val="r"/>
      <c:layout>
        <c:manualLayout>
          <c:xMode val="edge"/>
          <c:yMode val="edge"/>
          <c:x val="0.75763947472560611"/>
          <c:y val="0.13682300692027449"/>
          <c:w val="0.12053355279725551"/>
          <c:h val="5.6731490674260157E-2"/>
        </c:manualLayout>
      </c:layout>
      <c:overlay val="0"/>
      <c:spPr>
        <a:solidFill>
          <a:srgbClr val="FFFFFF"/>
        </a:solidFill>
        <a:ln w="3175">
          <a:solidFill>
            <a:srgbClr val="000000"/>
          </a:solidFill>
          <a:prstDash val="solid"/>
        </a:ln>
      </c:spPr>
      <c:txPr>
        <a:bodyPr/>
        <a:lstStyle/>
        <a:p>
          <a:pPr>
            <a:defRPr sz="1195"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Alum to Raw DOC
vs Clearwell and PreGAC Total Aluminum</a:t>
            </a:r>
          </a:p>
        </c:rich>
      </c:tx>
      <c:layout>
        <c:manualLayout>
          <c:xMode val="edge"/>
          <c:yMode val="edge"/>
          <c:x val="0.3025245343095273"/>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5658632186517841E-2"/>
          <c:y val="0.30044785256378864"/>
          <c:w val="0.86202496517860816"/>
          <c:h val="0.62172968030535825"/>
        </c:manualLayout>
      </c:layout>
      <c:scatterChart>
        <c:scatterStyle val="lineMarker"/>
        <c:varyColors val="0"/>
        <c:ser>
          <c:idx val="0"/>
          <c:order val="0"/>
          <c:tx>
            <c:strRef>
              <c:f>'Weekly Data'!$A$112:$A$112</c:f>
              <c:strCache>
                <c:ptCount val="1"/>
                <c:pt idx="0">
                  <c:v>Alum\Raw DOC</c:v>
                </c:pt>
              </c:strCache>
            </c:strRef>
          </c:tx>
          <c:spPr>
            <a:ln w="127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Data'!$E$112:$BD$112</c:f>
              <c:numCache>
                <c:formatCode>0.00</c:formatCode>
                <c:ptCount val="52"/>
                <c:pt idx="0">
                  <c:v>7.3170731707317076</c:v>
                </c:pt>
                <c:pt idx="1">
                  <c:v>6.7415730337078648</c:v>
                </c:pt>
                <c:pt idx="2">
                  <c:v>7.3170731707317076</c:v>
                </c:pt>
                <c:pt idx="3">
                  <c:v>7.2289156626506017</c:v>
                </c:pt>
                <c:pt idx="4">
                  <c:v>7.5949367088607591</c:v>
                </c:pt>
                <c:pt idx="5">
                  <c:v>7.3170731707317076</c:v>
                </c:pt>
                <c:pt idx="6">
                  <c:v>7.6923076923076925</c:v>
                </c:pt>
                <c:pt idx="7">
                  <c:v>7.5</c:v>
                </c:pt>
                <c:pt idx="8">
                  <c:v>0</c:v>
                </c:pt>
                <c:pt idx="9">
                  <c:v>8.0246913580246915</c:v>
                </c:pt>
                <c:pt idx="10">
                  <c:v>7.9268292682926838</c:v>
                </c:pt>
                <c:pt idx="11">
                  <c:v>8.6666666666666661</c:v>
                </c:pt>
                <c:pt idx="12">
                  <c:v>9.1549295774647899</c:v>
                </c:pt>
                <c:pt idx="13">
                  <c:v>9.0909090909090899</c:v>
                </c:pt>
                <c:pt idx="14">
                  <c:v>9.5394736842105274</c:v>
                </c:pt>
                <c:pt idx="15">
                  <c:v>9.6052631578947381</c:v>
                </c:pt>
                <c:pt idx="16">
                  <c:v>9.0625</c:v>
                </c:pt>
                <c:pt idx="17">
                  <c:v>10.984848484848486</c:v>
                </c:pt>
                <c:pt idx="18">
                  <c:v>10</c:v>
                </c:pt>
                <c:pt idx="19">
                  <c:v>10.294117647058824</c:v>
                </c:pt>
                <c:pt idx="20">
                  <c:v>10</c:v>
                </c:pt>
                <c:pt idx="21">
                  <c:v>9.5588235294117645</c:v>
                </c:pt>
                <c:pt idx="22">
                  <c:v>9.7014925373134329</c:v>
                </c:pt>
                <c:pt idx="23">
                  <c:v>8.5526315789473681</c:v>
                </c:pt>
                <c:pt idx="24">
                  <c:v>9.8591549295774659</c:v>
                </c:pt>
                <c:pt idx="25">
                  <c:v>8.536585365853659</c:v>
                </c:pt>
                <c:pt idx="26">
                  <c:v>9.0909090909090899</c:v>
                </c:pt>
                <c:pt idx="27">
                  <c:v>9.2105263157894743</c:v>
                </c:pt>
                <c:pt idx="28">
                  <c:v>9.4594594594594597</c:v>
                </c:pt>
                <c:pt idx="29">
                  <c:v>9.3333333333333339</c:v>
                </c:pt>
                <c:pt idx="30">
                  <c:v>9.2105263157894743</c:v>
                </c:pt>
                <c:pt idx="31">
                  <c:v>9.4594594594594597</c:v>
                </c:pt>
                <c:pt idx="32">
                  <c:v>11.428571428571429</c:v>
                </c:pt>
                <c:pt idx="33">
                  <c:v>10.526315789473685</c:v>
                </c:pt>
                <c:pt idx="34">
                  <c:v>12.162162162162161</c:v>
                </c:pt>
                <c:pt idx="35">
                  <c:v>12.5</c:v>
                </c:pt>
                <c:pt idx="36">
                  <c:v>11.538461538461538</c:v>
                </c:pt>
                <c:pt idx="37">
                  <c:v>9.5238095238095237</c:v>
                </c:pt>
                <c:pt idx="38">
                  <c:v>10</c:v>
                </c:pt>
                <c:pt idx="39">
                  <c:v>10.789473684210527</c:v>
                </c:pt>
                <c:pt idx="40">
                  <c:v>10.789473684210527</c:v>
                </c:pt>
                <c:pt idx="41">
                  <c:v>13.157894736842106</c:v>
                </c:pt>
                <c:pt idx="42">
                  <c:v>12.142857142857142</c:v>
                </c:pt>
                <c:pt idx="43">
                  <c:v>12.5</c:v>
                </c:pt>
                <c:pt idx="44">
                  <c:v>11.029411764705882</c:v>
                </c:pt>
                <c:pt idx="45">
                  <c:v>13.333333333333334</c:v>
                </c:pt>
                <c:pt idx="46">
                  <c:v>8.9552238805970141</c:v>
                </c:pt>
                <c:pt idx="47">
                  <c:v>8.3333333333333339</c:v>
                </c:pt>
                <c:pt idx="48">
                  <c:v>9.5238095238095237</c:v>
                </c:pt>
                <c:pt idx="49">
                  <c:v>8.3333333333333339</c:v>
                </c:pt>
                <c:pt idx="50">
                  <c:v>8.59375</c:v>
                </c:pt>
                <c:pt idx="51">
                  <c:v>0</c:v>
                </c:pt>
              </c:numCache>
            </c:numRef>
          </c:yVal>
          <c:smooth val="0"/>
          <c:extLst>
            <c:ext xmlns:c16="http://schemas.microsoft.com/office/drawing/2014/chart" uri="{C3380CC4-5D6E-409C-BE32-E72D297353CC}">
              <c16:uniqueId val="{00000000-E3BC-4CDE-B3F5-B53C644E05B0}"/>
            </c:ext>
          </c:extLst>
        </c:ser>
        <c:dLbls>
          <c:showLegendKey val="0"/>
          <c:showVal val="0"/>
          <c:showCatName val="0"/>
          <c:showSerName val="0"/>
          <c:showPercent val="0"/>
          <c:showBubbleSize val="0"/>
        </c:dLbls>
        <c:axId val="415871727"/>
        <c:axId val="1"/>
      </c:scatterChart>
      <c:scatterChart>
        <c:scatterStyle val="lineMarker"/>
        <c:varyColors val="0"/>
        <c:ser>
          <c:idx val="1"/>
          <c:order val="1"/>
          <c:tx>
            <c:v>CW Total Aluminum</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E3BC-4CDE-B3F5-B53C644E05B0}"/>
            </c:ext>
          </c:extLst>
        </c:ser>
        <c:ser>
          <c:idx val="2"/>
          <c:order val="2"/>
          <c:tx>
            <c:v>PreGAC Total Aluminum</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E3BC-4CDE-B3F5-B53C644E05B0}"/>
            </c:ext>
          </c:extLst>
        </c:ser>
        <c:dLbls>
          <c:showLegendKey val="0"/>
          <c:showVal val="0"/>
          <c:showCatName val="0"/>
          <c:showSerName val="0"/>
          <c:showPercent val="0"/>
          <c:showBubbleSize val="0"/>
        </c:dLbls>
        <c:axId val="3"/>
        <c:axId val="4"/>
      </c:scatterChart>
      <c:valAx>
        <c:axId val="415871727"/>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9645120557036"/>
              <c:y val="0.9550732831498537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(Alum Dose\Raw DOC)</a:t>
                </a:r>
              </a:p>
            </c:rich>
          </c:tx>
          <c:layout>
            <c:manualLayout>
              <c:xMode val="edge"/>
              <c:yMode val="edge"/>
              <c:x val="1.0197456212680697E-2"/>
              <c:y val="0.4594439789205381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1587172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majorGridlines>
          <c:spPr>
            <a:ln w="3175">
              <a:solidFill>
                <a:srgbClr val="0000FF"/>
              </a:solidFill>
              <a:prstDash val="solid"/>
            </a:ln>
          </c:spPr>
        </c:majorGridlines>
        <c:title>
          <c:tx>
            <c:rich>
              <a:bodyPr/>
              <a:lstStyle/>
              <a:p>
                <a:pPr>
                  <a:defRPr sz="1600" b="0" i="0" u="none" strike="noStrike" baseline="0">
                    <a:solidFill>
                      <a:srgbClr val="0000FF"/>
                    </a:solidFill>
                    <a:latin typeface="Arial MT"/>
                    <a:ea typeface="Arial MT"/>
                    <a:cs typeface="Arial MT"/>
                  </a:defRPr>
                </a:pPr>
                <a:r>
                  <a:rPr lang="en-US"/>
                  <a:t>Aluminum (µg/L)</a:t>
                </a:r>
              </a:p>
            </c:rich>
          </c:tx>
          <c:layout>
            <c:manualLayout>
              <c:xMode val="edge"/>
              <c:yMode val="edge"/>
              <c:x val="0.9721574922755597"/>
              <c:y val="0.52742852950066554"/>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0" i="0" u="none" strike="noStrike" baseline="0">
                <a:solidFill>
                  <a:srgbClr val="0000FF"/>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7303211003692598"/>
          <c:y val="7.566022564562562E-2"/>
          <c:w val="0.18151472058571638"/>
          <c:h val="9.9783775851477255E-2"/>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UV Abs @254/DOC
Buffalo Pound Lake Water</a:t>
            </a:r>
          </a:p>
        </c:rich>
      </c:tx>
      <c:layout>
        <c:manualLayout>
          <c:xMode val="edge"/>
          <c:yMode val="edge"/>
          <c:x val="0.36568316496720082"/>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259387504914748E-2"/>
          <c:y val="0.30264090258250248"/>
          <c:w val="0.8874092389185505"/>
          <c:h val="0.58554435499658086"/>
        </c:manualLayout>
      </c:layout>
      <c:scatterChart>
        <c:scatterStyle val="lineMarker"/>
        <c:varyColors val="0"/>
        <c:ser>
          <c:idx val="0"/>
          <c:order val="0"/>
          <c:tx>
            <c:strRef>
              <c:f>'Weekly Data'!$A$63:$A$63</c:f>
              <c:strCache>
                <c:ptCount val="1"/>
                <c:pt idx="0">
                  <c:v>UV@254/Raw DOC</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Data'!$E$63:$BE$63</c:f>
              <c:numCache>
                <c:formatCode>0.000</c:formatCode>
                <c:ptCount val="53"/>
                <c:pt idx="0">
                  <c:v>0</c:v>
                </c:pt>
                <c:pt idx="1">
                  <c:v>0.10041573033707865</c:v>
                </c:pt>
                <c:pt idx="2">
                  <c:v>0.10819512195121953</c:v>
                </c:pt>
                <c:pt idx="3">
                  <c:v>0.10487951807228915</c:v>
                </c:pt>
                <c:pt idx="4">
                  <c:v>0.11316455696202532</c:v>
                </c:pt>
                <c:pt idx="5">
                  <c:v>0.10732926829268294</c:v>
                </c:pt>
                <c:pt idx="6">
                  <c:v>0</c:v>
                </c:pt>
                <c:pt idx="7">
                  <c:v>0.11355</c:v>
                </c:pt>
                <c:pt idx="8">
                  <c:v>0.11048148148148149</c:v>
                </c:pt>
                <c:pt idx="9">
                  <c:v>0.11235802469135803</c:v>
                </c:pt>
                <c:pt idx="10">
                  <c:v>0</c:v>
                </c:pt>
                <c:pt idx="11">
                  <c:v>0.11973333333333333</c:v>
                </c:pt>
                <c:pt idx="12">
                  <c:v>0.12653521126760564</c:v>
                </c:pt>
                <c:pt idx="13">
                  <c:v>0.12627272727272729</c:v>
                </c:pt>
                <c:pt idx="14">
                  <c:v>0.11538157894736843</c:v>
                </c:pt>
                <c:pt idx="15">
                  <c:v>0.11464473684210526</c:v>
                </c:pt>
                <c:pt idx="16">
                  <c:v>0.1111375</c:v>
                </c:pt>
                <c:pt idx="17">
                  <c:v>0.10403030303030303</c:v>
                </c:pt>
                <c:pt idx="18">
                  <c:v>0.10267142857142857</c:v>
                </c:pt>
                <c:pt idx="19">
                  <c:v>0.10679411764705882</c:v>
                </c:pt>
                <c:pt idx="20">
                  <c:v>0.11206153846153846</c:v>
                </c:pt>
                <c:pt idx="21">
                  <c:v>0.1083529411764706</c:v>
                </c:pt>
                <c:pt idx="22">
                  <c:v>0.11128358208955225</c:v>
                </c:pt>
                <c:pt idx="23">
                  <c:v>0.10178947368421053</c:v>
                </c:pt>
                <c:pt idx="24">
                  <c:v>0.10112676056338028</c:v>
                </c:pt>
                <c:pt idx="25">
                  <c:v>9.4707317073170733E-2</c:v>
                </c:pt>
                <c:pt idx="26">
                  <c:v>0.10199999999999999</c:v>
                </c:pt>
                <c:pt idx="27">
                  <c:v>0.10735526315789473</c:v>
                </c:pt>
                <c:pt idx="28">
                  <c:v>0.10712162162162162</c:v>
                </c:pt>
                <c:pt idx="29">
                  <c:v>0.10752</c:v>
                </c:pt>
                <c:pt idx="30">
                  <c:v>0.10226315789473685</c:v>
                </c:pt>
                <c:pt idx="31">
                  <c:v>0.1112162162162162</c:v>
                </c:pt>
                <c:pt idx="32">
                  <c:v>0.11901428571428571</c:v>
                </c:pt>
                <c:pt idx="33">
                  <c:v>0.10900000000000001</c:v>
                </c:pt>
                <c:pt idx="34">
                  <c:v>0.11399999999999999</c:v>
                </c:pt>
                <c:pt idx="35">
                  <c:v>0.12016666666666666</c:v>
                </c:pt>
                <c:pt idx="36">
                  <c:v>0.11391025641025641</c:v>
                </c:pt>
                <c:pt idx="37">
                  <c:v>0.10696428571428571</c:v>
                </c:pt>
                <c:pt idx="38">
                  <c:v>0.1041</c:v>
                </c:pt>
                <c:pt idx="39">
                  <c:v>0.10835526315789475</c:v>
                </c:pt>
                <c:pt idx="40">
                  <c:v>0.10617105263157894</c:v>
                </c:pt>
                <c:pt idx="41">
                  <c:v>0.10767105263157896</c:v>
                </c:pt>
                <c:pt idx="42">
                  <c:v>0.11342857142857143</c:v>
                </c:pt>
                <c:pt idx="43">
                  <c:v>0.16608823529411765</c:v>
                </c:pt>
                <c:pt idx="44">
                  <c:v>0.12129411764705883</c:v>
                </c:pt>
                <c:pt idx="45">
                  <c:v>0.12181666666666667</c:v>
                </c:pt>
                <c:pt idx="46">
                  <c:v>0.11167164179104477</c:v>
                </c:pt>
                <c:pt idx="47">
                  <c:v>0.10722727272727273</c:v>
                </c:pt>
                <c:pt idx="48">
                  <c:v>0.11861904761904761</c:v>
                </c:pt>
                <c:pt idx="49">
                  <c:v>0.11427272727272728</c:v>
                </c:pt>
                <c:pt idx="50">
                  <c:v>0.11926562499999999</c:v>
                </c:pt>
                <c:pt idx="51">
                  <c:v>0</c:v>
                </c:pt>
              </c:numCache>
            </c:numRef>
          </c:yVal>
          <c:smooth val="0"/>
          <c:extLst>
            <c:ext xmlns:c16="http://schemas.microsoft.com/office/drawing/2014/chart" uri="{C3380CC4-5D6E-409C-BE32-E72D297353CC}">
              <c16:uniqueId val="{00000000-1C0F-4D5E-AC3B-EFFBE665E70B}"/>
            </c:ext>
          </c:extLst>
        </c:ser>
        <c:dLbls>
          <c:showLegendKey val="0"/>
          <c:showVal val="0"/>
          <c:showCatName val="0"/>
          <c:showSerName val="0"/>
          <c:showPercent val="0"/>
          <c:showBubbleSize val="0"/>
        </c:dLbls>
        <c:axId val="415881711"/>
        <c:axId val="1"/>
      </c:scatterChart>
      <c:scatterChart>
        <c:scatterStyle val="lineMarker"/>
        <c:varyColors val="0"/>
        <c:ser>
          <c:idx val="1"/>
          <c:order val="1"/>
          <c:tx>
            <c:strRef>
              <c:f>'Weekly Data'!$A$211:$A$211</c:f>
              <c:strCache>
                <c:ptCount val="1"/>
                <c:pt idx="0">
                  <c:v>UV@254/CW DOC</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Data'!$E$211:$BD$211</c:f>
              <c:numCache>
                <c:formatCode>0.000</c:formatCode>
                <c:ptCount val="52"/>
                <c:pt idx="0">
                  <c:v>0</c:v>
                </c:pt>
                <c:pt idx="1">
                  <c:v>9.7290909090909095E-2</c:v>
                </c:pt>
                <c:pt idx="2">
                  <c:v>0.10509259259259258</c:v>
                </c:pt>
                <c:pt idx="3">
                  <c:v>9.792592592592593E-2</c:v>
                </c:pt>
                <c:pt idx="4">
                  <c:v>0.10400000000000001</c:v>
                </c:pt>
                <c:pt idx="5">
                  <c:v>0.10140740740740739</c:v>
                </c:pt>
                <c:pt idx="6">
                  <c:v>0</c:v>
                </c:pt>
                <c:pt idx="7">
                  <c:v>0.10130909090909092</c:v>
                </c:pt>
                <c:pt idx="8">
                  <c:v>0.10032727272727272</c:v>
                </c:pt>
                <c:pt idx="9">
                  <c:v>0.10185714285714287</c:v>
                </c:pt>
                <c:pt idx="10">
                  <c:v>0.1</c:v>
                </c:pt>
                <c:pt idx="11">
                  <c:v>0.10305555555555555</c:v>
                </c:pt>
                <c:pt idx="12">
                  <c:v>0.10603846153846154</c:v>
                </c:pt>
                <c:pt idx="13">
                  <c:v>0.10824528301886793</c:v>
                </c:pt>
                <c:pt idx="14">
                  <c:v>9.4931818181818173E-2</c:v>
                </c:pt>
                <c:pt idx="15">
                  <c:v>9.477551020408162E-2</c:v>
                </c:pt>
                <c:pt idx="16">
                  <c:v>9.4479999999999995E-2</c:v>
                </c:pt>
                <c:pt idx="17">
                  <c:v>8.5939393939393954E-2</c:v>
                </c:pt>
                <c:pt idx="18">
                  <c:v>9.4268292682926844E-2</c:v>
                </c:pt>
                <c:pt idx="19">
                  <c:v>9.0348837209302327E-2</c:v>
                </c:pt>
                <c:pt idx="20">
                  <c:v>9.5975609756097577E-2</c:v>
                </c:pt>
                <c:pt idx="21">
                  <c:v>8.977777777777779E-2</c:v>
                </c:pt>
                <c:pt idx="22">
                  <c:v>1.7454545454545452E-2</c:v>
                </c:pt>
                <c:pt idx="23">
                  <c:v>3.1699999999999999E-2</c:v>
                </c:pt>
                <c:pt idx="24">
                  <c:v>1.9E-3</c:v>
                </c:pt>
                <c:pt idx="25">
                  <c:v>1.7083333333333336E-2</c:v>
                </c:pt>
                <c:pt idx="26">
                  <c:v>2.1428571428571429E-2</c:v>
                </c:pt>
                <c:pt idx="27">
                  <c:v>4.73125E-2</c:v>
                </c:pt>
                <c:pt idx="28">
                  <c:v>3.6874999999999998E-2</c:v>
                </c:pt>
                <c:pt idx="29">
                  <c:v>3.4999999999999996E-2</c:v>
                </c:pt>
                <c:pt idx="30">
                  <c:v>3.6600000000000001E-2</c:v>
                </c:pt>
                <c:pt idx="31">
                  <c:v>5.3499999999999992E-2</c:v>
                </c:pt>
                <c:pt idx="32">
                  <c:v>5.6818181818181816E-2</c:v>
                </c:pt>
                <c:pt idx="33">
                  <c:v>5.6791666666666671E-2</c:v>
                </c:pt>
                <c:pt idx="34">
                  <c:v>5.4625E-2</c:v>
                </c:pt>
                <c:pt idx="35">
                  <c:v>6.3920000000000005E-2</c:v>
                </c:pt>
                <c:pt idx="36">
                  <c:v>5.6269230769230773E-2</c:v>
                </c:pt>
                <c:pt idx="37">
                  <c:v>6.5677419354838715E-2</c:v>
                </c:pt>
                <c:pt idx="38">
                  <c:v>5.5781249999999998E-2</c:v>
                </c:pt>
                <c:pt idx="39">
                  <c:v>6.1343749999999996E-2</c:v>
                </c:pt>
                <c:pt idx="40">
                  <c:v>5.7249999999999995E-2</c:v>
                </c:pt>
                <c:pt idx="41">
                  <c:v>6.25E-2</c:v>
                </c:pt>
                <c:pt idx="42">
                  <c:v>5.962962962962963E-2</c:v>
                </c:pt>
                <c:pt idx="43">
                  <c:v>6.7586206896551732E-2</c:v>
                </c:pt>
                <c:pt idx="44">
                  <c:v>6.7281249999999987E-2</c:v>
                </c:pt>
                <c:pt idx="45">
                  <c:v>7.4562500000000004E-2</c:v>
                </c:pt>
                <c:pt idx="46">
                  <c:v>7.2444444444444436E-2</c:v>
                </c:pt>
                <c:pt idx="47">
                  <c:v>9.4681818181818186E-2</c:v>
                </c:pt>
                <c:pt idx="48">
                  <c:v>0.10134146341463415</c:v>
                </c:pt>
                <c:pt idx="49">
                  <c:v>0.10190697674418604</c:v>
                </c:pt>
                <c:pt idx="50">
                  <c:v>0.10122727272727272</c:v>
                </c:pt>
                <c:pt idx="51">
                  <c:v>0</c:v>
                </c:pt>
              </c:numCache>
            </c:numRef>
          </c:yVal>
          <c:smooth val="0"/>
          <c:extLst>
            <c:ext xmlns:c16="http://schemas.microsoft.com/office/drawing/2014/chart" uri="{C3380CC4-5D6E-409C-BE32-E72D297353CC}">
              <c16:uniqueId val="{00000001-1C0F-4D5E-AC3B-EFFBE665E70B}"/>
            </c:ext>
          </c:extLst>
        </c:ser>
        <c:dLbls>
          <c:showLegendKey val="0"/>
          <c:showVal val="0"/>
          <c:showCatName val="0"/>
          <c:showSerName val="0"/>
          <c:showPercent val="0"/>
          <c:showBubbleSize val="0"/>
        </c:dLbls>
        <c:axId val="3"/>
        <c:axId val="4"/>
      </c:scatterChart>
      <c:valAx>
        <c:axId val="415881711"/>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70114750951946"/>
              <c:y val="0.9550732831498537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(UV Abs@254/DOC)</a:t>
                </a:r>
              </a:p>
            </c:rich>
          </c:tx>
          <c:layout>
            <c:manualLayout>
              <c:xMode val="edge"/>
              <c:yMode val="edge"/>
              <c:x val="1.5604290898414879E-2"/>
              <c:y val="0.45725092890182434"/>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415881711"/>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numFmt formatCode="General" sourceLinked="0"/>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101290702342579"/>
          <c:y val="0.10965250093568929"/>
          <c:w val="0.12415587975695316"/>
          <c:h val="5.3729725458487754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DOC % Removal vs Alum Dose</a:t>
            </a:r>
          </a:p>
        </c:rich>
      </c:tx>
      <c:layout>
        <c:manualLayout>
          <c:xMode val="edge"/>
          <c:yMode val="edge"/>
          <c:x val="0.3542740675867237"/>
          <c:y val="2.500077047699543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1469194562621836E-2"/>
          <c:y val="0.23978011684754708"/>
          <c:w val="0.85858584663275017"/>
          <c:h val="0.64888363374383595"/>
        </c:manualLayout>
      </c:layout>
      <c:scatterChart>
        <c:scatterStyle val="lineMarker"/>
        <c:varyColors val="0"/>
        <c:ser>
          <c:idx val="0"/>
          <c:order val="0"/>
          <c:tx>
            <c:strRef>
              <c:f>'Weekly Data'!$A$209:$A$209</c:f>
              <c:strCache>
                <c:ptCount val="1"/>
                <c:pt idx="0">
                  <c:v>Total DOC (% Removal)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DD84-4D90-A4DD-39DDF40CBE09}"/>
            </c:ext>
          </c:extLst>
        </c:ser>
        <c:ser>
          <c:idx val="2"/>
          <c:order val="2"/>
          <c:tx>
            <c:strRef>
              <c:f>'Weekly Data'!$A$207:$A$207</c:f>
              <c:strCache>
                <c:ptCount val="1"/>
                <c:pt idx="0">
                  <c:v>DOC Removal by Coagulation &amp;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1-DD84-4D90-A4DD-39DDF40CBE09}"/>
            </c:ext>
          </c:extLst>
        </c:ser>
        <c:dLbls>
          <c:showLegendKey val="0"/>
          <c:showVal val="0"/>
          <c:showCatName val="0"/>
          <c:showSerName val="0"/>
          <c:showPercent val="0"/>
          <c:showBubbleSize val="0"/>
        </c:dLbls>
        <c:axId val="442859183"/>
        <c:axId val="1"/>
      </c:scatterChart>
      <c:scatterChart>
        <c:scatterStyle val="lineMarker"/>
        <c:varyColors val="0"/>
        <c:ser>
          <c:idx val="1"/>
          <c:order val="1"/>
          <c:tx>
            <c:strRef>
              <c:f>'Weekly Data'!$A$111:$A$111</c:f>
              <c:strCache>
                <c:ptCount val="1"/>
                <c:pt idx="0">
                  <c:v>Alum</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DD84-4D90-A4DD-39DDF40CBE09}"/>
            </c:ext>
          </c:extLst>
        </c:ser>
        <c:dLbls>
          <c:showLegendKey val="0"/>
          <c:showVal val="0"/>
          <c:showCatName val="0"/>
          <c:showSerName val="0"/>
          <c:showPercent val="0"/>
          <c:showBubbleSize val="0"/>
        </c:dLbls>
        <c:axId val="3"/>
        <c:axId val="4"/>
      </c:scatterChart>
      <c:valAx>
        <c:axId val="442859183"/>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3821587091417502"/>
              <c:y val="0.95343847409996207"/>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DOC % Removal</a:t>
                </a:r>
              </a:p>
            </c:rich>
          </c:tx>
          <c:layout>
            <c:manualLayout>
              <c:xMode val="edge"/>
              <c:yMode val="edge"/>
              <c:x val="3.3047954065925718E-3"/>
              <c:y val="0.47046904443073218"/>
            </c:manualLayout>
          </c:layout>
          <c:overlay val="0"/>
          <c:spPr>
            <a:noFill/>
            <a:ln w="25400">
              <a:noFill/>
            </a:ln>
          </c:spPr>
        </c:title>
        <c:numFmt formatCode="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4285918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600" b="0" i="0" u="none" strike="noStrike" baseline="0">
                    <a:solidFill>
                      <a:srgbClr val="000000"/>
                    </a:solidFill>
                    <a:latin typeface="Arial MT"/>
                    <a:ea typeface="Arial MT"/>
                    <a:cs typeface="Arial MT"/>
                  </a:defRPr>
                </a:pPr>
                <a:r>
                  <a:rPr lang="en-US"/>
                  <a:t>Alum Dose (mg/L)</a:t>
                </a:r>
              </a:p>
            </c:rich>
          </c:tx>
          <c:layout>
            <c:manualLayout>
              <c:xMode val="edge"/>
              <c:yMode val="edge"/>
              <c:x val="0.95706874974920886"/>
              <c:y val="0.46705984845659643"/>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543494905053292"/>
          <c:y val="8.4093500695348267E-2"/>
          <c:w val="0.21877745591642828"/>
          <c:h val="8.2957102037303013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1" i="0" u="none" strike="noStrike" baseline="0">
                <a:solidFill>
                  <a:srgbClr val="000000"/>
                </a:solidFill>
                <a:latin typeface="Arial"/>
                <a:ea typeface="Arial"/>
                <a:cs typeface="Arial"/>
              </a:defRPr>
            </a:pPr>
            <a:r>
              <a:rPr lang="en-US"/>
              <a:t>Alkalinity-P</a:t>
            </a:r>
          </a:p>
        </c:rich>
      </c:tx>
      <c:layout>
        <c:manualLayout>
          <c:xMode val="edge"/>
          <c:yMode val="edge"/>
          <c:x val="0.45042722153925302"/>
          <c:y val="3.1819198472740617E-2"/>
        </c:manualLayout>
      </c:layout>
      <c:overlay val="0"/>
      <c:spPr>
        <a:noFill/>
        <a:ln w="3175">
          <a:solidFill>
            <a:srgbClr val="000000"/>
          </a:solidFill>
          <a:prstDash val="solid"/>
        </a:ln>
      </c:spPr>
    </c:title>
    <c:autoTitleDeleted val="0"/>
    <c:plotArea>
      <c:layout>
        <c:manualLayout>
          <c:layoutTarget val="inner"/>
          <c:xMode val="edge"/>
          <c:yMode val="edge"/>
          <c:x val="3.2370152006643567E-2"/>
          <c:y val="0.31137358505467605"/>
          <c:w val="0.93046968853139278"/>
          <c:h val="0.5727455725093311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Data'!$E$32:$BD$32</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4</c:v>
                </c:pt>
                <c:pt idx="25">
                  <c:v>2</c:v>
                </c:pt>
                <c:pt idx="26">
                  <c:v>3</c:v>
                </c:pt>
                <c:pt idx="27">
                  <c:v>0</c:v>
                </c:pt>
                <c:pt idx="28">
                  <c:v>1</c:v>
                </c:pt>
                <c:pt idx="29">
                  <c:v>5</c:v>
                </c:pt>
                <c:pt idx="30">
                  <c:v>2</c:v>
                </c:pt>
                <c:pt idx="31">
                  <c:v>3</c:v>
                </c:pt>
                <c:pt idx="32">
                  <c:v>5</c:v>
                </c:pt>
                <c:pt idx="33" formatCode="General;[Red]\-General">
                  <c:v>2</c:v>
                </c:pt>
                <c:pt idx="34">
                  <c:v>5</c:v>
                </c:pt>
                <c:pt idx="35">
                  <c:v>5</c:v>
                </c:pt>
                <c:pt idx="36">
                  <c:v>0</c:v>
                </c:pt>
                <c:pt idx="37">
                  <c:v>2</c:v>
                </c:pt>
                <c:pt idx="38">
                  <c:v>4</c:v>
                </c:pt>
                <c:pt idx="39">
                  <c:v>7</c:v>
                </c:pt>
                <c:pt idx="40">
                  <c:v>5</c:v>
                </c:pt>
                <c:pt idx="41">
                  <c:v>4</c:v>
                </c:pt>
                <c:pt idx="42">
                  <c:v>3</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71A-42F7-80C7-ED8A54E003B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Data'!$E$167:$BD$167</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71A-42F7-80C7-ED8A54E003B5}"/>
            </c:ext>
          </c:extLst>
        </c:ser>
        <c:dLbls>
          <c:showLegendKey val="0"/>
          <c:showVal val="0"/>
          <c:showCatName val="0"/>
          <c:showSerName val="0"/>
          <c:showPercent val="0"/>
          <c:showBubbleSize val="0"/>
        </c:dLbls>
        <c:axId val="415867151"/>
        <c:axId val="1"/>
      </c:scatterChart>
      <c:valAx>
        <c:axId val="415867151"/>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491740843173921"/>
              <c:y val="0.93184795527311814"/>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Alkalinity-P (mg/L)</a:t>
                </a:r>
              </a:p>
            </c:rich>
          </c:tx>
          <c:layout>
            <c:manualLayout>
              <c:xMode val="edge"/>
              <c:yMode val="edge"/>
              <c:x val="3.4436331921961242E-3"/>
              <c:y val="0.4477415785092787"/>
            </c:manualLayout>
          </c:layout>
          <c:overlay val="0"/>
          <c:spPr>
            <a:noFill/>
            <a:ln w="25400">
              <a:noFill/>
            </a:ln>
          </c:spPr>
        </c:title>
        <c:numFmt formatCode="0.0"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151"/>
        <c:crosses val="autoZero"/>
        <c:crossBetween val="midCat"/>
        <c:majorUnit val="0.5"/>
        <c:minorUnit val="0.25"/>
      </c:valAx>
      <c:spPr>
        <a:noFill/>
        <a:ln w="3175">
          <a:solidFill>
            <a:srgbClr val="000000"/>
          </a:solidFill>
          <a:prstDash val="solid"/>
        </a:ln>
      </c:spPr>
    </c:plotArea>
    <c:legend>
      <c:legendPos val="r"/>
      <c:layout>
        <c:manualLayout>
          <c:xMode val="edge"/>
          <c:yMode val="edge"/>
          <c:x val="0.79754544731262234"/>
          <c:y val="8.6366395854581682E-2"/>
          <c:w val="7.3693750312997061E-2"/>
          <c:h val="0.1113671946545921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Alkalinity-T</a:t>
            </a:r>
          </a:p>
        </c:rich>
      </c:tx>
      <c:layout>
        <c:manualLayout>
          <c:xMode val="edge"/>
          <c:yMode val="edge"/>
          <c:x val="0.44369023421770809"/>
          <c:y val="3.0093529398549982E-2"/>
        </c:manualLayout>
      </c:layout>
      <c:overlay val="0"/>
      <c:spPr>
        <a:noFill/>
        <a:ln w="3175">
          <a:solidFill>
            <a:srgbClr val="000000"/>
          </a:solidFill>
          <a:prstDash val="solid"/>
        </a:ln>
      </c:spPr>
    </c:title>
    <c:autoTitleDeleted val="0"/>
    <c:plotArea>
      <c:layout>
        <c:manualLayout>
          <c:layoutTarget val="inner"/>
          <c:xMode val="edge"/>
          <c:yMode val="edge"/>
          <c:x val="5.4597396422428252E-2"/>
          <c:y val="0.31250972836955754"/>
          <c:w val="0.89498263755752649"/>
          <c:h val="0.5694621716956381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Data'!$E$33:$BD$33</c:f>
              <c:numCache>
                <c:formatCode>0</c:formatCode>
                <c:ptCount val="52"/>
                <c:pt idx="0">
                  <c:v>204</c:v>
                </c:pt>
                <c:pt idx="1">
                  <c:v>202</c:v>
                </c:pt>
                <c:pt idx="2">
                  <c:v>202</c:v>
                </c:pt>
                <c:pt idx="3">
                  <c:v>204</c:v>
                </c:pt>
                <c:pt idx="4">
                  <c:v>206</c:v>
                </c:pt>
                <c:pt idx="5">
                  <c:v>204</c:v>
                </c:pt>
                <c:pt idx="6">
                  <c:v>206</c:v>
                </c:pt>
                <c:pt idx="7">
                  <c:v>209</c:v>
                </c:pt>
                <c:pt idx="9">
                  <c:v>215</c:v>
                </c:pt>
                <c:pt idx="10">
                  <c:v>216</c:v>
                </c:pt>
                <c:pt idx="11">
                  <c:v>214</c:v>
                </c:pt>
                <c:pt idx="12">
                  <c:v>215</c:v>
                </c:pt>
                <c:pt idx="13">
                  <c:v>208</c:v>
                </c:pt>
                <c:pt idx="14">
                  <c:v>209</c:v>
                </c:pt>
                <c:pt idx="15">
                  <c:v>205</c:v>
                </c:pt>
                <c:pt idx="16">
                  <c:v>218</c:v>
                </c:pt>
                <c:pt idx="17">
                  <c:v>163</c:v>
                </c:pt>
                <c:pt idx="18">
                  <c:v>170</c:v>
                </c:pt>
                <c:pt idx="19">
                  <c:v>168</c:v>
                </c:pt>
                <c:pt idx="20">
                  <c:v>170</c:v>
                </c:pt>
                <c:pt idx="21">
                  <c:v>175</c:v>
                </c:pt>
                <c:pt idx="22">
                  <c:v>176</c:v>
                </c:pt>
                <c:pt idx="23">
                  <c:v>176</c:v>
                </c:pt>
                <c:pt idx="24">
                  <c:v>168</c:v>
                </c:pt>
                <c:pt idx="25">
                  <c:v>160</c:v>
                </c:pt>
                <c:pt idx="26">
                  <c:v>155</c:v>
                </c:pt>
                <c:pt idx="27">
                  <c:v>158</c:v>
                </c:pt>
                <c:pt idx="28">
                  <c:v>161</c:v>
                </c:pt>
                <c:pt idx="29">
                  <c:v>138</c:v>
                </c:pt>
                <c:pt idx="30">
                  <c:v>144</c:v>
                </c:pt>
                <c:pt idx="31">
                  <c:v>140</c:v>
                </c:pt>
                <c:pt idx="32">
                  <c:v>146</c:v>
                </c:pt>
                <c:pt idx="33" formatCode="General;[Red]\-General">
                  <c:v>144</c:v>
                </c:pt>
                <c:pt idx="34">
                  <c:v>146</c:v>
                </c:pt>
                <c:pt idx="35">
                  <c:v>144</c:v>
                </c:pt>
                <c:pt idx="36">
                  <c:v>145</c:v>
                </c:pt>
                <c:pt idx="37">
                  <c:v>145</c:v>
                </c:pt>
                <c:pt idx="38">
                  <c:v>150</c:v>
                </c:pt>
                <c:pt idx="39">
                  <c:v>151</c:v>
                </c:pt>
                <c:pt idx="40">
                  <c:v>154</c:v>
                </c:pt>
                <c:pt idx="41">
                  <c:v>157</c:v>
                </c:pt>
                <c:pt idx="42">
                  <c:v>157</c:v>
                </c:pt>
                <c:pt idx="43">
                  <c:v>157</c:v>
                </c:pt>
                <c:pt idx="44">
                  <c:v>160</c:v>
                </c:pt>
                <c:pt idx="45">
                  <c:v>160</c:v>
                </c:pt>
                <c:pt idx="46" formatCode="General;[Red]\-General">
                  <c:v>163</c:v>
                </c:pt>
                <c:pt idx="47">
                  <c:v>164</c:v>
                </c:pt>
                <c:pt idx="48">
                  <c:v>171</c:v>
                </c:pt>
                <c:pt idx="49">
                  <c:v>176</c:v>
                </c:pt>
                <c:pt idx="50">
                  <c:v>180</c:v>
                </c:pt>
              </c:numCache>
            </c:numRef>
          </c:yVal>
          <c:smooth val="0"/>
          <c:extLst>
            <c:ext xmlns:c16="http://schemas.microsoft.com/office/drawing/2014/chart" uri="{C3380CC4-5D6E-409C-BE32-E72D297353CC}">
              <c16:uniqueId val="{00000000-DE63-4D9F-B7B8-FC9734989FF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Data'!$E$168:$BD$168</c:f>
              <c:numCache>
                <c:formatCode>0</c:formatCode>
                <c:ptCount val="52"/>
                <c:pt idx="0">
                  <c:v>166</c:v>
                </c:pt>
                <c:pt idx="1">
                  <c:v>169</c:v>
                </c:pt>
                <c:pt idx="2">
                  <c:v>172</c:v>
                </c:pt>
                <c:pt idx="3">
                  <c:v>171</c:v>
                </c:pt>
                <c:pt idx="4">
                  <c:v>172</c:v>
                </c:pt>
                <c:pt idx="5">
                  <c:v>172</c:v>
                </c:pt>
                <c:pt idx="6">
                  <c:v>174</c:v>
                </c:pt>
                <c:pt idx="7">
                  <c:v>176</c:v>
                </c:pt>
                <c:pt idx="9">
                  <c:v>182</c:v>
                </c:pt>
                <c:pt idx="10">
                  <c:v>181</c:v>
                </c:pt>
                <c:pt idx="11">
                  <c:v>180</c:v>
                </c:pt>
                <c:pt idx="12">
                  <c:v>180</c:v>
                </c:pt>
                <c:pt idx="13">
                  <c:v>167</c:v>
                </c:pt>
                <c:pt idx="14">
                  <c:v>166</c:v>
                </c:pt>
                <c:pt idx="15">
                  <c:v>171</c:v>
                </c:pt>
                <c:pt idx="16">
                  <c:v>178</c:v>
                </c:pt>
                <c:pt idx="17">
                  <c:v>130</c:v>
                </c:pt>
                <c:pt idx="18">
                  <c:v>131</c:v>
                </c:pt>
                <c:pt idx="19">
                  <c:v>131</c:v>
                </c:pt>
                <c:pt idx="20">
                  <c:v>131</c:v>
                </c:pt>
                <c:pt idx="21">
                  <c:v>138</c:v>
                </c:pt>
                <c:pt idx="22">
                  <c:v>141</c:v>
                </c:pt>
                <c:pt idx="23">
                  <c:v>138</c:v>
                </c:pt>
                <c:pt idx="24">
                  <c:v>130</c:v>
                </c:pt>
                <c:pt idx="25">
                  <c:v>121</c:v>
                </c:pt>
                <c:pt idx="26">
                  <c:v>118</c:v>
                </c:pt>
                <c:pt idx="27">
                  <c:v>121</c:v>
                </c:pt>
                <c:pt idx="28">
                  <c:v>115</c:v>
                </c:pt>
                <c:pt idx="29">
                  <c:v>107</c:v>
                </c:pt>
                <c:pt idx="30">
                  <c:v>112</c:v>
                </c:pt>
                <c:pt idx="31">
                  <c:v>102</c:v>
                </c:pt>
                <c:pt idx="32">
                  <c:v>101</c:v>
                </c:pt>
                <c:pt idx="33" formatCode="General;[Red]\-General">
                  <c:v>100</c:v>
                </c:pt>
                <c:pt idx="34">
                  <c:v>94</c:v>
                </c:pt>
                <c:pt idx="35">
                  <c:v>97</c:v>
                </c:pt>
                <c:pt idx="36">
                  <c:v>96</c:v>
                </c:pt>
                <c:pt idx="37">
                  <c:v>102</c:v>
                </c:pt>
                <c:pt idx="38">
                  <c:v>105</c:v>
                </c:pt>
                <c:pt idx="39">
                  <c:v>105</c:v>
                </c:pt>
                <c:pt idx="40">
                  <c:v>109</c:v>
                </c:pt>
                <c:pt idx="41">
                  <c:v>107</c:v>
                </c:pt>
                <c:pt idx="42">
                  <c:v>111</c:v>
                </c:pt>
                <c:pt idx="43">
                  <c:v>114</c:v>
                </c:pt>
                <c:pt idx="44">
                  <c:v>119</c:v>
                </c:pt>
                <c:pt idx="45">
                  <c:v>121</c:v>
                </c:pt>
                <c:pt idx="46" formatCode="General;[Red]\-General">
                  <c:v>130</c:v>
                </c:pt>
                <c:pt idx="47">
                  <c:v>135</c:v>
                </c:pt>
                <c:pt idx="48">
                  <c:v>141</c:v>
                </c:pt>
                <c:pt idx="49">
                  <c:v>145</c:v>
                </c:pt>
                <c:pt idx="50">
                  <c:v>151</c:v>
                </c:pt>
              </c:numCache>
            </c:numRef>
          </c:yVal>
          <c:smooth val="0"/>
          <c:extLst>
            <c:ext xmlns:c16="http://schemas.microsoft.com/office/drawing/2014/chart" uri="{C3380CC4-5D6E-409C-BE32-E72D297353CC}">
              <c16:uniqueId val="{00000001-DE63-4D9F-B7B8-FC9734989FF1}"/>
            </c:ext>
          </c:extLst>
        </c:ser>
        <c:dLbls>
          <c:showLegendKey val="0"/>
          <c:showVal val="0"/>
          <c:showCatName val="0"/>
          <c:showSerName val="0"/>
          <c:showPercent val="0"/>
          <c:showBubbleSize val="0"/>
        </c:dLbls>
        <c:axId val="415867567"/>
        <c:axId val="1"/>
      </c:scatterChart>
      <c:valAx>
        <c:axId val="41586756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21908448833375"/>
              <c:y val="0.93058452447823792"/>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Alkalinity-T (mg/L)</a:t>
                </a:r>
              </a:p>
            </c:rich>
          </c:tx>
          <c:layout>
            <c:manualLayout>
              <c:xMode val="edge"/>
              <c:yMode val="edge"/>
              <c:x val="6.9110628382820574E-3"/>
              <c:y val="0.44677316722462668"/>
            </c:manualLayout>
          </c:layout>
          <c:overlay val="0"/>
          <c:spPr>
            <a:noFill/>
            <a:ln w="25400">
              <a:noFill/>
            </a:ln>
          </c:spPr>
        </c:title>
        <c:numFmt formatCode="General"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567"/>
        <c:crosses val="autoZero"/>
        <c:crossBetween val="midCat"/>
      </c:valAx>
      <c:spPr>
        <a:noFill/>
        <a:ln w="3175">
          <a:solidFill>
            <a:srgbClr val="000000"/>
          </a:solidFill>
          <a:prstDash val="solid"/>
        </a:ln>
      </c:spPr>
    </c:plotArea>
    <c:legend>
      <c:legendPos val="r"/>
      <c:layout>
        <c:manualLayout>
          <c:xMode val="edge"/>
          <c:yMode val="edge"/>
          <c:x val="0.79408112011860843"/>
          <c:y val="0.12037411759419993"/>
          <c:w val="7.3948372369618015E-2"/>
          <c:h val="0.1134294569637653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Bicarbonate</a:t>
            </a:r>
          </a:p>
        </c:rich>
      </c:tx>
      <c:layout>
        <c:manualLayout>
          <c:xMode val="edge"/>
          <c:yMode val="edge"/>
          <c:x val="0.45042722153925302"/>
          <c:y val="3.1964459160225028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28768013244202528"/>
          <c:w val="0.89465590333255307"/>
          <c:h val="0.602758372735672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Data'!$E$34:$BD$34</c:f>
              <c:numCache>
                <c:formatCode>0</c:formatCode>
                <c:ptCount val="52"/>
                <c:pt idx="0">
                  <c:v>249</c:v>
                </c:pt>
                <c:pt idx="1">
                  <c:v>246</c:v>
                </c:pt>
                <c:pt idx="2">
                  <c:v>246</c:v>
                </c:pt>
                <c:pt idx="3">
                  <c:v>249</c:v>
                </c:pt>
                <c:pt idx="4">
                  <c:v>251</c:v>
                </c:pt>
                <c:pt idx="5">
                  <c:v>249</c:v>
                </c:pt>
                <c:pt idx="6">
                  <c:v>251</c:v>
                </c:pt>
                <c:pt idx="7">
                  <c:v>255</c:v>
                </c:pt>
                <c:pt idx="9">
                  <c:v>262</c:v>
                </c:pt>
                <c:pt idx="10">
                  <c:v>263</c:v>
                </c:pt>
                <c:pt idx="11">
                  <c:v>261</c:v>
                </c:pt>
                <c:pt idx="12">
                  <c:v>262</c:v>
                </c:pt>
                <c:pt idx="13">
                  <c:v>254</c:v>
                </c:pt>
                <c:pt idx="14">
                  <c:v>255</c:v>
                </c:pt>
                <c:pt idx="15">
                  <c:v>250</c:v>
                </c:pt>
                <c:pt idx="16">
                  <c:v>266</c:v>
                </c:pt>
                <c:pt idx="17">
                  <c:v>199</c:v>
                </c:pt>
                <c:pt idx="18">
                  <c:v>207</c:v>
                </c:pt>
                <c:pt idx="19">
                  <c:v>205</c:v>
                </c:pt>
                <c:pt idx="20">
                  <c:v>207</c:v>
                </c:pt>
                <c:pt idx="21">
                  <c:v>213</c:v>
                </c:pt>
                <c:pt idx="22">
                  <c:v>214</c:v>
                </c:pt>
                <c:pt idx="23">
                  <c:v>210</c:v>
                </c:pt>
                <c:pt idx="24">
                  <c:v>195</c:v>
                </c:pt>
                <c:pt idx="25">
                  <c:v>190</c:v>
                </c:pt>
                <c:pt idx="26">
                  <c:v>181</c:v>
                </c:pt>
                <c:pt idx="27">
                  <c:v>193</c:v>
                </c:pt>
                <c:pt idx="28">
                  <c:v>194</c:v>
                </c:pt>
                <c:pt idx="29">
                  <c:v>156</c:v>
                </c:pt>
                <c:pt idx="30">
                  <c:v>170</c:v>
                </c:pt>
                <c:pt idx="31">
                  <c:v>163</c:v>
                </c:pt>
                <c:pt idx="32">
                  <c:v>166</c:v>
                </c:pt>
                <c:pt idx="33" formatCode="General;[Red]\-General">
                  <c:v>170</c:v>
                </c:pt>
                <c:pt idx="34">
                  <c:v>166</c:v>
                </c:pt>
                <c:pt idx="35">
                  <c:v>163</c:v>
                </c:pt>
                <c:pt idx="36">
                  <c:v>177</c:v>
                </c:pt>
                <c:pt idx="37">
                  <c:v>172</c:v>
                </c:pt>
                <c:pt idx="38">
                  <c:v>173</c:v>
                </c:pt>
                <c:pt idx="39">
                  <c:v>167</c:v>
                </c:pt>
                <c:pt idx="40">
                  <c:v>171</c:v>
                </c:pt>
                <c:pt idx="41">
                  <c:v>182</c:v>
                </c:pt>
                <c:pt idx="42">
                  <c:v>184</c:v>
                </c:pt>
                <c:pt idx="43">
                  <c:v>189</c:v>
                </c:pt>
                <c:pt idx="44">
                  <c:v>195</c:v>
                </c:pt>
                <c:pt idx="45">
                  <c:v>195</c:v>
                </c:pt>
                <c:pt idx="46" formatCode="General;[Red]\-General">
                  <c:v>199</c:v>
                </c:pt>
                <c:pt idx="47">
                  <c:v>200</c:v>
                </c:pt>
                <c:pt idx="48">
                  <c:v>208</c:v>
                </c:pt>
                <c:pt idx="49">
                  <c:v>214</c:v>
                </c:pt>
                <c:pt idx="50">
                  <c:v>219</c:v>
                </c:pt>
              </c:numCache>
            </c:numRef>
          </c:yVal>
          <c:smooth val="0"/>
          <c:extLst>
            <c:ext xmlns:c16="http://schemas.microsoft.com/office/drawing/2014/chart" uri="{C3380CC4-5D6E-409C-BE32-E72D297353CC}">
              <c16:uniqueId val="{00000000-3CDE-4A40-A360-0B9AA7D616F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Data'!$E$169:$BD$169</c:f>
              <c:numCache>
                <c:formatCode>0</c:formatCode>
                <c:ptCount val="52"/>
                <c:pt idx="0">
                  <c:v>202</c:v>
                </c:pt>
                <c:pt idx="1">
                  <c:v>206</c:v>
                </c:pt>
                <c:pt idx="2">
                  <c:v>210</c:v>
                </c:pt>
                <c:pt idx="3">
                  <c:v>208</c:v>
                </c:pt>
                <c:pt idx="4">
                  <c:v>210</c:v>
                </c:pt>
                <c:pt idx="5">
                  <c:v>210</c:v>
                </c:pt>
                <c:pt idx="6">
                  <c:v>212</c:v>
                </c:pt>
                <c:pt idx="7">
                  <c:v>214</c:v>
                </c:pt>
                <c:pt idx="9">
                  <c:v>222</c:v>
                </c:pt>
                <c:pt idx="10">
                  <c:v>221</c:v>
                </c:pt>
                <c:pt idx="11">
                  <c:v>219</c:v>
                </c:pt>
                <c:pt idx="12">
                  <c:v>219</c:v>
                </c:pt>
                <c:pt idx="13">
                  <c:v>204</c:v>
                </c:pt>
                <c:pt idx="14">
                  <c:v>202</c:v>
                </c:pt>
                <c:pt idx="15">
                  <c:v>209</c:v>
                </c:pt>
                <c:pt idx="16">
                  <c:v>217</c:v>
                </c:pt>
                <c:pt idx="17">
                  <c:v>158</c:v>
                </c:pt>
                <c:pt idx="18">
                  <c:v>160</c:v>
                </c:pt>
                <c:pt idx="19">
                  <c:v>160</c:v>
                </c:pt>
                <c:pt idx="20">
                  <c:v>160</c:v>
                </c:pt>
                <c:pt idx="21">
                  <c:v>168</c:v>
                </c:pt>
                <c:pt idx="22">
                  <c:v>172</c:v>
                </c:pt>
                <c:pt idx="23">
                  <c:v>168</c:v>
                </c:pt>
                <c:pt idx="24">
                  <c:v>158</c:v>
                </c:pt>
                <c:pt idx="25">
                  <c:v>147</c:v>
                </c:pt>
                <c:pt idx="26">
                  <c:v>144</c:v>
                </c:pt>
                <c:pt idx="27">
                  <c:v>147</c:v>
                </c:pt>
                <c:pt idx="28">
                  <c:v>140</c:v>
                </c:pt>
                <c:pt idx="29">
                  <c:v>130</c:v>
                </c:pt>
                <c:pt idx="30">
                  <c:v>136</c:v>
                </c:pt>
                <c:pt idx="31">
                  <c:v>124</c:v>
                </c:pt>
                <c:pt idx="32">
                  <c:v>123</c:v>
                </c:pt>
                <c:pt idx="33" formatCode="General;[Red]\-General">
                  <c:v>122</c:v>
                </c:pt>
                <c:pt idx="34">
                  <c:v>114</c:v>
                </c:pt>
                <c:pt idx="35">
                  <c:v>118</c:v>
                </c:pt>
                <c:pt idx="36">
                  <c:v>117</c:v>
                </c:pt>
                <c:pt idx="37">
                  <c:v>124</c:v>
                </c:pt>
                <c:pt idx="38">
                  <c:v>128</c:v>
                </c:pt>
                <c:pt idx="39">
                  <c:v>128</c:v>
                </c:pt>
                <c:pt idx="40">
                  <c:v>133</c:v>
                </c:pt>
                <c:pt idx="41">
                  <c:v>130</c:v>
                </c:pt>
                <c:pt idx="42">
                  <c:v>135</c:v>
                </c:pt>
                <c:pt idx="43">
                  <c:v>139</c:v>
                </c:pt>
                <c:pt idx="44">
                  <c:v>145</c:v>
                </c:pt>
                <c:pt idx="45">
                  <c:v>147</c:v>
                </c:pt>
                <c:pt idx="46" formatCode="General;[Red]\-General">
                  <c:v>158</c:v>
                </c:pt>
                <c:pt idx="47">
                  <c:v>165</c:v>
                </c:pt>
                <c:pt idx="48">
                  <c:v>172</c:v>
                </c:pt>
                <c:pt idx="49">
                  <c:v>177</c:v>
                </c:pt>
                <c:pt idx="50">
                  <c:v>184</c:v>
                </c:pt>
              </c:numCache>
            </c:numRef>
          </c:yVal>
          <c:smooth val="0"/>
          <c:extLst>
            <c:ext xmlns:c16="http://schemas.microsoft.com/office/drawing/2014/chart" uri="{C3380CC4-5D6E-409C-BE32-E72D297353CC}">
              <c16:uniqueId val="{00000001-3CDE-4A40-A360-0B9AA7D616F0}"/>
            </c:ext>
          </c:extLst>
        </c:ser>
        <c:dLbls>
          <c:showLegendKey val="0"/>
          <c:showVal val="0"/>
          <c:showCatName val="0"/>
          <c:showSerName val="0"/>
          <c:showPercent val="0"/>
          <c:showBubbleSize val="0"/>
        </c:dLbls>
        <c:axId val="415867983"/>
        <c:axId val="1"/>
      </c:scatterChart>
      <c:valAx>
        <c:axId val="415867983"/>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5356669551294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Bicarbonate (mg/L)</a:t>
                </a:r>
              </a:p>
            </c:rich>
          </c:tx>
          <c:layout>
            <c:manualLayout>
              <c:xMode val="edge"/>
              <c:yMode val="edge"/>
              <c:x val="6.8872663843922485E-3"/>
              <c:y val="0.429237023008736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983"/>
        <c:crosses val="autoZero"/>
        <c:crossBetween val="midCat"/>
      </c:valAx>
      <c:spPr>
        <a:noFill/>
        <a:ln w="3175">
          <a:solidFill>
            <a:srgbClr val="000000"/>
          </a:solidFill>
          <a:prstDash val="solid"/>
        </a:ln>
      </c:spPr>
    </c:plotArea>
    <c:legend>
      <c:legendPos val="r"/>
      <c:layout>
        <c:manualLayout>
          <c:xMode val="edge"/>
          <c:yMode val="edge"/>
          <c:x val="0.79065818092823015"/>
          <c:y val="7.7627972246260779E-2"/>
          <c:w val="7.3693750312997061E-2"/>
          <c:h val="0.1118756070607876"/>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Carbonate</a:t>
            </a:r>
          </a:p>
        </c:rich>
      </c:tx>
      <c:layout>
        <c:manualLayout>
          <c:xMode val="edge"/>
          <c:yMode val="edge"/>
          <c:x val="0.4566257612852060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702544290882881"/>
          <c:w val="0.89534462997099229"/>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Data'!$E$35:$BD$35</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5</c:v>
                </c:pt>
                <c:pt idx="25">
                  <c:v>2</c:v>
                </c:pt>
                <c:pt idx="26">
                  <c:v>4</c:v>
                </c:pt>
                <c:pt idx="27">
                  <c:v>0</c:v>
                </c:pt>
                <c:pt idx="28">
                  <c:v>1</c:v>
                </c:pt>
                <c:pt idx="29">
                  <c:v>6</c:v>
                </c:pt>
                <c:pt idx="30">
                  <c:v>2</c:v>
                </c:pt>
                <c:pt idx="31">
                  <c:v>4</c:v>
                </c:pt>
                <c:pt idx="32">
                  <c:v>6</c:v>
                </c:pt>
                <c:pt idx="33" formatCode="General;[Red]\-General">
                  <c:v>2</c:v>
                </c:pt>
                <c:pt idx="34">
                  <c:v>6</c:v>
                </c:pt>
                <c:pt idx="35">
                  <c:v>6</c:v>
                </c:pt>
                <c:pt idx="36">
                  <c:v>0</c:v>
                </c:pt>
                <c:pt idx="37">
                  <c:v>2</c:v>
                </c:pt>
                <c:pt idx="38">
                  <c:v>5</c:v>
                </c:pt>
                <c:pt idx="39">
                  <c:v>8</c:v>
                </c:pt>
                <c:pt idx="40">
                  <c:v>6</c:v>
                </c:pt>
                <c:pt idx="41">
                  <c:v>5</c:v>
                </c:pt>
                <c:pt idx="42">
                  <c:v>4</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6CF-48C7-81DF-6D2C96A7A46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Data'!$E$170:$BD$170</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6CF-48C7-81DF-6D2C96A7A46D}"/>
            </c:ext>
          </c:extLst>
        </c:ser>
        <c:dLbls>
          <c:showLegendKey val="0"/>
          <c:showVal val="0"/>
          <c:showCatName val="0"/>
          <c:showSerName val="0"/>
          <c:showPercent val="0"/>
          <c:showBubbleSize val="0"/>
        </c:dLbls>
        <c:axId val="415875055"/>
        <c:axId val="1"/>
      </c:scatterChart>
      <c:valAx>
        <c:axId val="415875055"/>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ax val="4.5"/>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Carbonate (mg/L)</a:t>
                </a:r>
              </a:p>
            </c:rich>
          </c:tx>
          <c:layout>
            <c:manualLayout>
              <c:xMode val="edge"/>
              <c:yMode val="edge"/>
              <c:x val="6.8872663843922485E-3"/>
              <c:y val="0.4419280628913713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75055"/>
        <c:crosses val="autoZero"/>
        <c:crossBetween val="midCat"/>
        <c:majorUnit val="0.5"/>
        <c:minorUnit val="0.25"/>
      </c:valAx>
      <c:spPr>
        <a:noFill/>
        <a:ln w="3175">
          <a:solidFill>
            <a:srgbClr val="000000"/>
          </a:solidFill>
          <a:prstDash val="solid"/>
        </a:ln>
      </c:spPr>
    </c:plotArea>
    <c:legend>
      <c:legendPos val="r"/>
      <c:layout>
        <c:manualLayout>
          <c:xMode val="edge"/>
          <c:yMode val="edge"/>
          <c:x val="0.79065818092823015"/>
          <c:y val="7.7451309991271269E-2"/>
          <c:w val="7.3693750312997061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Calcium</a:t>
            </a:r>
          </a:p>
        </c:rich>
      </c:tx>
      <c:layout>
        <c:manualLayout>
          <c:xMode val="edge"/>
          <c:yMode val="edge"/>
          <c:x val="0.47210304942652703"/>
          <c:y val="3.5715456112140949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286837867655312"/>
          <c:w val="0.8980295962084156"/>
          <c:h val="0.5071594767924014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Data'!$E$36:$BD$36</c:f>
              <c:numCache>
                <c:formatCode>0</c:formatCode>
                <c:ptCount val="52"/>
                <c:pt idx="1">
                  <c:v>61</c:v>
                </c:pt>
                <c:pt idx="2">
                  <c:v>61</c:v>
                </c:pt>
                <c:pt idx="3">
                  <c:v>61</c:v>
                </c:pt>
                <c:pt idx="4">
                  <c:v>63</c:v>
                </c:pt>
                <c:pt idx="5">
                  <c:v>62</c:v>
                </c:pt>
                <c:pt idx="7">
                  <c:v>64</c:v>
                </c:pt>
                <c:pt idx="9">
                  <c:v>66</c:v>
                </c:pt>
                <c:pt idx="10">
                  <c:v>66</c:v>
                </c:pt>
                <c:pt idx="11">
                  <c:v>66</c:v>
                </c:pt>
                <c:pt idx="12">
                  <c:v>66</c:v>
                </c:pt>
                <c:pt idx="13">
                  <c:v>65</c:v>
                </c:pt>
                <c:pt idx="14">
                  <c:v>63</c:v>
                </c:pt>
                <c:pt idx="15">
                  <c:v>62</c:v>
                </c:pt>
                <c:pt idx="16">
                  <c:v>66</c:v>
                </c:pt>
                <c:pt idx="17">
                  <c:v>51</c:v>
                </c:pt>
                <c:pt idx="18">
                  <c:v>48</c:v>
                </c:pt>
                <c:pt idx="19">
                  <c:v>52</c:v>
                </c:pt>
                <c:pt idx="20">
                  <c:v>53</c:v>
                </c:pt>
                <c:pt idx="21">
                  <c:v>53</c:v>
                </c:pt>
                <c:pt idx="22">
                  <c:v>55</c:v>
                </c:pt>
                <c:pt idx="23">
                  <c:v>54</c:v>
                </c:pt>
                <c:pt idx="24">
                  <c:v>51</c:v>
                </c:pt>
                <c:pt idx="25">
                  <c:v>48</c:v>
                </c:pt>
                <c:pt idx="26">
                  <c:v>52</c:v>
                </c:pt>
                <c:pt idx="27">
                  <c:v>48</c:v>
                </c:pt>
                <c:pt idx="28">
                  <c:v>50</c:v>
                </c:pt>
                <c:pt idx="29">
                  <c:v>44</c:v>
                </c:pt>
                <c:pt idx="30">
                  <c:v>45</c:v>
                </c:pt>
                <c:pt idx="31">
                  <c:v>43</c:v>
                </c:pt>
                <c:pt idx="32">
                  <c:v>46</c:v>
                </c:pt>
                <c:pt idx="33" formatCode="General;[Red]\-General">
                  <c:v>43</c:v>
                </c:pt>
                <c:pt idx="34">
                  <c:v>42</c:v>
                </c:pt>
                <c:pt idx="35">
                  <c:v>43</c:v>
                </c:pt>
                <c:pt idx="36">
                  <c:v>43</c:v>
                </c:pt>
                <c:pt idx="37">
                  <c:v>43</c:v>
                </c:pt>
                <c:pt idx="38">
                  <c:v>44</c:v>
                </c:pt>
                <c:pt idx="39">
                  <c:v>44</c:v>
                </c:pt>
                <c:pt idx="40">
                  <c:v>46</c:v>
                </c:pt>
                <c:pt idx="41">
                  <c:v>46</c:v>
                </c:pt>
                <c:pt idx="42">
                  <c:v>48</c:v>
                </c:pt>
                <c:pt idx="43">
                  <c:v>47</c:v>
                </c:pt>
                <c:pt idx="44">
                  <c:v>48</c:v>
                </c:pt>
                <c:pt idx="45">
                  <c:v>49</c:v>
                </c:pt>
                <c:pt idx="46" formatCode="General;[Red]\-General">
                  <c:v>48</c:v>
                </c:pt>
                <c:pt idx="47">
                  <c:v>50</c:v>
                </c:pt>
                <c:pt idx="48">
                  <c:v>51</c:v>
                </c:pt>
                <c:pt idx="49">
                  <c:v>54</c:v>
                </c:pt>
                <c:pt idx="50">
                  <c:v>54</c:v>
                </c:pt>
              </c:numCache>
            </c:numRef>
          </c:yVal>
          <c:smooth val="0"/>
          <c:extLst>
            <c:ext xmlns:c16="http://schemas.microsoft.com/office/drawing/2014/chart" uri="{C3380CC4-5D6E-409C-BE32-E72D297353CC}">
              <c16:uniqueId val="{00000000-000E-4697-848A-CC178BFFBDB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Data'!$E$171:$BD$171</c:f>
              <c:numCache>
                <c:formatCode>0</c:formatCode>
                <c:ptCount val="52"/>
                <c:pt idx="1">
                  <c:v>60</c:v>
                </c:pt>
                <c:pt idx="2">
                  <c:v>60</c:v>
                </c:pt>
                <c:pt idx="3">
                  <c:v>61</c:v>
                </c:pt>
                <c:pt idx="4">
                  <c:v>62</c:v>
                </c:pt>
                <c:pt idx="5">
                  <c:v>62</c:v>
                </c:pt>
                <c:pt idx="7">
                  <c:v>63</c:v>
                </c:pt>
                <c:pt idx="9">
                  <c:v>65</c:v>
                </c:pt>
                <c:pt idx="10">
                  <c:v>65</c:v>
                </c:pt>
                <c:pt idx="11">
                  <c:v>65</c:v>
                </c:pt>
                <c:pt idx="12">
                  <c:v>66</c:v>
                </c:pt>
                <c:pt idx="13">
                  <c:v>64</c:v>
                </c:pt>
                <c:pt idx="14">
                  <c:v>62</c:v>
                </c:pt>
                <c:pt idx="15">
                  <c:v>64</c:v>
                </c:pt>
                <c:pt idx="16">
                  <c:v>66</c:v>
                </c:pt>
                <c:pt idx="17">
                  <c:v>53</c:v>
                </c:pt>
                <c:pt idx="18">
                  <c:v>48</c:v>
                </c:pt>
                <c:pt idx="19">
                  <c:v>52</c:v>
                </c:pt>
                <c:pt idx="20">
                  <c:v>53</c:v>
                </c:pt>
                <c:pt idx="21">
                  <c:v>53</c:v>
                </c:pt>
                <c:pt idx="22">
                  <c:v>55</c:v>
                </c:pt>
                <c:pt idx="23">
                  <c:v>54</c:v>
                </c:pt>
                <c:pt idx="24">
                  <c:v>52</c:v>
                </c:pt>
                <c:pt idx="25">
                  <c:v>48</c:v>
                </c:pt>
                <c:pt idx="26">
                  <c:v>48</c:v>
                </c:pt>
                <c:pt idx="27">
                  <c:v>48</c:v>
                </c:pt>
                <c:pt idx="28">
                  <c:v>45</c:v>
                </c:pt>
                <c:pt idx="29">
                  <c:v>42</c:v>
                </c:pt>
                <c:pt idx="30">
                  <c:v>42</c:v>
                </c:pt>
                <c:pt idx="31">
                  <c:v>42</c:v>
                </c:pt>
                <c:pt idx="32">
                  <c:v>46</c:v>
                </c:pt>
                <c:pt idx="33" formatCode="General;[Red]\-General">
                  <c:v>42</c:v>
                </c:pt>
                <c:pt idx="34">
                  <c:v>42</c:v>
                </c:pt>
                <c:pt idx="35">
                  <c:v>42</c:v>
                </c:pt>
                <c:pt idx="36">
                  <c:v>42</c:v>
                </c:pt>
                <c:pt idx="37">
                  <c:v>42</c:v>
                </c:pt>
                <c:pt idx="38">
                  <c:v>43</c:v>
                </c:pt>
                <c:pt idx="39">
                  <c:v>44</c:v>
                </c:pt>
                <c:pt idx="40">
                  <c:v>45</c:v>
                </c:pt>
                <c:pt idx="41">
                  <c:v>46</c:v>
                </c:pt>
                <c:pt idx="42">
                  <c:v>46</c:v>
                </c:pt>
                <c:pt idx="43">
                  <c:v>46</c:v>
                </c:pt>
                <c:pt idx="44">
                  <c:v>48</c:v>
                </c:pt>
                <c:pt idx="45">
                  <c:v>48</c:v>
                </c:pt>
                <c:pt idx="46" formatCode="General;[Red]\-General">
                  <c:v>48</c:v>
                </c:pt>
                <c:pt idx="47">
                  <c:v>49</c:v>
                </c:pt>
                <c:pt idx="48">
                  <c:v>50</c:v>
                </c:pt>
                <c:pt idx="49">
                  <c:v>53</c:v>
                </c:pt>
                <c:pt idx="50">
                  <c:v>54</c:v>
                </c:pt>
              </c:numCache>
            </c:numRef>
          </c:yVal>
          <c:smooth val="0"/>
          <c:extLst>
            <c:ext xmlns:c16="http://schemas.microsoft.com/office/drawing/2014/chart" uri="{C3380CC4-5D6E-409C-BE32-E72D297353CC}">
              <c16:uniqueId val="{00000001-000E-4697-848A-CC178BFFBDBF}"/>
            </c:ext>
          </c:extLst>
        </c:ser>
        <c:dLbls>
          <c:showLegendKey val="0"/>
          <c:showVal val="0"/>
          <c:showCatName val="0"/>
          <c:showSerName val="0"/>
          <c:showPercent val="0"/>
          <c:showBubbleSize val="0"/>
        </c:dLbls>
        <c:axId val="415872559"/>
        <c:axId val="1"/>
      </c:scatterChart>
      <c:valAx>
        <c:axId val="4158725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14571291362391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Calcium (mg/L)</a:t>
                </a:r>
              </a:p>
            </c:rich>
          </c:tx>
          <c:layout>
            <c:manualLayout>
              <c:xMode val="edge"/>
              <c:yMode val="edge"/>
              <c:x val="3.4460076600476425E-3"/>
              <c:y val="0.3571545611214095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2559"/>
        <c:crosses val="autoZero"/>
        <c:crossBetween val="midCat"/>
      </c:valAx>
      <c:spPr>
        <a:noFill/>
        <a:ln w="3175">
          <a:solidFill>
            <a:srgbClr val="000000"/>
          </a:solidFill>
          <a:prstDash val="solid"/>
        </a:ln>
      </c:spPr>
    </c:plotArea>
    <c:legend>
      <c:legendPos val="r"/>
      <c:layout>
        <c:manualLayout>
          <c:xMode val="edge"/>
          <c:yMode val="edge"/>
          <c:x val="0.79189256027894828"/>
          <c:y val="0.10000327711399466"/>
          <c:w val="7.3744563925019546E-2"/>
          <c:h val="0.1750057349494906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Total Hardness</a:t>
            </a:r>
          </a:p>
        </c:rich>
      </c:tx>
      <c:layout>
        <c:manualLayout>
          <c:xMode val="edge"/>
          <c:yMode val="edge"/>
          <c:x val="0.44904976826237458"/>
          <c:y val="3.5588291428950418E-2"/>
        </c:manualLayout>
      </c:layout>
      <c:overlay val="0"/>
      <c:spPr>
        <a:noFill/>
        <a:ln w="3175">
          <a:solidFill>
            <a:srgbClr val="000000"/>
          </a:solidFill>
          <a:prstDash val="solid"/>
        </a:ln>
      </c:spPr>
    </c:title>
    <c:autoTitleDeleted val="0"/>
    <c:plotArea>
      <c:layout>
        <c:manualLayout>
          <c:layoutTarget val="inner"/>
          <c:xMode val="edge"/>
          <c:yMode val="edge"/>
          <c:x val="5.2343224521381085E-2"/>
          <c:y val="0.34520642686081904"/>
          <c:w val="0.89809953652474916"/>
          <c:h val="0.5053537382910958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Data'!$E$38:$BD$38</c:f>
              <c:numCache>
                <c:formatCode>0</c:formatCode>
                <c:ptCount val="52"/>
                <c:pt idx="1">
                  <c:v>265</c:v>
                </c:pt>
                <c:pt idx="2">
                  <c:v>262</c:v>
                </c:pt>
                <c:pt idx="3">
                  <c:v>261</c:v>
                </c:pt>
                <c:pt idx="4">
                  <c:v>266</c:v>
                </c:pt>
                <c:pt idx="5">
                  <c:v>266</c:v>
                </c:pt>
                <c:pt idx="7">
                  <c:v>272</c:v>
                </c:pt>
                <c:pt idx="9">
                  <c:v>276</c:v>
                </c:pt>
                <c:pt idx="10">
                  <c:v>280</c:v>
                </c:pt>
                <c:pt idx="11">
                  <c:v>276</c:v>
                </c:pt>
                <c:pt idx="12">
                  <c:v>273</c:v>
                </c:pt>
                <c:pt idx="13">
                  <c:v>270</c:v>
                </c:pt>
                <c:pt idx="14">
                  <c:v>265</c:v>
                </c:pt>
                <c:pt idx="15">
                  <c:v>270</c:v>
                </c:pt>
                <c:pt idx="16">
                  <c:v>279</c:v>
                </c:pt>
                <c:pt idx="17">
                  <c:v>209</c:v>
                </c:pt>
                <c:pt idx="18">
                  <c:v>200</c:v>
                </c:pt>
                <c:pt idx="19">
                  <c:v>222</c:v>
                </c:pt>
                <c:pt idx="20">
                  <c:v>216</c:v>
                </c:pt>
                <c:pt idx="21">
                  <c:v>220</c:v>
                </c:pt>
                <c:pt idx="22">
                  <c:v>221</c:v>
                </c:pt>
                <c:pt idx="23">
                  <c:v>222</c:v>
                </c:pt>
                <c:pt idx="24">
                  <c:v>212</c:v>
                </c:pt>
                <c:pt idx="25">
                  <c:v>202</c:v>
                </c:pt>
                <c:pt idx="26">
                  <c:v>204</c:v>
                </c:pt>
                <c:pt idx="27">
                  <c:v>205</c:v>
                </c:pt>
                <c:pt idx="28">
                  <c:v>199</c:v>
                </c:pt>
                <c:pt idx="29">
                  <c:v>185</c:v>
                </c:pt>
                <c:pt idx="30">
                  <c:v>199</c:v>
                </c:pt>
                <c:pt idx="31">
                  <c:v>185</c:v>
                </c:pt>
                <c:pt idx="32">
                  <c:v>185</c:v>
                </c:pt>
                <c:pt idx="33" formatCode="General;[Red]\-General">
                  <c:v>186</c:v>
                </c:pt>
                <c:pt idx="34">
                  <c:v>186</c:v>
                </c:pt>
                <c:pt idx="35">
                  <c:v>186</c:v>
                </c:pt>
                <c:pt idx="36">
                  <c:v>187</c:v>
                </c:pt>
                <c:pt idx="37">
                  <c:v>188</c:v>
                </c:pt>
                <c:pt idx="38">
                  <c:v>190</c:v>
                </c:pt>
                <c:pt idx="39">
                  <c:v>192</c:v>
                </c:pt>
                <c:pt idx="40">
                  <c:v>194</c:v>
                </c:pt>
                <c:pt idx="41">
                  <c:v>197</c:v>
                </c:pt>
                <c:pt idx="42">
                  <c:v>198</c:v>
                </c:pt>
                <c:pt idx="43">
                  <c:v>200</c:v>
                </c:pt>
                <c:pt idx="44">
                  <c:v>201</c:v>
                </c:pt>
                <c:pt idx="45">
                  <c:v>202</c:v>
                </c:pt>
                <c:pt idx="46" formatCode="General;[Red]\-General">
                  <c:v>204</c:v>
                </c:pt>
                <c:pt idx="47">
                  <c:v>204</c:v>
                </c:pt>
                <c:pt idx="48">
                  <c:v>217</c:v>
                </c:pt>
                <c:pt idx="49">
                  <c:v>223</c:v>
                </c:pt>
                <c:pt idx="50">
                  <c:v>229</c:v>
                </c:pt>
              </c:numCache>
            </c:numRef>
          </c:yVal>
          <c:smooth val="0"/>
          <c:extLst>
            <c:ext xmlns:c16="http://schemas.microsoft.com/office/drawing/2014/chart" uri="{C3380CC4-5D6E-409C-BE32-E72D297353CC}">
              <c16:uniqueId val="{00000000-0CBF-418B-AD45-7D884329DE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Data'!$E$173:$BD$173</c:f>
              <c:numCache>
                <c:formatCode>0</c:formatCode>
                <c:ptCount val="52"/>
                <c:pt idx="1">
                  <c:v>259</c:v>
                </c:pt>
                <c:pt idx="2">
                  <c:v>261</c:v>
                </c:pt>
                <c:pt idx="3">
                  <c:v>262</c:v>
                </c:pt>
                <c:pt idx="4">
                  <c:v>265</c:v>
                </c:pt>
                <c:pt idx="5">
                  <c:v>265</c:v>
                </c:pt>
                <c:pt idx="7">
                  <c:v>271</c:v>
                </c:pt>
                <c:pt idx="9">
                  <c:v>277</c:v>
                </c:pt>
                <c:pt idx="10">
                  <c:v>277</c:v>
                </c:pt>
                <c:pt idx="11">
                  <c:v>276</c:v>
                </c:pt>
                <c:pt idx="12">
                  <c:v>274</c:v>
                </c:pt>
                <c:pt idx="13">
                  <c:v>268</c:v>
                </c:pt>
                <c:pt idx="14">
                  <c:v>262</c:v>
                </c:pt>
                <c:pt idx="15">
                  <c:v>270</c:v>
                </c:pt>
                <c:pt idx="16">
                  <c:v>279</c:v>
                </c:pt>
                <c:pt idx="17">
                  <c:v>214</c:v>
                </c:pt>
                <c:pt idx="18">
                  <c:v>200</c:v>
                </c:pt>
                <c:pt idx="19">
                  <c:v>212</c:v>
                </c:pt>
                <c:pt idx="20">
                  <c:v>217</c:v>
                </c:pt>
                <c:pt idx="21">
                  <c:v>219</c:v>
                </c:pt>
                <c:pt idx="22">
                  <c:v>222</c:v>
                </c:pt>
                <c:pt idx="23">
                  <c:v>221</c:v>
                </c:pt>
                <c:pt idx="24">
                  <c:v>210</c:v>
                </c:pt>
                <c:pt idx="25">
                  <c:v>202</c:v>
                </c:pt>
                <c:pt idx="26">
                  <c:v>206</c:v>
                </c:pt>
                <c:pt idx="27">
                  <c:v>204</c:v>
                </c:pt>
                <c:pt idx="28">
                  <c:v>199</c:v>
                </c:pt>
                <c:pt idx="29">
                  <c:v>189</c:v>
                </c:pt>
                <c:pt idx="30">
                  <c:v>188</c:v>
                </c:pt>
                <c:pt idx="31">
                  <c:v>186</c:v>
                </c:pt>
                <c:pt idx="32">
                  <c:v>185</c:v>
                </c:pt>
                <c:pt idx="33" formatCode="General;[Red]\-General">
                  <c:v>188</c:v>
                </c:pt>
                <c:pt idx="34">
                  <c:v>186</c:v>
                </c:pt>
                <c:pt idx="35">
                  <c:v>186</c:v>
                </c:pt>
                <c:pt idx="36">
                  <c:v>187</c:v>
                </c:pt>
                <c:pt idx="37">
                  <c:v>188</c:v>
                </c:pt>
                <c:pt idx="38">
                  <c:v>189</c:v>
                </c:pt>
                <c:pt idx="39">
                  <c:v>192</c:v>
                </c:pt>
                <c:pt idx="40">
                  <c:v>194</c:v>
                </c:pt>
                <c:pt idx="41">
                  <c:v>197</c:v>
                </c:pt>
                <c:pt idx="42">
                  <c:v>197</c:v>
                </c:pt>
                <c:pt idx="43">
                  <c:v>199</c:v>
                </c:pt>
                <c:pt idx="44">
                  <c:v>200</c:v>
                </c:pt>
                <c:pt idx="45">
                  <c:v>201</c:v>
                </c:pt>
                <c:pt idx="46" formatCode="General;[Red]\-General">
                  <c:v>202</c:v>
                </c:pt>
                <c:pt idx="47">
                  <c:v>205</c:v>
                </c:pt>
                <c:pt idx="48">
                  <c:v>214</c:v>
                </c:pt>
                <c:pt idx="49">
                  <c:v>222</c:v>
                </c:pt>
                <c:pt idx="50">
                  <c:v>227</c:v>
                </c:pt>
              </c:numCache>
            </c:numRef>
          </c:yVal>
          <c:smooth val="0"/>
          <c:extLst>
            <c:ext xmlns:c16="http://schemas.microsoft.com/office/drawing/2014/chart" uri="{C3380CC4-5D6E-409C-BE32-E72D297353CC}">
              <c16:uniqueId val="{00000001-0CBF-418B-AD45-7D884329DE15}"/>
            </c:ext>
          </c:extLst>
        </c:ser>
        <c:dLbls>
          <c:showLegendKey val="0"/>
          <c:showVal val="0"/>
          <c:showCatName val="0"/>
          <c:showSerName val="0"/>
          <c:showPercent val="0"/>
          <c:showBubbleSize val="0"/>
        </c:dLbls>
        <c:axId val="415877135"/>
        <c:axId val="1"/>
      </c:scatterChart>
      <c:valAx>
        <c:axId val="415877135"/>
        <c:scaling>
          <c:orientation val="minMax"/>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767231498549614"/>
              <c:y val="0.8790307982950752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Total Hardness (mg/L CaCO3)</a:t>
                </a:r>
              </a:p>
            </c:rich>
          </c:tx>
          <c:layout>
            <c:manualLayout>
              <c:xMode val="edge"/>
              <c:yMode val="edge"/>
              <c:x val="3.4436331921961242E-3"/>
              <c:y val="0.3238534520034487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415877135"/>
        <c:crosses val="autoZero"/>
        <c:crossBetween val="midCat"/>
        <c:majorUnit val="5"/>
        <c:minorUnit val="2.5"/>
      </c:valAx>
      <c:spPr>
        <a:noFill/>
        <a:ln w="3175">
          <a:solidFill>
            <a:srgbClr val="000000"/>
          </a:solidFill>
          <a:prstDash val="solid"/>
        </a:ln>
      </c:spPr>
    </c:plotArea>
    <c:legend>
      <c:legendPos val="r"/>
      <c:layout>
        <c:manualLayout>
          <c:xMode val="edge"/>
          <c:yMode val="edge"/>
          <c:x val="0.78996945428979082"/>
          <c:y val="0.14591199485869671"/>
          <c:w val="7.3693750312997061E-2"/>
          <c:h val="0.1743826280018570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Magnesium</a:t>
            </a:r>
          </a:p>
        </c:rich>
      </c:tx>
      <c:layout>
        <c:manualLayout>
          <c:xMode val="edge"/>
          <c:yMode val="edge"/>
          <c:x val="0.4610758249143746"/>
          <c:y val="3.8733587520591042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15598172270301"/>
          <c:w val="0.8980295962084156"/>
          <c:h val="0.5105791082259728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Data'!$E$37:$BD$37</c:f>
              <c:numCache>
                <c:formatCode>0</c:formatCode>
                <c:ptCount val="52"/>
                <c:pt idx="1">
                  <c:v>27</c:v>
                </c:pt>
                <c:pt idx="2">
                  <c:v>27</c:v>
                </c:pt>
                <c:pt idx="3">
                  <c:v>26</c:v>
                </c:pt>
                <c:pt idx="4">
                  <c:v>26</c:v>
                </c:pt>
                <c:pt idx="5">
                  <c:v>27</c:v>
                </c:pt>
                <c:pt idx="7">
                  <c:v>27</c:v>
                </c:pt>
                <c:pt idx="9">
                  <c:v>27</c:v>
                </c:pt>
                <c:pt idx="10">
                  <c:v>28</c:v>
                </c:pt>
                <c:pt idx="11">
                  <c:v>27</c:v>
                </c:pt>
                <c:pt idx="12">
                  <c:v>26</c:v>
                </c:pt>
                <c:pt idx="13">
                  <c:v>26</c:v>
                </c:pt>
                <c:pt idx="14">
                  <c:v>26</c:v>
                </c:pt>
                <c:pt idx="15">
                  <c:v>28</c:v>
                </c:pt>
                <c:pt idx="16">
                  <c:v>28</c:v>
                </c:pt>
                <c:pt idx="17">
                  <c:v>20</c:v>
                </c:pt>
                <c:pt idx="18">
                  <c:v>19</c:v>
                </c:pt>
                <c:pt idx="19">
                  <c:v>22</c:v>
                </c:pt>
                <c:pt idx="20">
                  <c:v>20</c:v>
                </c:pt>
                <c:pt idx="21">
                  <c:v>21</c:v>
                </c:pt>
                <c:pt idx="22">
                  <c:v>20</c:v>
                </c:pt>
                <c:pt idx="23">
                  <c:v>21</c:v>
                </c:pt>
                <c:pt idx="24">
                  <c:v>21</c:v>
                </c:pt>
                <c:pt idx="25">
                  <c:v>20</c:v>
                </c:pt>
                <c:pt idx="26">
                  <c:v>18</c:v>
                </c:pt>
                <c:pt idx="27">
                  <c:v>20</c:v>
                </c:pt>
                <c:pt idx="28">
                  <c:v>17</c:v>
                </c:pt>
                <c:pt idx="29">
                  <c:v>18</c:v>
                </c:pt>
                <c:pt idx="30">
                  <c:v>21</c:v>
                </c:pt>
                <c:pt idx="31">
                  <c:v>19</c:v>
                </c:pt>
                <c:pt idx="32">
                  <c:v>17</c:v>
                </c:pt>
                <c:pt idx="33" formatCode="General;[Red]\-General">
                  <c:v>19</c:v>
                </c:pt>
                <c:pt idx="34">
                  <c:v>20</c:v>
                </c:pt>
                <c:pt idx="35">
                  <c:v>19</c:v>
                </c:pt>
                <c:pt idx="36">
                  <c:v>19</c:v>
                </c:pt>
                <c:pt idx="37">
                  <c:v>19</c:v>
                </c:pt>
                <c:pt idx="38">
                  <c:v>20</c:v>
                </c:pt>
                <c:pt idx="39">
                  <c:v>20</c:v>
                </c:pt>
                <c:pt idx="40">
                  <c:v>19</c:v>
                </c:pt>
                <c:pt idx="41">
                  <c:v>20</c:v>
                </c:pt>
                <c:pt idx="42">
                  <c:v>19</c:v>
                </c:pt>
                <c:pt idx="43">
                  <c:v>20</c:v>
                </c:pt>
                <c:pt idx="44">
                  <c:v>20</c:v>
                </c:pt>
                <c:pt idx="45">
                  <c:v>19</c:v>
                </c:pt>
                <c:pt idx="46" formatCode="General;[Red]\-General">
                  <c:v>20</c:v>
                </c:pt>
                <c:pt idx="47">
                  <c:v>19</c:v>
                </c:pt>
                <c:pt idx="48">
                  <c:v>22</c:v>
                </c:pt>
                <c:pt idx="49">
                  <c:v>21</c:v>
                </c:pt>
                <c:pt idx="50">
                  <c:v>23</c:v>
                </c:pt>
              </c:numCache>
            </c:numRef>
          </c:yVal>
          <c:smooth val="0"/>
          <c:extLst>
            <c:ext xmlns:c16="http://schemas.microsoft.com/office/drawing/2014/chart" uri="{C3380CC4-5D6E-409C-BE32-E72D297353CC}">
              <c16:uniqueId val="{00000000-9D79-4680-A080-FEF003E7DD0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Data'!$E$172:$BD$172</c:f>
              <c:numCache>
                <c:formatCode>0</c:formatCode>
                <c:ptCount val="52"/>
                <c:pt idx="1">
                  <c:v>26</c:v>
                </c:pt>
                <c:pt idx="2">
                  <c:v>27</c:v>
                </c:pt>
                <c:pt idx="3">
                  <c:v>27</c:v>
                </c:pt>
                <c:pt idx="4">
                  <c:v>27</c:v>
                </c:pt>
                <c:pt idx="5">
                  <c:v>27</c:v>
                </c:pt>
                <c:pt idx="7">
                  <c:v>27</c:v>
                </c:pt>
                <c:pt idx="9">
                  <c:v>28</c:v>
                </c:pt>
                <c:pt idx="10">
                  <c:v>28</c:v>
                </c:pt>
                <c:pt idx="11">
                  <c:v>27</c:v>
                </c:pt>
                <c:pt idx="12">
                  <c:v>26</c:v>
                </c:pt>
                <c:pt idx="13">
                  <c:v>26</c:v>
                </c:pt>
                <c:pt idx="14">
                  <c:v>26</c:v>
                </c:pt>
                <c:pt idx="15">
                  <c:v>27</c:v>
                </c:pt>
                <c:pt idx="16">
                  <c:v>28</c:v>
                </c:pt>
                <c:pt idx="17">
                  <c:v>20</c:v>
                </c:pt>
                <c:pt idx="18">
                  <c:v>19</c:v>
                </c:pt>
                <c:pt idx="19">
                  <c:v>20</c:v>
                </c:pt>
                <c:pt idx="20">
                  <c:v>21</c:v>
                </c:pt>
                <c:pt idx="21">
                  <c:v>21</c:v>
                </c:pt>
                <c:pt idx="22">
                  <c:v>21</c:v>
                </c:pt>
                <c:pt idx="23">
                  <c:v>21</c:v>
                </c:pt>
                <c:pt idx="24">
                  <c:v>20</c:v>
                </c:pt>
                <c:pt idx="25">
                  <c:v>20</c:v>
                </c:pt>
                <c:pt idx="26">
                  <c:v>21</c:v>
                </c:pt>
                <c:pt idx="27">
                  <c:v>20</c:v>
                </c:pt>
                <c:pt idx="28">
                  <c:v>21</c:v>
                </c:pt>
                <c:pt idx="29">
                  <c:v>20</c:v>
                </c:pt>
                <c:pt idx="30">
                  <c:v>20</c:v>
                </c:pt>
                <c:pt idx="31">
                  <c:v>20</c:v>
                </c:pt>
                <c:pt idx="32">
                  <c:v>17</c:v>
                </c:pt>
                <c:pt idx="33" formatCode="General;[Red]\-General">
                  <c:v>20</c:v>
                </c:pt>
                <c:pt idx="34">
                  <c:v>20</c:v>
                </c:pt>
                <c:pt idx="35">
                  <c:v>20</c:v>
                </c:pt>
                <c:pt idx="36">
                  <c:v>20</c:v>
                </c:pt>
                <c:pt idx="37">
                  <c:v>20</c:v>
                </c:pt>
                <c:pt idx="38">
                  <c:v>20</c:v>
                </c:pt>
                <c:pt idx="39">
                  <c:v>20</c:v>
                </c:pt>
                <c:pt idx="40">
                  <c:v>20</c:v>
                </c:pt>
                <c:pt idx="41">
                  <c:v>20</c:v>
                </c:pt>
                <c:pt idx="42">
                  <c:v>20</c:v>
                </c:pt>
                <c:pt idx="43">
                  <c:v>20</c:v>
                </c:pt>
                <c:pt idx="44">
                  <c:v>20</c:v>
                </c:pt>
                <c:pt idx="45">
                  <c:v>20</c:v>
                </c:pt>
                <c:pt idx="46" formatCode="General;[Red]\-General">
                  <c:v>20</c:v>
                </c:pt>
                <c:pt idx="47">
                  <c:v>20</c:v>
                </c:pt>
                <c:pt idx="48">
                  <c:v>20</c:v>
                </c:pt>
                <c:pt idx="49">
                  <c:v>22</c:v>
                </c:pt>
                <c:pt idx="50">
                  <c:v>23</c:v>
                </c:pt>
              </c:numCache>
            </c:numRef>
          </c:yVal>
          <c:smooth val="0"/>
          <c:extLst>
            <c:ext xmlns:c16="http://schemas.microsoft.com/office/drawing/2014/chart" uri="{C3380CC4-5D6E-409C-BE32-E72D297353CC}">
              <c16:uniqueId val="{00000001-9D79-4680-A080-FEF003E7DD0F}"/>
            </c:ext>
          </c:extLst>
        </c:ser>
        <c:dLbls>
          <c:showLegendKey val="0"/>
          <c:showVal val="0"/>
          <c:showCatName val="0"/>
          <c:showSerName val="0"/>
          <c:showPercent val="0"/>
          <c:showBubbleSize val="0"/>
        </c:dLbls>
        <c:axId val="415877551"/>
        <c:axId val="1"/>
      </c:scatterChart>
      <c:valAx>
        <c:axId val="41587755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326633682787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Magnesium (mg/L)</a:t>
                </a:r>
              </a:p>
            </c:rich>
          </c:tx>
          <c:layout>
            <c:manualLayout>
              <c:xMode val="edge"/>
              <c:yMode val="edge"/>
              <c:x val="3.4460076600476425E-3"/>
              <c:y val="0.3098687001647283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7551"/>
        <c:crosses val="autoZero"/>
        <c:crossBetween val="midCat"/>
        <c:majorUnit val="1"/>
        <c:minorUnit val="0.5"/>
      </c:valAx>
      <c:spPr>
        <a:noFill/>
        <a:ln w="3175">
          <a:solidFill>
            <a:srgbClr val="000000"/>
          </a:solidFill>
          <a:prstDash val="solid"/>
        </a:ln>
      </c:spPr>
    </c:plotArea>
    <c:legend>
      <c:legendPos val="r"/>
      <c:layout>
        <c:manualLayout>
          <c:xMode val="edge"/>
          <c:yMode val="edge"/>
          <c:x val="0.79189256027894828"/>
          <c:y val="0.1126795273326285"/>
          <c:w val="7.3744563925019546E-2"/>
          <c:h val="0.1725405262280873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Sodium</a:t>
            </a:r>
          </a:p>
        </c:rich>
      </c:tx>
      <c:layout>
        <c:manualLayout>
          <c:xMode val="edge"/>
          <c:yMode val="edge"/>
          <c:x val="0.4672786387024603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57719496743225E-2"/>
          <c:y val="0.28702544290882881"/>
          <c:w val="0.89527279008037752"/>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Data'!$E$39:$BD$39</c:f>
              <c:numCache>
                <c:formatCode>0</c:formatCode>
                <c:ptCount val="52"/>
                <c:pt idx="1">
                  <c:v>53</c:v>
                </c:pt>
                <c:pt idx="2">
                  <c:v>54</c:v>
                </c:pt>
                <c:pt idx="3">
                  <c:v>54</c:v>
                </c:pt>
                <c:pt idx="4">
                  <c:v>54</c:v>
                </c:pt>
                <c:pt idx="5">
                  <c:v>54</c:v>
                </c:pt>
                <c:pt idx="7">
                  <c:v>54</c:v>
                </c:pt>
                <c:pt idx="9">
                  <c:v>55</c:v>
                </c:pt>
                <c:pt idx="10">
                  <c:v>56</c:v>
                </c:pt>
                <c:pt idx="11">
                  <c:v>54</c:v>
                </c:pt>
                <c:pt idx="12">
                  <c:v>53</c:v>
                </c:pt>
                <c:pt idx="13">
                  <c:v>54</c:v>
                </c:pt>
                <c:pt idx="14">
                  <c:v>53</c:v>
                </c:pt>
                <c:pt idx="15">
                  <c:v>52</c:v>
                </c:pt>
                <c:pt idx="16">
                  <c:v>56</c:v>
                </c:pt>
                <c:pt idx="17">
                  <c:v>41</c:v>
                </c:pt>
                <c:pt idx="18">
                  <c:v>42</c:v>
                </c:pt>
                <c:pt idx="19">
                  <c:v>44</c:v>
                </c:pt>
                <c:pt idx="20">
                  <c:v>44</c:v>
                </c:pt>
                <c:pt idx="21">
                  <c:v>44</c:v>
                </c:pt>
                <c:pt idx="22">
                  <c:v>45</c:v>
                </c:pt>
                <c:pt idx="23">
                  <c:v>46</c:v>
                </c:pt>
                <c:pt idx="24">
                  <c:v>46</c:v>
                </c:pt>
                <c:pt idx="25">
                  <c:v>46</c:v>
                </c:pt>
                <c:pt idx="27">
                  <c:v>45</c:v>
                </c:pt>
                <c:pt idx="28">
                  <c:v>45</c:v>
                </c:pt>
                <c:pt idx="29">
                  <c:v>43</c:v>
                </c:pt>
                <c:pt idx="30">
                  <c:v>42</c:v>
                </c:pt>
                <c:pt idx="31">
                  <c:v>41</c:v>
                </c:pt>
                <c:pt idx="32">
                  <c:v>40</c:v>
                </c:pt>
                <c:pt idx="33" formatCode="General;[Red]\-General">
                  <c:v>41</c:v>
                </c:pt>
                <c:pt idx="34">
                  <c:v>40</c:v>
                </c:pt>
                <c:pt idx="35">
                  <c:v>42</c:v>
                </c:pt>
                <c:pt idx="36">
                  <c:v>40</c:v>
                </c:pt>
                <c:pt idx="37">
                  <c:v>39</c:v>
                </c:pt>
                <c:pt idx="38">
                  <c:v>37</c:v>
                </c:pt>
                <c:pt idx="39">
                  <c:v>39</c:v>
                </c:pt>
                <c:pt idx="40">
                  <c:v>38</c:v>
                </c:pt>
                <c:pt idx="41">
                  <c:v>39</c:v>
                </c:pt>
                <c:pt idx="42">
                  <c:v>39</c:v>
                </c:pt>
                <c:pt idx="43">
                  <c:v>38</c:v>
                </c:pt>
                <c:pt idx="44">
                  <c:v>39</c:v>
                </c:pt>
                <c:pt idx="45">
                  <c:v>38</c:v>
                </c:pt>
                <c:pt idx="46" formatCode="General;[Red]\-General">
                  <c:v>38</c:v>
                </c:pt>
                <c:pt idx="47">
                  <c:v>38</c:v>
                </c:pt>
                <c:pt idx="48">
                  <c:v>40</c:v>
                </c:pt>
                <c:pt idx="49">
                  <c:v>41</c:v>
                </c:pt>
                <c:pt idx="50">
                  <c:v>42</c:v>
                </c:pt>
              </c:numCache>
            </c:numRef>
          </c:yVal>
          <c:smooth val="0"/>
          <c:extLst>
            <c:ext xmlns:c16="http://schemas.microsoft.com/office/drawing/2014/chart" uri="{C3380CC4-5D6E-409C-BE32-E72D297353CC}">
              <c16:uniqueId val="{00000000-6D0B-460E-9ACC-4C546D88119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Data'!$E$174:$BD$174</c:f>
              <c:numCache>
                <c:formatCode>0</c:formatCode>
                <c:ptCount val="52"/>
                <c:pt idx="1">
                  <c:v>53</c:v>
                </c:pt>
                <c:pt idx="2">
                  <c:v>54</c:v>
                </c:pt>
                <c:pt idx="3">
                  <c:v>54</c:v>
                </c:pt>
                <c:pt idx="4">
                  <c:v>54</c:v>
                </c:pt>
                <c:pt idx="5">
                  <c:v>54</c:v>
                </c:pt>
                <c:pt idx="7">
                  <c:v>54</c:v>
                </c:pt>
                <c:pt idx="9">
                  <c:v>55</c:v>
                </c:pt>
                <c:pt idx="10">
                  <c:v>56</c:v>
                </c:pt>
                <c:pt idx="11">
                  <c:v>54</c:v>
                </c:pt>
                <c:pt idx="12">
                  <c:v>54</c:v>
                </c:pt>
                <c:pt idx="13">
                  <c:v>54</c:v>
                </c:pt>
                <c:pt idx="14">
                  <c:v>53</c:v>
                </c:pt>
                <c:pt idx="15">
                  <c:v>52</c:v>
                </c:pt>
                <c:pt idx="16">
                  <c:v>55</c:v>
                </c:pt>
                <c:pt idx="17">
                  <c:v>43</c:v>
                </c:pt>
                <c:pt idx="18">
                  <c:v>43</c:v>
                </c:pt>
                <c:pt idx="19">
                  <c:v>44</c:v>
                </c:pt>
                <c:pt idx="20">
                  <c:v>44</c:v>
                </c:pt>
                <c:pt idx="21">
                  <c:v>44</c:v>
                </c:pt>
                <c:pt idx="22">
                  <c:v>45</c:v>
                </c:pt>
                <c:pt idx="23">
                  <c:v>45</c:v>
                </c:pt>
                <c:pt idx="24">
                  <c:v>46</c:v>
                </c:pt>
                <c:pt idx="25">
                  <c:v>46</c:v>
                </c:pt>
                <c:pt idx="27">
                  <c:v>45</c:v>
                </c:pt>
                <c:pt idx="28">
                  <c:v>45</c:v>
                </c:pt>
                <c:pt idx="29">
                  <c:v>43</c:v>
                </c:pt>
                <c:pt idx="30">
                  <c:v>42</c:v>
                </c:pt>
                <c:pt idx="31">
                  <c:v>41</c:v>
                </c:pt>
                <c:pt idx="32">
                  <c:v>41</c:v>
                </c:pt>
                <c:pt idx="33" formatCode="General;[Red]\-General">
                  <c:v>41</c:v>
                </c:pt>
                <c:pt idx="34">
                  <c:v>40</c:v>
                </c:pt>
                <c:pt idx="35">
                  <c:v>42</c:v>
                </c:pt>
                <c:pt idx="36">
                  <c:v>40</c:v>
                </c:pt>
                <c:pt idx="37">
                  <c:v>39</c:v>
                </c:pt>
                <c:pt idx="38">
                  <c:v>38</c:v>
                </c:pt>
                <c:pt idx="39">
                  <c:v>39</c:v>
                </c:pt>
                <c:pt idx="40">
                  <c:v>38</c:v>
                </c:pt>
                <c:pt idx="41">
                  <c:v>39</c:v>
                </c:pt>
                <c:pt idx="42">
                  <c:v>39</c:v>
                </c:pt>
                <c:pt idx="43">
                  <c:v>38</c:v>
                </c:pt>
                <c:pt idx="44">
                  <c:v>39</c:v>
                </c:pt>
                <c:pt idx="45">
                  <c:v>38</c:v>
                </c:pt>
                <c:pt idx="46" formatCode="General;[Red]\-General">
                  <c:v>39</c:v>
                </c:pt>
                <c:pt idx="47">
                  <c:v>38</c:v>
                </c:pt>
                <c:pt idx="48">
                  <c:v>40</c:v>
                </c:pt>
                <c:pt idx="49">
                  <c:v>41</c:v>
                </c:pt>
                <c:pt idx="50">
                  <c:v>42</c:v>
                </c:pt>
              </c:numCache>
            </c:numRef>
          </c:yVal>
          <c:smooth val="0"/>
          <c:extLst>
            <c:ext xmlns:c16="http://schemas.microsoft.com/office/drawing/2014/chart" uri="{C3380CC4-5D6E-409C-BE32-E72D297353CC}">
              <c16:uniqueId val="{00000001-6D0B-460E-9ACC-4C546D881191}"/>
            </c:ext>
          </c:extLst>
        </c:ser>
        <c:dLbls>
          <c:showLegendKey val="0"/>
          <c:showVal val="0"/>
          <c:showCatName val="0"/>
          <c:showSerName val="0"/>
          <c:showPercent val="0"/>
          <c:showBubbleSize val="0"/>
        </c:dLbls>
        <c:axId val="415868399"/>
        <c:axId val="1"/>
      </c:scatterChart>
      <c:valAx>
        <c:axId val="415868399"/>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Sodium (mg/L)</a:t>
                </a:r>
              </a:p>
            </c:rich>
          </c:tx>
          <c:layout>
            <c:manualLayout>
              <c:xMode val="edge"/>
              <c:yMode val="edge"/>
              <c:x val="6.8920153200952849E-3"/>
              <c:y val="0.4647078599476275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8399"/>
        <c:crosses val="autoZero"/>
        <c:crossBetween val="midCat"/>
      </c:valAx>
      <c:spPr>
        <a:noFill/>
        <a:ln w="3175">
          <a:solidFill>
            <a:srgbClr val="000000"/>
          </a:solidFill>
          <a:prstDash val="solid"/>
        </a:ln>
      </c:spPr>
    </c:plotArea>
    <c:legend>
      <c:legendPos val="r"/>
      <c:layout>
        <c:manualLayout>
          <c:xMode val="edge"/>
          <c:yMode val="edge"/>
          <c:x val="0.79051415721492924"/>
          <c:y val="7.7451309991271269E-2"/>
          <c:w val="7.3744563925019546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Potassium</a:t>
            </a:r>
          </a:p>
        </c:rich>
      </c:tx>
      <c:layout>
        <c:manualLayout>
          <c:xMode val="edge"/>
          <c:yMode val="edge"/>
          <c:x val="0.45524830800832761"/>
          <c:y val="3.2037640950456345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833876855410712"/>
          <c:w val="0.89534462997099229"/>
          <c:h val="0.6018499692835728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Data'!$E$40:$BD$40</c:f>
              <c:numCache>
                <c:formatCode>0.0</c:formatCode>
                <c:ptCount val="52"/>
                <c:pt idx="1">
                  <c:v>6.4</c:v>
                </c:pt>
                <c:pt idx="2">
                  <c:v>6</c:v>
                </c:pt>
                <c:pt idx="3">
                  <c:v>6.1</c:v>
                </c:pt>
                <c:pt idx="4">
                  <c:v>7.2</c:v>
                </c:pt>
                <c:pt idx="5">
                  <c:v>7.8</c:v>
                </c:pt>
                <c:pt idx="7">
                  <c:v>6.4</c:v>
                </c:pt>
                <c:pt idx="9">
                  <c:v>5.5</c:v>
                </c:pt>
                <c:pt idx="10">
                  <c:v>5.5</c:v>
                </c:pt>
                <c:pt idx="11">
                  <c:v>5.7</c:v>
                </c:pt>
                <c:pt idx="12">
                  <c:v>5.5</c:v>
                </c:pt>
                <c:pt idx="13">
                  <c:v>5.7</c:v>
                </c:pt>
                <c:pt idx="14">
                  <c:v>5.3</c:v>
                </c:pt>
                <c:pt idx="15">
                  <c:v>5.3</c:v>
                </c:pt>
                <c:pt idx="16">
                  <c:v>5.7</c:v>
                </c:pt>
                <c:pt idx="17">
                  <c:v>4.3</c:v>
                </c:pt>
                <c:pt idx="18">
                  <c:v>4.4000000000000004</c:v>
                </c:pt>
                <c:pt idx="19">
                  <c:v>4.5999999999999996</c:v>
                </c:pt>
                <c:pt idx="20">
                  <c:v>5</c:v>
                </c:pt>
                <c:pt idx="21">
                  <c:v>4.8</c:v>
                </c:pt>
                <c:pt idx="22">
                  <c:v>4.8</c:v>
                </c:pt>
                <c:pt idx="23">
                  <c:v>5</c:v>
                </c:pt>
                <c:pt idx="24">
                  <c:v>5.0999999999999996</c:v>
                </c:pt>
                <c:pt idx="25">
                  <c:v>5.0999999999999996</c:v>
                </c:pt>
                <c:pt idx="27">
                  <c:v>5</c:v>
                </c:pt>
                <c:pt idx="28">
                  <c:v>4.9000000000000004</c:v>
                </c:pt>
                <c:pt idx="29">
                  <c:v>4.8</c:v>
                </c:pt>
                <c:pt idx="30">
                  <c:v>4.9000000000000004</c:v>
                </c:pt>
                <c:pt idx="31">
                  <c:v>4.5999999999999996</c:v>
                </c:pt>
                <c:pt idx="32">
                  <c:v>4.5</c:v>
                </c:pt>
                <c:pt idx="33" formatCode="General;[Red]\-General">
                  <c:v>4.5</c:v>
                </c:pt>
                <c:pt idx="34">
                  <c:v>4.5999999999999996</c:v>
                </c:pt>
                <c:pt idx="35">
                  <c:v>4.4000000000000004</c:v>
                </c:pt>
                <c:pt idx="36">
                  <c:v>4.4000000000000004</c:v>
                </c:pt>
                <c:pt idx="37">
                  <c:v>4.3</c:v>
                </c:pt>
                <c:pt idx="38">
                  <c:v>4.2</c:v>
                </c:pt>
                <c:pt idx="39">
                  <c:v>4.3</c:v>
                </c:pt>
                <c:pt idx="40">
                  <c:v>4.2</c:v>
                </c:pt>
                <c:pt idx="41">
                  <c:v>4.2</c:v>
                </c:pt>
                <c:pt idx="42">
                  <c:v>4.2</c:v>
                </c:pt>
                <c:pt idx="43">
                  <c:v>4</c:v>
                </c:pt>
                <c:pt idx="44">
                  <c:v>4</c:v>
                </c:pt>
                <c:pt idx="45">
                  <c:v>4</c:v>
                </c:pt>
                <c:pt idx="46" formatCode="General;[Red]\-General">
                  <c:v>4</c:v>
                </c:pt>
                <c:pt idx="47">
                  <c:v>4</c:v>
                </c:pt>
                <c:pt idx="48">
                  <c:v>4.2</c:v>
                </c:pt>
                <c:pt idx="49">
                  <c:v>4.2</c:v>
                </c:pt>
                <c:pt idx="50">
                  <c:v>4.2</c:v>
                </c:pt>
              </c:numCache>
            </c:numRef>
          </c:yVal>
          <c:smooth val="0"/>
          <c:extLst>
            <c:ext xmlns:c16="http://schemas.microsoft.com/office/drawing/2014/chart" uri="{C3380CC4-5D6E-409C-BE32-E72D297353CC}">
              <c16:uniqueId val="{00000000-AB98-41C0-9A2A-7ABB914A02D3}"/>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Data'!$E$175:$BD$175</c:f>
              <c:numCache>
                <c:formatCode>0.0</c:formatCode>
                <c:ptCount val="52"/>
                <c:pt idx="1">
                  <c:v>6.4</c:v>
                </c:pt>
                <c:pt idx="2">
                  <c:v>6.1</c:v>
                </c:pt>
                <c:pt idx="3">
                  <c:v>6</c:v>
                </c:pt>
                <c:pt idx="4">
                  <c:v>6.9</c:v>
                </c:pt>
                <c:pt idx="5">
                  <c:v>7.6</c:v>
                </c:pt>
                <c:pt idx="7">
                  <c:v>6.3</c:v>
                </c:pt>
                <c:pt idx="9">
                  <c:v>5.5</c:v>
                </c:pt>
                <c:pt idx="10">
                  <c:v>5.4</c:v>
                </c:pt>
                <c:pt idx="11">
                  <c:v>5.7</c:v>
                </c:pt>
                <c:pt idx="12">
                  <c:v>5.5</c:v>
                </c:pt>
                <c:pt idx="13">
                  <c:v>5.7</c:v>
                </c:pt>
                <c:pt idx="14">
                  <c:v>5.2</c:v>
                </c:pt>
                <c:pt idx="15">
                  <c:v>5.3</c:v>
                </c:pt>
                <c:pt idx="16">
                  <c:v>5.7</c:v>
                </c:pt>
                <c:pt idx="17">
                  <c:v>4.4000000000000004</c:v>
                </c:pt>
                <c:pt idx="18">
                  <c:v>4.5999999999999996</c:v>
                </c:pt>
                <c:pt idx="19">
                  <c:v>4.7</c:v>
                </c:pt>
                <c:pt idx="20">
                  <c:v>5</c:v>
                </c:pt>
                <c:pt idx="21">
                  <c:v>4.8</c:v>
                </c:pt>
                <c:pt idx="22">
                  <c:v>4.9000000000000004</c:v>
                </c:pt>
                <c:pt idx="23">
                  <c:v>5</c:v>
                </c:pt>
                <c:pt idx="24">
                  <c:v>5.2</c:v>
                </c:pt>
                <c:pt idx="25">
                  <c:v>5.2</c:v>
                </c:pt>
                <c:pt idx="27">
                  <c:v>5.0999999999999996</c:v>
                </c:pt>
                <c:pt idx="28">
                  <c:v>4.9000000000000004</c:v>
                </c:pt>
                <c:pt idx="29">
                  <c:v>4.9000000000000004</c:v>
                </c:pt>
                <c:pt idx="30">
                  <c:v>4.8</c:v>
                </c:pt>
                <c:pt idx="31">
                  <c:v>4.7</c:v>
                </c:pt>
                <c:pt idx="32">
                  <c:v>4.5999999999999996</c:v>
                </c:pt>
                <c:pt idx="33" formatCode="General;[Red]\-General">
                  <c:v>4.5</c:v>
                </c:pt>
                <c:pt idx="34">
                  <c:v>4.5999999999999996</c:v>
                </c:pt>
                <c:pt idx="35">
                  <c:v>4.4000000000000004</c:v>
                </c:pt>
                <c:pt idx="36">
                  <c:v>4.4000000000000004</c:v>
                </c:pt>
                <c:pt idx="37">
                  <c:v>4.4000000000000004</c:v>
                </c:pt>
                <c:pt idx="38">
                  <c:v>4.4000000000000004</c:v>
                </c:pt>
                <c:pt idx="39">
                  <c:v>4.2</c:v>
                </c:pt>
                <c:pt idx="40">
                  <c:v>4.3</c:v>
                </c:pt>
                <c:pt idx="41">
                  <c:v>4.2</c:v>
                </c:pt>
                <c:pt idx="42">
                  <c:v>4.2</c:v>
                </c:pt>
                <c:pt idx="43">
                  <c:v>4</c:v>
                </c:pt>
                <c:pt idx="44">
                  <c:v>4</c:v>
                </c:pt>
                <c:pt idx="45">
                  <c:v>4</c:v>
                </c:pt>
                <c:pt idx="46" formatCode="General;[Red]\-General">
                  <c:v>4</c:v>
                </c:pt>
                <c:pt idx="47">
                  <c:v>4</c:v>
                </c:pt>
                <c:pt idx="48">
                  <c:v>4.0999999999999996</c:v>
                </c:pt>
                <c:pt idx="49">
                  <c:v>4.2</c:v>
                </c:pt>
                <c:pt idx="50">
                  <c:v>4.2</c:v>
                </c:pt>
              </c:numCache>
            </c:numRef>
          </c:yVal>
          <c:smooth val="0"/>
          <c:extLst>
            <c:ext xmlns:c16="http://schemas.microsoft.com/office/drawing/2014/chart" uri="{C3380CC4-5D6E-409C-BE32-E72D297353CC}">
              <c16:uniqueId val="{00000001-AB98-41C0-9A2A-7ABB914A02D3}"/>
            </c:ext>
          </c:extLst>
        </c:ser>
        <c:dLbls>
          <c:showLegendKey val="0"/>
          <c:showVal val="0"/>
          <c:showCatName val="0"/>
          <c:showSerName val="0"/>
          <c:showPercent val="0"/>
          <c:showBubbleSize val="0"/>
        </c:dLbls>
        <c:axId val="415869647"/>
        <c:axId val="1"/>
      </c:scatterChart>
      <c:valAx>
        <c:axId val="41586964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379990488266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Potassium (mg/L)</a:t>
                </a:r>
              </a:p>
            </c:rich>
          </c:tx>
          <c:layout>
            <c:manualLayout>
              <c:xMode val="edge"/>
              <c:yMode val="edge"/>
              <c:x val="6.8872663843922485E-3"/>
              <c:y val="0.44166176453129108"/>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9647"/>
        <c:crosses val="autoZero"/>
        <c:crossBetween val="midCat"/>
      </c:valAx>
      <c:spPr>
        <a:noFill/>
        <a:ln w="3175">
          <a:solidFill>
            <a:srgbClr val="000000"/>
          </a:solidFill>
          <a:prstDash val="solid"/>
        </a:ln>
      </c:spPr>
    </c:plotArea>
    <c:legend>
      <c:legendPos val="r"/>
      <c:layout>
        <c:manualLayout>
          <c:xMode val="edge"/>
          <c:yMode val="edge"/>
          <c:x val="0.79065818092823015"/>
          <c:y val="7.5517296526075681E-2"/>
          <c:w val="7.3693750312997061E-2"/>
          <c:h val="0.1121317433265972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Sulphate</a:t>
            </a:r>
          </a:p>
        </c:rich>
      </c:tx>
      <c:layout>
        <c:manualLayout>
          <c:xMode val="edge"/>
          <c:yMode val="edge"/>
          <c:x val="0.45073780193423163"/>
          <c:y val="2.5057748890278637E-2"/>
        </c:manualLayout>
      </c:layout>
      <c:overlay val="0"/>
      <c:spPr>
        <a:noFill/>
        <a:ln w="3175">
          <a:solidFill>
            <a:srgbClr val="000000"/>
          </a:solidFill>
          <a:prstDash val="solid"/>
        </a:ln>
      </c:spPr>
    </c:title>
    <c:autoTitleDeleted val="0"/>
    <c:plotArea>
      <c:layout>
        <c:manualLayout>
          <c:layoutTarget val="inner"/>
          <c:xMode val="edge"/>
          <c:yMode val="edge"/>
          <c:x val="6.3406540944876619E-2"/>
          <c:y val="0.2471605231450211"/>
          <c:w val="0.88562396863224413"/>
          <c:h val="0.651501471147244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Data'!$E$41:$BD$41</c:f>
              <c:numCache>
                <c:formatCode>0</c:formatCode>
                <c:ptCount val="52"/>
                <c:pt idx="1">
                  <c:v>151</c:v>
                </c:pt>
                <c:pt idx="2">
                  <c:v>151</c:v>
                </c:pt>
                <c:pt idx="3">
                  <c:v>150</c:v>
                </c:pt>
                <c:pt idx="4">
                  <c:v>153</c:v>
                </c:pt>
                <c:pt idx="5">
                  <c:v>154</c:v>
                </c:pt>
                <c:pt idx="7">
                  <c:v>155</c:v>
                </c:pt>
                <c:pt idx="9">
                  <c:v>158</c:v>
                </c:pt>
                <c:pt idx="10">
                  <c:v>158</c:v>
                </c:pt>
                <c:pt idx="11">
                  <c:v>156</c:v>
                </c:pt>
                <c:pt idx="12">
                  <c:v>154</c:v>
                </c:pt>
                <c:pt idx="13">
                  <c:v>149</c:v>
                </c:pt>
                <c:pt idx="14">
                  <c:v>146</c:v>
                </c:pt>
                <c:pt idx="15">
                  <c:v>148</c:v>
                </c:pt>
                <c:pt idx="16">
                  <c:v>152</c:v>
                </c:pt>
                <c:pt idx="17">
                  <c:v>114</c:v>
                </c:pt>
                <c:pt idx="18">
                  <c:v>112</c:v>
                </c:pt>
                <c:pt idx="19">
                  <c:v>118</c:v>
                </c:pt>
                <c:pt idx="20">
                  <c:v>121</c:v>
                </c:pt>
                <c:pt idx="21">
                  <c:v>122</c:v>
                </c:pt>
                <c:pt idx="22">
                  <c:v>123</c:v>
                </c:pt>
                <c:pt idx="23">
                  <c:v>126</c:v>
                </c:pt>
                <c:pt idx="24">
                  <c:v>125</c:v>
                </c:pt>
                <c:pt idx="25">
                  <c:v>124</c:v>
                </c:pt>
                <c:pt idx="27">
                  <c:v>122</c:v>
                </c:pt>
                <c:pt idx="28">
                  <c:v>119</c:v>
                </c:pt>
                <c:pt idx="29">
                  <c:v>116</c:v>
                </c:pt>
                <c:pt idx="30">
                  <c:v>117</c:v>
                </c:pt>
                <c:pt idx="31">
                  <c:v>111</c:v>
                </c:pt>
                <c:pt idx="32">
                  <c:v>105</c:v>
                </c:pt>
                <c:pt idx="33" formatCode="General;[Red]\-General">
                  <c:v>109</c:v>
                </c:pt>
                <c:pt idx="34">
                  <c:v>110</c:v>
                </c:pt>
                <c:pt idx="35">
                  <c:v>111</c:v>
                </c:pt>
                <c:pt idx="36">
                  <c:v>111</c:v>
                </c:pt>
                <c:pt idx="37">
                  <c:v>108</c:v>
                </c:pt>
                <c:pt idx="38">
                  <c:v>106</c:v>
                </c:pt>
                <c:pt idx="39">
                  <c:v>108</c:v>
                </c:pt>
                <c:pt idx="40">
                  <c:v>105</c:v>
                </c:pt>
                <c:pt idx="41">
                  <c:v>108</c:v>
                </c:pt>
                <c:pt idx="42">
                  <c:v>108</c:v>
                </c:pt>
                <c:pt idx="43">
                  <c:v>106</c:v>
                </c:pt>
                <c:pt idx="44">
                  <c:v>107</c:v>
                </c:pt>
                <c:pt idx="45">
                  <c:v>105</c:v>
                </c:pt>
                <c:pt idx="46" formatCode="General;[Red]\-General">
                  <c:v>107</c:v>
                </c:pt>
                <c:pt idx="47">
                  <c:v>106</c:v>
                </c:pt>
                <c:pt idx="48">
                  <c:v>112</c:v>
                </c:pt>
                <c:pt idx="49">
                  <c:v>115</c:v>
                </c:pt>
                <c:pt idx="50">
                  <c:v>117</c:v>
                </c:pt>
              </c:numCache>
            </c:numRef>
          </c:yVal>
          <c:smooth val="0"/>
          <c:extLst>
            <c:ext xmlns:c16="http://schemas.microsoft.com/office/drawing/2014/chart" uri="{C3380CC4-5D6E-409C-BE32-E72D297353CC}">
              <c16:uniqueId val="{00000000-7A0B-48C6-8849-65517FA69E0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Data'!$E$176:$BD$176</c:f>
              <c:numCache>
                <c:formatCode>0</c:formatCode>
                <c:ptCount val="52"/>
                <c:pt idx="1">
                  <c:v>175</c:v>
                </c:pt>
                <c:pt idx="2">
                  <c:v>178</c:v>
                </c:pt>
                <c:pt idx="3">
                  <c:v>177</c:v>
                </c:pt>
                <c:pt idx="4">
                  <c:v>181</c:v>
                </c:pt>
                <c:pt idx="5">
                  <c:v>181</c:v>
                </c:pt>
                <c:pt idx="7">
                  <c:v>184</c:v>
                </c:pt>
                <c:pt idx="9">
                  <c:v>188</c:v>
                </c:pt>
                <c:pt idx="10">
                  <c:v>188</c:v>
                </c:pt>
                <c:pt idx="11">
                  <c:v>185</c:v>
                </c:pt>
                <c:pt idx="12">
                  <c:v>184</c:v>
                </c:pt>
                <c:pt idx="13">
                  <c:v>181</c:v>
                </c:pt>
                <c:pt idx="14">
                  <c:v>179</c:v>
                </c:pt>
                <c:pt idx="15">
                  <c:v>185</c:v>
                </c:pt>
                <c:pt idx="16">
                  <c:v>185</c:v>
                </c:pt>
                <c:pt idx="17">
                  <c:v>150</c:v>
                </c:pt>
                <c:pt idx="18">
                  <c:v>150</c:v>
                </c:pt>
                <c:pt idx="19">
                  <c:v>153</c:v>
                </c:pt>
                <c:pt idx="20">
                  <c:v>152</c:v>
                </c:pt>
                <c:pt idx="21">
                  <c:v>152</c:v>
                </c:pt>
                <c:pt idx="22">
                  <c:v>157</c:v>
                </c:pt>
                <c:pt idx="23">
                  <c:v>157</c:v>
                </c:pt>
                <c:pt idx="24">
                  <c:v>159</c:v>
                </c:pt>
                <c:pt idx="25">
                  <c:v>158</c:v>
                </c:pt>
                <c:pt idx="27">
                  <c:v>156</c:v>
                </c:pt>
                <c:pt idx="28">
                  <c:v>153</c:v>
                </c:pt>
                <c:pt idx="29">
                  <c:v>149</c:v>
                </c:pt>
                <c:pt idx="30">
                  <c:v>150</c:v>
                </c:pt>
                <c:pt idx="31">
                  <c:v>145</c:v>
                </c:pt>
                <c:pt idx="32">
                  <c:v>145</c:v>
                </c:pt>
                <c:pt idx="33" formatCode="General;[Red]\-General">
                  <c:v>146</c:v>
                </c:pt>
                <c:pt idx="34">
                  <c:v>152</c:v>
                </c:pt>
                <c:pt idx="35">
                  <c:v>152</c:v>
                </c:pt>
                <c:pt idx="36">
                  <c:v>153</c:v>
                </c:pt>
                <c:pt idx="37">
                  <c:v>146</c:v>
                </c:pt>
                <c:pt idx="38">
                  <c:v>145</c:v>
                </c:pt>
                <c:pt idx="39">
                  <c:v>147</c:v>
                </c:pt>
                <c:pt idx="40">
                  <c:v>144</c:v>
                </c:pt>
                <c:pt idx="41">
                  <c:v>153</c:v>
                </c:pt>
                <c:pt idx="42">
                  <c:v>148</c:v>
                </c:pt>
                <c:pt idx="43">
                  <c:v>146</c:v>
                </c:pt>
                <c:pt idx="44">
                  <c:v>142</c:v>
                </c:pt>
                <c:pt idx="45">
                  <c:v>140</c:v>
                </c:pt>
                <c:pt idx="46" formatCode="General;[Red]\-General">
                  <c:v>135</c:v>
                </c:pt>
                <c:pt idx="47">
                  <c:v>132</c:v>
                </c:pt>
                <c:pt idx="48">
                  <c:v>140</c:v>
                </c:pt>
                <c:pt idx="49">
                  <c:v>141</c:v>
                </c:pt>
                <c:pt idx="50">
                  <c:v>142</c:v>
                </c:pt>
              </c:numCache>
            </c:numRef>
          </c:yVal>
          <c:smooth val="0"/>
          <c:extLst>
            <c:ext xmlns:c16="http://schemas.microsoft.com/office/drawing/2014/chart" uri="{C3380CC4-5D6E-409C-BE32-E72D297353CC}">
              <c16:uniqueId val="{00000001-7A0B-48C6-8849-65517FA69E0D}"/>
            </c:ext>
          </c:extLst>
        </c:ser>
        <c:dLbls>
          <c:showLegendKey val="0"/>
          <c:showVal val="0"/>
          <c:showCatName val="0"/>
          <c:showSerName val="0"/>
          <c:showPercent val="0"/>
          <c:showBubbleSize val="0"/>
        </c:dLbls>
        <c:axId val="415870479"/>
        <c:axId val="1"/>
      </c:scatterChart>
      <c:valAx>
        <c:axId val="41587047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558852380174571"/>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Sulphate (mg/L)</a:t>
                </a:r>
              </a:p>
            </c:rich>
          </c:tx>
          <c:layout>
            <c:manualLayout>
              <c:xMode val="edge"/>
              <c:yMode val="edge"/>
              <c:x val="3.4460076600476425E-3"/>
              <c:y val="0.4590124001264677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0479"/>
        <c:crosses val="autoZero"/>
        <c:crossBetween val="midCat"/>
      </c:valAx>
      <c:spPr>
        <a:noFill/>
        <a:ln w="3175">
          <a:solidFill>
            <a:srgbClr val="000000"/>
          </a:solidFill>
          <a:prstDash val="solid"/>
        </a:ln>
      </c:spPr>
    </c:plotArea>
    <c:legend>
      <c:legendPos val="r"/>
      <c:layout>
        <c:manualLayout>
          <c:xMode val="edge"/>
          <c:yMode val="edge"/>
          <c:x val="0.77397332044670053"/>
          <c:y val="6.6061337983461865E-2"/>
          <c:w val="0.1095830435895150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Raw &amp; CW DOC @ 254 nm</a:t>
            </a:r>
          </a:p>
        </c:rich>
      </c:tx>
      <c:layout>
        <c:manualLayout>
          <c:xMode val="edge"/>
          <c:yMode val="edge"/>
          <c:x val="0.36871162687557346"/>
          <c:y val="2.508629340749152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509422774737229E-2"/>
          <c:y val="0.232618357051285"/>
          <c:w val="0.87933744107375966"/>
          <c:h val="0.66250620317057152"/>
        </c:manualLayout>
      </c:layout>
      <c:lineChart>
        <c:grouping val="standard"/>
        <c:varyColors val="0"/>
        <c:ser>
          <c:idx val="0"/>
          <c:order val="0"/>
          <c:tx>
            <c:v>Raw DOC</c:v>
          </c:tx>
          <c:spPr>
            <a:ln w="3175">
              <a:solidFill>
                <a:srgbClr val="FF0000"/>
              </a:solidFill>
              <a:prstDash val="solid"/>
            </a:ln>
          </c:spPr>
          <c:marker>
            <c:symbol val="square"/>
            <c:size val="5"/>
            <c:spPr>
              <a:solidFill>
                <a:srgbClr val="FF0000"/>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val>
          <c:smooth val="0"/>
          <c:extLst>
            <c:ext xmlns:c16="http://schemas.microsoft.com/office/drawing/2014/chart" uri="{C3380CC4-5D6E-409C-BE32-E72D297353CC}">
              <c16:uniqueId val="{00000000-9547-4DDA-AF34-BAB204368B0C}"/>
            </c:ext>
          </c:extLst>
        </c:ser>
        <c:dLbls>
          <c:showLegendKey val="0"/>
          <c:showVal val="0"/>
          <c:showCatName val="0"/>
          <c:showSerName val="0"/>
          <c:showPercent val="0"/>
          <c:showBubbleSize val="0"/>
        </c:dLbls>
        <c:marker val="1"/>
        <c:smooth val="0"/>
        <c:axId val="442856271"/>
        <c:axId val="1"/>
      </c:lineChart>
      <c:lineChart>
        <c:grouping val="standard"/>
        <c:varyColors val="0"/>
        <c:ser>
          <c:idx val="1"/>
          <c:order val="1"/>
          <c:tx>
            <c:v>CW DOC</c:v>
          </c:tx>
          <c:spPr>
            <a:ln w="3175">
              <a:solidFill>
                <a:srgbClr val="0000FF"/>
              </a:solidFill>
              <a:prstDash val="solid"/>
            </a:ln>
          </c:spPr>
          <c:marker>
            <c:symbol val="diamond"/>
            <c:size val="5"/>
            <c:spPr>
              <a:solidFill>
                <a:srgbClr val="0000FF"/>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val>
          <c:smooth val="0"/>
          <c:extLst>
            <c:ext xmlns:c16="http://schemas.microsoft.com/office/drawing/2014/chart" uri="{C3380CC4-5D6E-409C-BE32-E72D297353CC}">
              <c16:uniqueId val="{00000001-9547-4DDA-AF34-BAB204368B0C}"/>
            </c:ext>
          </c:extLst>
        </c:ser>
        <c:dLbls>
          <c:showLegendKey val="0"/>
          <c:showVal val="0"/>
          <c:showCatName val="0"/>
          <c:showSerName val="0"/>
          <c:showPercent val="0"/>
          <c:showBubbleSize val="0"/>
        </c:dLbls>
        <c:marker val="1"/>
        <c:smooth val="0"/>
        <c:axId val="3"/>
        <c:axId val="4"/>
      </c:lineChart>
      <c:catAx>
        <c:axId val="442856271"/>
        <c:scaling>
          <c:orientation val="minMax"/>
        </c:scaling>
        <c:delete val="0"/>
        <c:axPos val="b"/>
        <c:title>
          <c:tx>
            <c:rich>
              <a:bodyPr/>
              <a:lstStyle/>
              <a:p>
                <a:pPr>
                  <a:defRPr sz="1200" b="0" i="0" u="none" strike="noStrike" baseline="0">
                    <a:solidFill>
                      <a:srgbClr val="000000"/>
                    </a:solidFill>
                    <a:latin typeface="Arial MT"/>
                    <a:ea typeface="Arial MT"/>
                    <a:cs typeface="Arial MT"/>
                  </a:defRPr>
                </a:pPr>
                <a:r>
                  <a:rPr lang="en-US"/>
                  <a:t>Date of Analysis</a:t>
                </a:r>
              </a:p>
            </c:rich>
          </c:tx>
          <c:layout>
            <c:manualLayout>
              <c:xMode val="edge"/>
              <c:yMode val="edge"/>
              <c:x val="0.44563707420932619"/>
              <c:y val="0.96582229618842352"/>
            </c:manualLayout>
          </c:layout>
          <c:overlay val="0"/>
          <c:spPr>
            <a:noFill/>
            <a:ln w="25400">
              <a:noFill/>
            </a:ln>
          </c:spPr>
        </c:title>
        <c:numFmt formatCode="dd\-mmm" sourceLinked="1"/>
        <c:majorTickMark val="in"/>
        <c:minorTickMark val="none"/>
        <c:tickLblPos val="low"/>
        <c:spPr>
          <a:ln w="3175">
            <a:solidFill>
              <a:srgbClr val="000000"/>
            </a:solidFill>
            <a:prstDash val="solid"/>
          </a:ln>
        </c:spPr>
        <c:txPr>
          <a:bodyPr rot="-5400000" vert="horz"/>
          <a:lstStyle/>
          <a:p>
            <a:pPr>
              <a:defRPr sz="1100" b="0" i="0" u="none" strike="noStrike" baseline="0">
                <a:solidFill>
                  <a:srgbClr val="000000"/>
                </a:solidFill>
                <a:latin typeface="Arial MT"/>
                <a:ea typeface="Arial MT"/>
                <a:cs typeface="Arial MT"/>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MT"/>
                    <a:ea typeface="Arial MT"/>
                    <a:cs typeface="Arial MT"/>
                  </a:defRPr>
                </a:pPr>
                <a:r>
                  <a:rPr lang="en-US"/>
                  <a:t>Raw DOC @ 254 nm</a:t>
                </a:r>
              </a:p>
            </c:rich>
          </c:tx>
          <c:layout>
            <c:manualLayout>
              <c:xMode val="edge"/>
              <c:yMode val="edge"/>
              <c:x val="3.3157520402479625E-3"/>
              <c:y val="0.47663957474233887"/>
            </c:manualLayout>
          </c:layout>
          <c:overlay val="0"/>
          <c:spPr>
            <a:noFill/>
            <a:ln w="25400">
              <a:noFill/>
            </a:ln>
          </c:spPr>
        </c:title>
        <c:numFmt formatCode="0.000" sourceLinked="0"/>
        <c:majorTickMark val="in"/>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2856271"/>
        <c:crosses val="autoZero"/>
        <c:crossBetween val="between"/>
      </c:valAx>
      <c:catAx>
        <c:axId val="3"/>
        <c:scaling>
          <c:orientation val="minMax"/>
        </c:scaling>
        <c:delete val="1"/>
        <c:axPos val="b"/>
        <c:numFmt formatCode="dd\-mmm" sourceLinked="1"/>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200" b="0" i="0" u="none" strike="noStrike" baseline="0">
                    <a:solidFill>
                      <a:srgbClr val="000000"/>
                    </a:solidFill>
                    <a:latin typeface="Arial MT"/>
                    <a:ea typeface="Arial MT"/>
                    <a:cs typeface="Arial MT"/>
                  </a:defRPr>
                </a:pPr>
                <a:r>
                  <a:rPr lang="en-US"/>
                  <a:t>CW DOC @ 254 nm</a:t>
                </a:r>
              </a:p>
            </c:rich>
          </c:tx>
          <c:layout>
            <c:manualLayout>
              <c:xMode val="edge"/>
              <c:yMode val="edge"/>
              <c:x val="0.95758918922361158"/>
              <c:y val="0.47892014687029266"/>
            </c:manualLayout>
          </c:layout>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between"/>
      </c:valAx>
      <c:spPr>
        <a:solidFill>
          <a:srgbClr val="FFFFFF"/>
        </a:solidFill>
        <a:ln w="3175">
          <a:solidFill>
            <a:srgbClr val="000000"/>
          </a:solidFill>
          <a:prstDash val="solid"/>
        </a:ln>
      </c:spPr>
    </c:plotArea>
    <c:legend>
      <c:legendPos val="r"/>
      <c:layout>
        <c:manualLayout>
          <c:xMode val="edge"/>
          <c:yMode val="edge"/>
          <c:x val="0.73808640415919646"/>
          <c:y val="9.2363171182127876E-2"/>
          <c:w val="7.5599146517653551E-2"/>
          <c:h val="5.5874017134867476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Chloride</a:t>
            </a:r>
          </a:p>
        </c:rich>
      </c:tx>
      <c:layout>
        <c:manualLayout>
          <c:xMode val="edge"/>
          <c:yMode val="edge"/>
          <c:x val="0.45318212809300995"/>
          <c:y val="2.5029226966525576E-2"/>
        </c:manualLayout>
      </c:layout>
      <c:overlay val="0"/>
      <c:spPr>
        <a:noFill/>
        <a:ln w="3175">
          <a:solidFill>
            <a:srgbClr val="000000"/>
          </a:solidFill>
          <a:prstDash val="solid"/>
        </a:ln>
      </c:spPr>
    </c:title>
    <c:autoTitleDeleted val="0"/>
    <c:plotArea>
      <c:layout>
        <c:manualLayout>
          <c:layoutTarget val="inner"/>
          <c:xMode val="edge"/>
          <c:yMode val="edge"/>
          <c:x val="5.5098131075137988E-2"/>
          <c:y val="0.24687919326072955"/>
          <c:w val="0.89396717669411385"/>
          <c:h val="0.651897593264507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Data'!$E$42:$BD$42</c:f>
              <c:numCache>
                <c:formatCode>0.0</c:formatCode>
                <c:ptCount val="52"/>
                <c:pt idx="1">
                  <c:v>14.4</c:v>
                </c:pt>
                <c:pt idx="2">
                  <c:v>14.3</c:v>
                </c:pt>
                <c:pt idx="3">
                  <c:v>14.3</c:v>
                </c:pt>
                <c:pt idx="4">
                  <c:v>14.6</c:v>
                </c:pt>
                <c:pt idx="5">
                  <c:v>14.7</c:v>
                </c:pt>
                <c:pt idx="7">
                  <c:v>14.8</c:v>
                </c:pt>
                <c:pt idx="9">
                  <c:v>15.1</c:v>
                </c:pt>
                <c:pt idx="10">
                  <c:v>15.2</c:v>
                </c:pt>
                <c:pt idx="11">
                  <c:v>15</c:v>
                </c:pt>
                <c:pt idx="12">
                  <c:v>14.9</c:v>
                </c:pt>
                <c:pt idx="13">
                  <c:v>14.3</c:v>
                </c:pt>
                <c:pt idx="14">
                  <c:v>14.2</c:v>
                </c:pt>
                <c:pt idx="15">
                  <c:v>14.6</c:v>
                </c:pt>
                <c:pt idx="16">
                  <c:v>14.9</c:v>
                </c:pt>
                <c:pt idx="17">
                  <c:v>11.2</c:v>
                </c:pt>
                <c:pt idx="18">
                  <c:v>11.1</c:v>
                </c:pt>
                <c:pt idx="19">
                  <c:v>11.7</c:v>
                </c:pt>
                <c:pt idx="20">
                  <c:v>12</c:v>
                </c:pt>
                <c:pt idx="21">
                  <c:v>12.2</c:v>
                </c:pt>
                <c:pt idx="22">
                  <c:v>12.5</c:v>
                </c:pt>
                <c:pt idx="23">
                  <c:v>12.6</c:v>
                </c:pt>
                <c:pt idx="24">
                  <c:v>12.6</c:v>
                </c:pt>
                <c:pt idx="25">
                  <c:v>12.3</c:v>
                </c:pt>
                <c:pt idx="27">
                  <c:v>12.4</c:v>
                </c:pt>
                <c:pt idx="28">
                  <c:v>12</c:v>
                </c:pt>
                <c:pt idx="29">
                  <c:v>11.7</c:v>
                </c:pt>
                <c:pt idx="30">
                  <c:v>12</c:v>
                </c:pt>
                <c:pt idx="31">
                  <c:v>11.2</c:v>
                </c:pt>
                <c:pt idx="32">
                  <c:v>10.8</c:v>
                </c:pt>
                <c:pt idx="33" formatCode="General;[Red]\-General">
                  <c:v>11.1</c:v>
                </c:pt>
                <c:pt idx="34">
                  <c:v>11.2</c:v>
                </c:pt>
                <c:pt idx="35">
                  <c:v>11.3</c:v>
                </c:pt>
                <c:pt idx="36">
                  <c:v>11.5</c:v>
                </c:pt>
                <c:pt idx="37">
                  <c:v>11.1</c:v>
                </c:pt>
                <c:pt idx="38">
                  <c:v>10.8</c:v>
                </c:pt>
                <c:pt idx="39">
                  <c:v>11.1</c:v>
                </c:pt>
                <c:pt idx="40">
                  <c:v>10.8</c:v>
                </c:pt>
                <c:pt idx="41">
                  <c:v>11.5</c:v>
                </c:pt>
                <c:pt idx="42">
                  <c:v>11.1</c:v>
                </c:pt>
                <c:pt idx="43">
                  <c:v>10.9</c:v>
                </c:pt>
                <c:pt idx="44">
                  <c:v>11</c:v>
                </c:pt>
                <c:pt idx="45">
                  <c:v>10.8</c:v>
                </c:pt>
                <c:pt idx="46" formatCode="General;[Red]\-General">
                  <c:v>11.1</c:v>
                </c:pt>
                <c:pt idx="47">
                  <c:v>11</c:v>
                </c:pt>
                <c:pt idx="48">
                  <c:v>11.5</c:v>
                </c:pt>
                <c:pt idx="49">
                  <c:v>11.8</c:v>
                </c:pt>
                <c:pt idx="50">
                  <c:v>12</c:v>
                </c:pt>
              </c:numCache>
            </c:numRef>
          </c:yVal>
          <c:smooth val="0"/>
          <c:extLst>
            <c:ext xmlns:c16="http://schemas.microsoft.com/office/drawing/2014/chart" uri="{C3380CC4-5D6E-409C-BE32-E72D297353CC}">
              <c16:uniqueId val="{00000000-324A-45DF-8549-338F272B9144}"/>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Data'!$E$177:$BD$177</c:f>
              <c:numCache>
                <c:formatCode>0.0</c:formatCode>
                <c:ptCount val="52"/>
                <c:pt idx="1">
                  <c:v>16.8</c:v>
                </c:pt>
                <c:pt idx="2">
                  <c:v>17.3</c:v>
                </c:pt>
                <c:pt idx="3">
                  <c:v>17.5</c:v>
                </c:pt>
                <c:pt idx="4">
                  <c:v>17.8</c:v>
                </c:pt>
                <c:pt idx="5">
                  <c:v>17.7</c:v>
                </c:pt>
                <c:pt idx="7">
                  <c:v>17.8</c:v>
                </c:pt>
                <c:pt idx="9">
                  <c:v>17.899999999999999</c:v>
                </c:pt>
                <c:pt idx="10">
                  <c:v>18.2</c:v>
                </c:pt>
                <c:pt idx="11">
                  <c:v>17.399999999999999</c:v>
                </c:pt>
                <c:pt idx="12">
                  <c:v>17.600000000000001</c:v>
                </c:pt>
                <c:pt idx="13">
                  <c:v>18.3</c:v>
                </c:pt>
                <c:pt idx="14">
                  <c:v>19</c:v>
                </c:pt>
                <c:pt idx="15">
                  <c:v>18.899999999999999</c:v>
                </c:pt>
                <c:pt idx="16">
                  <c:v>18.899999999999999</c:v>
                </c:pt>
                <c:pt idx="17">
                  <c:v>15.1</c:v>
                </c:pt>
                <c:pt idx="18">
                  <c:v>14.6</c:v>
                </c:pt>
                <c:pt idx="19">
                  <c:v>14.5</c:v>
                </c:pt>
                <c:pt idx="20">
                  <c:v>14.7</c:v>
                </c:pt>
                <c:pt idx="21">
                  <c:v>14.6</c:v>
                </c:pt>
                <c:pt idx="22">
                  <c:v>15</c:v>
                </c:pt>
                <c:pt idx="23">
                  <c:v>14.9</c:v>
                </c:pt>
                <c:pt idx="24">
                  <c:v>16.100000000000001</c:v>
                </c:pt>
                <c:pt idx="25">
                  <c:v>16.100000000000001</c:v>
                </c:pt>
                <c:pt idx="27">
                  <c:v>16.2</c:v>
                </c:pt>
                <c:pt idx="28">
                  <c:v>16.3</c:v>
                </c:pt>
                <c:pt idx="29">
                  <c:v>17.2</c:v>
                </c:pt>
                <c:pt idx="30">
                  <c:v>17.3</c:v>
                </c:pt>
                <c:pt idx="31">
                  <c:v>15.4</c:v>
                </c:pt>
                <c:pt idx="32">
                  <c:v>15.2</c:v>
                </c:pt>
                <c:pt idx="33" formatCode="0.0;[Red]\-0.0">
                  <c:v>16</c:v>
                </c:pt>
                <c:pt idx="34">
                  <c:v>16.100000000000001</c:v>
                </c:pt>
                <c:pt idx="35">
                  <c:v>15.9</c:v>
                </c:pt>
                <c:pt idx="36">
                  <c:v>16.399999999999999</c:v>
                </c:pt>
                <c:pt idx="37">
                  <c:v>15.5</c:v>
                </c:pt>
                <c:pt idx="38">
                  <c:v>15.7</c:v>
                </c:pt>
                <c:pt idx="39">
                  <c:v>15.1</c:v>
                </c:pt>
                <c:pt idx="40">
                  <c:v>14.7</c:v>
                </c:pt>
                <c:pt idx="41">
                  <c:v>15.5</c:v>
                </c:pt>
                <c:pt idx="42">
                  <c:v>15</c:v>
                </c:pt>
                <c:pt idx="43">
                  <c:v>13.5</c:v>
                </c:pt>
                <c:pt idx="44">
                  <c:v>14</c:v>
                </c:pt>
                <c:pt idx="45">
                  <c:v>13.6</c:v>
                </c:pt>
                <c:pt idx="46" formatCode="General;[Red]\-General">
                  <c:v>13.4</c:v>
                </c:pt>
                <c:pt idx="47">
                  <c:v>13.6</c:v>
                </c:pt>
                <c:pt idx="48">
                  <c:v>13.8</c:v>
                </c:pt>
                <c:pt idx="49">
                  <c:v>14.1</c:v>
                </c:pt>
                <c:pt idx="50">
                  <c:v>14.4</c:v>
                </c:pt>
              </c:numCache>
            </c:numRef>
          </c:yVal>
          <c:smooth val="0"/>
          <c:extLst>
            <c:ext xmlns:c16="http://schemas.microsoft.com/office/drawing/2014/chart" uri="{C3380CC4-5D6E-409C-BE32-E72D297353CC}">
              <c16:uniqueId val="{00000001-324A-45DF-8549-338F272B9144}"/>
            </c:ext>
          </c:extLst>
        </c:ser>
        <c:dLbls>
          <c:showLegendKey val="0"/>
          <c:showVal val="0"/>
          <c:showCatName val="0"/>
          <c:showSerName val="0"/>
          <c:showPercent val="0"/>
          <c:showBubbleSize val="0"/>
        </c:dLbls>
        <c:axId val="415879631"/>
        <c:axId val="1"/>
      </c:scatterChart>
      <c:valAx>
        <c:axId val="41587963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185852978665644"/>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Chloride (mg/L)</a:t>
                </a:r>
              </a:p>
            </c:rich>
          </c:tx>
          <c:layout>
            <c:manualLayout>
              <c:xMode val="edge"/>
              <c:yMode val="edge"/>
              <c:x val="3.4436331921961242E-3"/>
              <c:y val="0.4619030067458810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9631"/>
        <c:crosses val="autoZero"/>
        <c:crossBetween val="midCat"/>
      </c:valAx>
      <c:spPr>
        <a:noFill/>
        <a:ln w="3175">
          <a:solidFill>
            <a:srgbClr val="000000"/>
          </a:solidFill>
          <a:prstDash val="solid"/>
        </a:ln>
      </c:spPr>
    </c:plotArea>
    <c:legend>
      <c:legendPos val="r"/>
      <c:layout>
        <c:manualLayout>
          <c:xMode val="edge"/>
          <c:yMode val="edge"/>
          <c:x val="0.77344001496724946"/>
          <c:y val="6.5986143820840157E-2"/>
          <c:w val="0.1095075355118367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(dissolved 0.45 u)</a:t>
            </a:r>
          </a:p>
        </c:rich>
      </c:tx>
      <c:layout>
        <c:manualLayout>
          <c:xMode val="edge"/>
          <c:yMode val="edge"/>
          <c:x val="0.39877272365631117"/>
          <c:y val="3.8195742299966196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33681700028152012"/>
          <c:w val="0.89603335660943151"/>
          <c:h val="0.5173786911540875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BA9-4488-8E40-F26A17970FF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1-2BA9-4488-8E40-F26A17970FFD}"/>
            </c:ext>
          </c:extLst>
        </c:ser>
        <c:dLbls>
          <c:showLegendKey val="0"/>
          <c:showVal val="0"/>
          <c:showCatName val="0"/>
          <c:showSerName val="0"/>
          <c:showPercent val="0"/>
          <c:showBubbleSize val="0"/>
        </c:dLbls>
        <c:axId val="415881295"/>
        <c:axId val="1"/>
      </c:scatterChart>
      <c:valAx>
        <c:axId val="415881295"/>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940759532422541"/>
              <c:y val="0.87502973269013473"/>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Aluminum (dissolved 0.45 u) (ug/L)</a:t>
                </a:r>
              </a:p>
            </c:rich>
          </c:tx>
          <c:layout>
            <c:manualLayout>
              <c:xMode val="edge"/>
              <c:yMode val="edge"/>
              <c:x val="3.4436331921961242E-3"/>
              <c:y val="0.336817000281520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1295"/>
        <c:crosses val="autoZero"/>
        <c:crossBetween val="midCat"/>
      </c:valAx>
      <c:spPr>
        <a:noFill/>
        <a:ln w="3175">
          <a:solidFill>
            <a:srgbClr val="000000"/>
          </a:solidFill>
          <a:prstDash val="solid"/>
        </a:ln>
      </c:spPr>
    </c:plotArea>
    <c:legend>
      <c:legendPos val="r"/>
      <c:layout>
        <c:manualLayout>
          <c:xMode val="edge"/>
          <c:yMode val="edge"/>
          <c:x val="0.79203563420510859"/>
          <c:y val="7.9863824809020226E-2"/>
          <c:w val="7.3693750312997061E-2"/>
          <c:h val="0.1701446702453039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(total)</a:t>
            </a:r>
          </a:p>
        </c:rich>
      </c:tx>
      <c:layout>
        <c:manualLayout>
          <c:xMode val="edge"/>
          <c:yMode val="edge"/>
          <c:x val="0.44009632196266468"/>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113733872617224"/>
          <c:w val="0.8781264640100116"/>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Data'!$E$47:$BD$47</c:f>
              <c:numCache>
                <c:formatCode>0</c:formatCode>
                <c:ptCount val="52"/>
                <c:pt idx="0">
                  <c:v>107</c:v>
                </c:pt>
                <c:pt idx="1">
                  <c:v>121</c:v>
                </c:pt>
                <c:pt idx="2">
                  <c:v>110</c:v>
                </c:pt>
                <c:pt idx="3">
                  <c:v>101</c:v>
                </c:pt>
                <c:pt idx="4">
                  <c:v>98</c:v>
                </c:pt>
                <c:pt idx="5">
                  <c:v>121</c:v>
                </c:pt>
                <c:pt idx="7">
                  <c:v>91</c:v>
                </c:pt>
                <c:pt idx="9">
                  <c:v>92</c:v>
                </c:pt>
                <c:pt idx="10">
                  <c:v>92</c:v>
                </c:pt>
                <c:pt idx="11">
                  <c:v>62</c:v>
                </c:pt>
                <c:pt idx="12">
                  <c:v>81</c:v>
                </c:pt>
                <c:pt idx="13">
                  <c:v>85</c:v>
                </c:pt>
                <c:pt idx="14">
                  <c:v>88</c:v>
                </c:pt>
                <c:pt idx="16">
                  <c:v>156</c:v>
                </c:pt>
                <c:pt idx="17">
                  <c:v>169</c:v>
                </c:pt>
                <c:pt idx="18">
                  <c:v>911</c:v>
                </c:pt>
                <c:pt idx="19">
                  <c:v>164</c:v>
                </c:pt>
                <c:pt idx="20">
                  <c:v>469</c:v>
                </c:pt>
                <c:pt idx="21">
                  <c:v>222</c:v>
                </c:pt>
                <c:pt idx="22">
                  <c:v>416</c:v>
                </c:pt>
                <c:pt idx="23">
                  <c:v>399</c:v>
                </c:pt>
                <c:pt idx="24">
                  <c:v>259</c:v>
                </c:pt>
                <c:pt idx="25">
                  <c:v>173.5</c:v>
                </c:pt>
                <c:pt idx="27">
                  <c:v>224</c:v>
                </c:pt>
                <c:pt idx="28">
                  <c:v>302</c:v>
                </c:pt>
                <c:pt idx="29">
                  <c:v>783</c:v>
                </c:pt>
                <c:pt idx="30">
                  <c:v>392</c:v>
                </c:pt>
                <c:pt idx="31">
                  <c:v>234</c:v>
                </c:pt>
                <c:pt idx="32">
                  <c:v>124</c:v>
                </c:pt>
                <c:pt idx="33">
                  <c:v>242</c:v>
                </c:pt>
                <c:pt idx="34">
                  <c:v>249</c:v>
                </c:pt>
                <c:pt idx="35">
                  <c:v>194</c:v>
                </c:pt>
                <c:pt idx="36">
                  <c:v>184</c:v>
                </c:pt>
                <c:pt idx="37">
                  <c:v>145</c:v>
                </c:pt>
                <c:pt idx="38">
                  <c:v>326</c:v>
                </c:pt>
                <c:pt idx="39">
                  <c:v>308</c:v>
                </c:pt>
                <c:pt idx="40">
                  <c:v>449</c:v>
                </c:pt>
                <c:pt idx="41">
                  <c:v>922</c:v>
                </c:pt>
                <c:pt idx="42">
                  <c:v>202</c:v>
                </c:pt>
                <c:pt idx="43">
                  <c:v>324</c:v>
                </c:pt>
                <c:pt idx="44">
                  <c:v>1020</c:v>
                </c:pt>
                <c:pt idx="45">
                  <c:v>442</c:v>
                </c:pt>
                <c:pt idx="46">
                  <c:v>325</c:v>
                </c:pt>
                <c:pt idx="47">
                  <c:v>200</c:v>
                </c:pt>
                <c:pt idx="48">
                  <c:v>176</c:v>
                </c:pt>
                <c:pt idx="49">
                  <c:v>102</c:v>
                </c:pt>
                <c:pt idx="50">
                  <c:v>148</c:v>
                </c:pt>
              </c:numCache>
            </c:numRef>
          </c:yVal>
          <c:smooth val="0"/>
          <c:extLst>
            <c:ext xmlns:c16="http://schemas.microsoft.com/office/drawing/2014/chart" uri="{C3380CC4-5D6E-409C-BE32-E72D297353CC}">
              <c16:uniqueId val="{00000000-F041-4107-87F8-87796168DBC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F041-4107-87F8-87796168DBC6}"/>
            </c:ext>
          </c:extLst>
        </c:ser>
        <c:dLbls>
          <c:showLegendKey val="0"/>
          <c:showVal val="0"/>
          <c:showCatName val="0"/>
          <c:showSerName val="0"/>
          <c:showPercent val="0"/>
          <c:showBubbleSize val="0"/>
        </c:dLbls>
        <c:axId val="415882543"/>
        <c:axId val="1"/>
      </c:scatterChart>
      <c:valAx>
        <c:axId val="415882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36331921961242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2543"/>
        <c:crosses val="autoZero"/>
        <c:crossBetween val="midCat"/>
        <c:majorUnit val="50"/>
      </c:valAx>
      <c:spPr>
        <a:noFill/>
        <a:ln w="3175">
          <a:solidFill>
            <a:srgbClr val="000000"/>
          </a:solidFill>
          <a:prstDash val="solid"/>
        </a:ln>
      </c:spPr>
    </c:plotArea>
    <c:legend>
      <c:legendPos val="r"/>
      <c:layout>
        <c:manualLayout>
          <c:xMode val="edge"/>
          <c:yMode val="edge"/>
          <c:x val="0.79479054075886546"/>
          <c:y val="7.2850214519757886E-2"/>
          <c:w val="7.3693750312997061E-2"/>
          <c:h val="0.16225729597582439"/>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(particulate)</a:t>
            </a:r>
          </a:p>
        </c:rich>
      </c:tx>
      <c:layout>
        <c:manualLayout>
          <c:xMode val="edge"/>
          <c:yMode val="edge"/>
          <c:x val="0.41874579617104868"/>
          <c:y val="3.6304829712331607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004390647574183"/>
          <c:w val="0.89052354350191765"/>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A79C-4842-AD3A-D8446B15187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Data'!$E$185:$BD$185</c:f>
              <c:numCache>
                <c:formatCode>0</c:formatCode>
                <c:ptCount val="52"/>
                <c:pt idx="0">
                  <c:v>32</c:v>
                </c:pt>
                <c:pt idx="1">
                  <c:v>77</c:v>
                </c:pt>
                <c:pt idx="2">
                  <c:v>34</c:v>
                </c:pt>
                <c:pt idx="3">
                  <c:v>21</c:v>
                </c:pt>
                <c:pt idx="4">
                  <c:v>83</c:v>
                </c:pt>
                <c:pt idx="5">
                  <c:v>0</c:v>
                </c:pt>
                <c:pt idx="6">
                  <c:v>0</c:v>
                </c:pt>
                <c:pt idx="7">
                  <c:v>41</c:v>
                </c:pt>
                <c:pt idx="8">
                  <c:v>0</c:v>
                </c:pt>
                <c:pt idx="9">
                  <c:v>32</c:v>
                </c:pt>
                <c:pt idx="10">
                  <c:v>24</c:v>
                </c:pt>
                <c:pt idx="11">
                  <c:v>20</c:v>
                </c:pt>
                <c:pt idx="12">
                  <c:v>25</c:v>
                </c:pt>
                <c:pt idx="13">
                  <c:v>23</c:v>
                </c:pt>
                <c:pt idx="14">
                  <c:v>12</c:v>
                </c:pt>
                <c:pt idx="15">
                  <c:v>0</c:v>
                </c:pt>
                <c:pt idx="16">
                  <c:v>17</c:v>
                </c:pt>
                <c:pt idx="17">
                  <c:v>10</c:v>
                </c:pt>
                <c:pt idx="18">
                  <c:v>1</c:v>
                </c:pt>
                <c:pt idx="19">
                  <c:v>11</c:v>
                </c:pt>
                <c:pt idx="20">
                  <c:v>-4</c:v>
                </c:pt>
                <c:pt idx="21">
                  <c:v>7</c:v>
                </c:pt>
                <c:pt idx="22">
                  <c:v>2</c:v>
                </c:pt>
                <c:pt idx="23">
                  <c:v>6</c:v>
                </c:pt>
                <c:pt idx="24">
                  <c:v>19</c:v>
                </c:pt>
                <c:pt idx="25">
                  <c:v>3</c:v>
                </c:pt>
                <c:pt idx="26">
                  <c:v>0</c:v>
                </c:pt>
                <c:pt idx="27">
                  <c:v>26</c:v>
                </c:pt>
                <c:pt idx="28">
                  <c:v>-3</c:v>
                </c:pt>
                <c:pt idx="29">
                  <c:v>3</c:v>
                </c:pt>
                <c:pt idx="30">
                  <c:v>1</c:v>
                </c:pt>
                <c:pt idx="31">
                  <c:v>4</c:v>
                </c:pt>
                <c:pt idx="32">
                  <c:v>0</c:v>
                </c:pt>
                <c:pt idx="33">
                  <c:v>4</c:v>
                </c:pt>
                <c:pt idx="34">
                  <c:v>2</c:v>
                </c:pt>
                <c:pt idx="35">
                  <c:v>7</c:v>
                </c:pt>
                <c:pt idx="36">
                  <c:v>4</c:v>
                </c:pt>
                <c:pt idx="37">
                  <c:v>3</c:v>
                </c:pt>
                <c:pt idx="38">
                  <c:v>3</c:v>
                </c:pt>
                <c:pt idx="39">
                  <c:v>10</c:v>
                </c:pt>
                <c:pt idx="40">
                  <c:v>-13</c:v>
                </c:pt>
                <c:pt idx="41">
                  <c:v>8</c:v>
                </c:pt>
                <c:pt idx="42">
                  <c:v>6</c:v>
                </c:pt>
                <c:pt idx="43">
                  <c:v>8</c:v>
                </c:pt>
                <c:pt idx="44">
                  <c:v>7</c:v>
                </c:pt>
                <c:pt idx="45">
                  <c:v>6</c:v>
                </c:pt>
                <c:pt idx="46">
                  <c:v>9</c:v>
                </c:pt>
                <c:pt idx="47">
                  <c:v>46</c:v>
                </c:pt>
                <c:pt idx="48">
                  <c:v>74</c:v>
                </c:pt>
                <c:pt idx="49">
                  <c:v>106</c:v>
                </c:pt>
                <c:pt idx="50">
                  <c:v>53</c:v>
                </c:pt>
                <c:pt idx="51">
                  <c:v>0</c:v>
                </c:pt>
              </c:numCache>
            </c:numRef>
          </c:yVal>
          <c:smooth val="0"/>
          <c:extLst>
            <c:ext xmlns:c16="http://schemas.microsoft.com/office/drawing/2014/chart" uri="{C3380CC4-5D6E-409C-BE32-E72D297353CC}">
              <c16:uniqueId val="{00000001-A79C-4842-AD3A-D8446B151871}"/>
            </c:ext>
          </c:extLst>
        </c:ser>
        <c:dLbls>
          <c:showLegendKey val="0"/>
          <c:showVal val="0"/>
          <c:showCatName val="0"/>
          <c:showSerName val="0"/>
          <c:showPercent val="0"/>
          <c:showBubbleSize val="0"/>
        </c:dLbls>
        <c:axId val="442880543"/>
        <c:axId val="1"/>
      </c:scatterChart>
      <c:valAx>
        <c:axId val="442880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(particulate) (ug/L)</a:t>
                </a:r>
              </a:p>
            </c:rich>
          </c:tx>
          <c:layout>
            <c:manualLayout>
              <c:xMode val="edge"/>
              <c:yMode val="edge"/>
              <c:x val="3.4436331921961242E-3"/>
              <c:y val="0.333344345540499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0543"/>
        <c:crosses val="autoZero"/>
        <c:crossBetween val="midCat"/>
        <c:majorUnit val="50"/>
      </c:valAx>
      <c:spPr>
        <a:noFill/>
        <a:ln w="3175">
          <a:solidFill>
            <a:srgbClr val="000000"/>
          </a:solidFill>
          <a:prstDash val="solid"/>
        </a:ln>
      </c:spPr>
    </c:plotArea>
    <c:legend>
      <c:legendPos val="r"/>
      <c:layout>
        <c:manualLayout>
          <c:xMode val="edge"/>
          <c:yMode val="edge"/>
          <c:x val="0.79341308748198702"/>
          <c:y val="7.2609659424663214E-2"/>
          <c:w val="7.3693750312997061E-2"/>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Ammonia Nitrogen</a:t>
            </a:r>
          </a:p>
        </c:rich>
      </c:tx>
      <c:layout>
        <c:manualLayout>
          <c:xMode val="edge"/>
          <c:yMode val="edge"/>
          <c:x val="0.40800730694964088"/>
          <c:y val="3.0953358560702929E-2"/>
        </c:manualLayout>
      </c:layout>
      <c:overlay val="0"/>
      <c:spPr>
        <a:noFill/>
        <a:ln w="3175">
          <a:solidFill>
            <a:srgbClr val="000000"/>
          </a:solidFill>
          <a:prstDash val="solid"/>
        </a:ln>
      </c:spPr>
    </c:title>
    <c:autoTitleDeleted val="0"/>
    <c:plotArea>
      <c:layout>
        <c:manualLayout>
          <c:layoutTarget val="inner"/>
          <c:xMode val="edge"/>
          <c:yMode val="edge"/>
          <c:x val="8.4082586905162474E-2"/>
          <c:y val="0.32381975109658451"/>
          <c:w val="0.86288031807592969"/>
          <c:h val="0.4643003784105439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Data'!$E$49:$BD$49</c:f>
              <c:numCache>
                <c:formatCode>0.00</c:formatCode>
                <c:ptCount val="52"/>
                <c:pt idx="1">
                  <c:v>0.06</c:v>
                </c:pt>
                <c:pt idx="2">
                  <c:v>0.06</c:v>
                </c:pt>
                <c:pt idx="7">
                  <c:v>0.08</c:v>
                </c:pt>
                <c:pt idx="9">
                  <c:v>0.04</c:v>
                </c:pt>
                <c:pt idx="11">
                  <c:v>0</c:v>
                </c:pt>
                <c:pt idx="12">
                  <c:v>0</c:v>
                </c:pt>
                <c:pt idx="13">
                  <c:v>0</c:v>
                </c:pt>
                <c:pt idx="14">
                  <c:v>0</c:v>
                </c:pt>
                <c:pt idx="16">
                  <c:v>0.04</c:v>
                </c:pt>
                <c:pt idx="17">
                  <c:v>0.05</c:v>
                </c:pt>
                <c:pt idx="18">
                  <c:v>0.06</c:v>
                </c:pt>
                <c:pt idx="19">
                  <c:v>0.05</c:v>
                </c:pt>
                <c:pt idx="20">
                  <c:v>0.05</c:v>
                </c:pt>
                <c:pt idx="21">
                  <c:v>0.06</c:v>
                </c:pt>
                <c:pt idx="22">
                  <c:v>0.05</c:v>
                </c:pt>
                <c:pt idx="23">
                  <c:v>0.04</c:v>
                </c:pt>
                <c:pt idx="24">
                  <c:v>0.08</c:v>
                </c:pt>
                <c:pt idx="25">
                  <c:v>0.08</c:v>
                </c:pt>
                <c:pt idx="26">
                  <c:v>0.04</c:v>
                </c:pt>
                <c:pt idx="27">
                  <c:v>7.0000000000000007E-2</c:v>
                </c:pt>
                <c:pt idx="28">
                  <c:v>7.0000000000000007E-2</c:v>
                </c:pt>
                <c:pt idx="29">
                  <c:v>0.1</c:v>
                </c:pt>
                <c:pt idx="30">
                  <c:v>0.05</c:v>
                </c:pt>
                <c:pt idx="31">
                  <c:v>0.05</c:v>
                </c:pt>
                <c:pt idx="32">
                  <c:v>0.06</c:v>
                </c:pt>
                <c:pt idx="33" formatCode="General;[Red]\-General">
                  <c:v>0.06</c:v>
                </c:pt>
                <c:pt idx="34">
                  <c:v>0.04</c:v>
                </c:pt>
                <c:pt idx="35">
                  <c:v>0.05</c:v>
                </c:pt>
                <c:pt idx="36">
                  <c:v>7.0000000000000007E-2</c:v>
                </c:pt>
                <c:pt idx="37">
                  <c:v>0.1</c:v>
                </c:pt>
                <c:pt idx="38">
                  <c:v>0.08</c:v>
                </c:pt>
                <c:pt idx="39">
                  <c:v>7.0000000000000007E-2</c:v>
                </c:pt>
                <c:pt idx="40">
                  <c:v>0.12</c:v>
                </c:pt>
                <c:pt idx="41">
                  <c:v>0.06</c:v>
                </c:pt>
                <c:pt idx="42">
                  <c:v>0.1</c:v>
                </c:pt>
                <c:pt idx="43">
                  <c:v>0.05</c:v>
                </c:pt>
                <c:pt idx="44">
                  <c:v>0.1</c:v>
                </c:pt>
                <c:pt idx="45">
                  <c:v>7.0000000000000007E-2</c:v>
                </c:pt>
                <c:pt idx="46" formatCode="General;[Red]\-General">
                  <c:v>0.09</c:v>
                </c:pt>
                <c:pt idx="47">
                  <c:v>0.04</c:v>
                </c:pt>
                <c:pt idx="48">
                  <c:v>7.0000000000000007E-2</c:v>
                </c:pt>
                <c:pt idx="49">
                  <c:v>7.0000000000000007E-2</c:v>
                </c:pt>
                <c:pt idx="50">
                  <c:v>0</c:v>
                </c:pt>
              </c:numCache>
            </c:numRef>
          </c:yVal>
          <c:smooth val="0"/>
          <c:extLst>
            <c:ext xmlns:c16="http://schemas.microsoft.com/office/drawing/2014/chart" uri="{C3380CC4-5D6E-409C-BE32-E72D297353CC}">
              <c16:uniqueId val="{00000000-778D-4CE5-82A6-593A7B0080B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Data'!$E$194:$BD$194</c:f>
              <c:numCache>
                <c:formatCode>0.00</c:formatCode>
                <c:ptCount val="52"/>
                <c:pt idx="1">
                  <c:v>0</c:v>
                </c:pt>
                <c:pt idx="2">
                  <c:v>0</c:v>
                </c:pt>
                <c:pt idx="7">
                  <c:v>0</c:v>
                </c:pt>
                <c:pt idx="9">
                  <c:v>0</c:v>
                </c:pt>
                <c:pt idx="11">
                  <c:v>0</c:v>
                </c:pt>
                <c:pt idx="12">
                  <c:v>0</c:v>
                </c:pt>
                <c:pt idx="13">
                  <c:v>0</c:v>
                </c:pt>
                <c:pt idx="14">
                  <c:v>0</c:v>
                </c:pt>
                <c:pt idx="16">
                  <c:v>0.06</c:v>
                </c:pt>
                <c:pt idx="17">
                  <c:v>0.04</c:v>
                </c:pt>
                <c:pt idx="18">
                  <c:v>0.04</c:v>
                </c:pt>
                <c:pt idx="19">
                  <c:v>0</c:v>
                </c:pt>
                <c:pt idx="20">
                  <c:v>0.06</c:v>
                </c:pt>
                <c:pt idx="21">
                  <c:v>0.06</c:v>
                </c:pt>
                <c:pt idx="22">
                  <c:v>0</c:v>
                </c:pt>
                <c:pt idx="23">
                  <c:v>0</c:v>
                </c:pt>
                <c:pt idx="24">
                  <c:v>0.05</c:v>
                </c:pt>
                <c:pt idx="25">
                  <c:v>7.0000000000000007E-2</c:v>
                </c:pt>
                <c:pt idx="26">
                  <c:v>0.05</c:v>
                </c:pt>
                <c:pt idx="27">
                  <c:v>0.05</c:v>
                </c:pt>
                <c:pt idx="28">
                  <c:v>0.05</c:v>
                </c:pt>
                <c:pt idx="29">
                  <c:v>0.1</c:v>
                </c:pt>
                <c:pt idx="30">
                  <c:v>0.04</c:v>
                </c:pt>
                <c:pt idx="31">
                  <c:v>0.04</c:v>
                </c:pt>
                <c:pt idx="32">
                  <c:v>0.04</c:v>
                </c:pt>
                <c:pt idx="33" formatCode="General;[Red]\-General">
                  <c:v>0.03</c:v>
                </c:pt>
                <c:pt idx="34">
                  <c:v>0.04</c:v>
                </c:pt>
                <c:pt idx="35">
                  <c:v>0.04</c:v>
                </c:pt>
                <c:pt idx="36">
                  <c:v>0.06</c:v>
                </c:pt>
                <c:pt idx="37">
                  <c:v>0.04</c:v>
                </c:pt>
                <c:pt idx="38">
                  <c:v>0.09</c:v>
                </c:pt>
                <c:pt idx="39">
                  <c:v>0.09</c:v>
                </c:pt>
                <c:pt idx="40">
                  <c:v>0.13</c:v>
                </c:pt>
                <c:pt idx="41">
                  <c:v>0.06</c:v>
                </c:pt>
                <c:pt idx="42">
                  <c:v>7.0000000000000007E-2</c:v>
                </c:pt>
                <c:pt idx="43">
                  <c:v>0.06</c:v>
                </c:pt>
                <c:pt idx="44">
                  <c:v>0.05</c:v>
                </c:pt>
                <c:pt idx="45">
                  <c:v>0.06</c:v>
                </c:pt>
                <c:pt idx="46" formatCode="General;[Red]\-General">
                  <c:v>0.09</c:v>
                </c:pt>
                <c:pt idx="47">
                  <c:v>7.0000000000000007E-2</c:v>
                </c:pt>
                <c:pt idx="48">
                  <c:v>0.05</c:v>
                </c:pt>
                <c:pt idx="49">
                  <c:v>7.0000000000000007E-2</c:v>
                </c:pt>
                <c:pt idx="50">
                  <c:v>0.04</c:v>
                </c:pt>
              </c:numCache>
            </c:numRef>
          </c:yVal>
          <c:smooth val="0"/>
          <c:extLst>
            <c:ext xmlns:c16="http://schemas.microsoft.com/office/drawing/2014/chart" uri="{C3380CC4-5D6E-409C-BE32-E72D297353CC}">
              <c16:uniqueId val="{00000001-778D-4CE5-82A6-593A7B0080B1}"/>
            </c:ext>
          </c:extLst>
        </c:ser>
        <c:dLbls>
          <c:showLegendKey val="0"/>
          <c:showVal val="0"/>
          <c:showCatName val="0"/>
          <c:showSerName val="0"/>
          <c:showPercent val="0"/>
          <c:showBubbleSize val="0"/>
        </c:dLbls>
        <c:axId val="442880959"/>
        <c:axId val="1"/>
      </c:scatterChart>
      <c:valAx>
        <c:axId val="44288095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523734524987911"/>
              <c:y val="0.8809802051892372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Ammonia N (mg/L N)</a:t>
                </a:r>
              </a:p>
            </c:rich>
          </c:tx>
          <c:layout>
            <c:manualLayout>
              <c:xMode val="edge"/>
              <c:yMode val="edge"/>
              <c:x val="3.4460076600476425E-3"/>
              <c:y val="0.288104337372696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959"/>
        <c:crosses val="autoZero"/>
        <c:crossBetween val="midCat"/>
        <c:majorUnit val="2.5000000000000001E-2"/>
      </c:valAx>
      <c:spPr>
        <a:noFill/>
        <a:ln w="3175">
          <a:solidFill>
            <a:srgbClr val="000000"/>
          </a:solidFill>
          <a:prstDash val="solid"/>
        </a:ln>
      </c:spPr>
    </c:plotArea>
    <c:legend>
      <c:legendPos val="r"/>
      <c:layout>
        <c:manualLayout>
          <c:xMode val="edge"/>
          <c:yMode val="edge"/>
          <c:x val="0.78293294036282435"/>
          <c:y val="7.8573910192553595E-2"/>
          <c:w val="9.4420609885305401E-2"/>
          <c:h val="0.15476679280351466"/>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Organic Nitrogen</a:t>
            </a:r>
          </a:p>
        </c:rich>
      </c:tx>
      <c:layout>
        <c:manualLayout>
          <c:xMode val="edge"/>
          <c:yMode val="edge"/>
          <c:x val="0.41558852380174571"/>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7528594565210116"/>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8A67-4D5F-97D3-4262E7FF192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Data'!$E$203:$BD$203</c:f>
              <c:numCache>
                <c:formatCode>0.00</c:formatCode>
                <c:ptCount val="52"/>
                <c:pt idx="1">
                  <c:v>0.32</c:v>
                </c:pt>
                <c:pt idx="2">
                  <c:v>0.23</c:v>
                </c:pt>
                <c:pt idx="7">
                  <c:v>0.24</c:v>
                </c:pt>
                <c:pt idx="9">
                  <c:v>0.15</c:v>
                </c:pt>
                <c:pt idx="11">
                  <c:v>0.2</c:v>
                </c:pt>
                <c:pt idx="12">
                  <c:v>0.26</c:v>
                </c:pt>
                <c:pt idx="13">
                  <c:v>0.36</c:v>
                </c:pt>
                <c:pt idx="14">
                  <c:v>0.26</c:v>
                </c:pt>
                <c:pt idx="16">
                  <c:v>0.22</c:v>
                </c:pt>
                <c:pt idx="17">
                  <c:v>0.13</c:v>
                </c:pt>
                <c:pt idx="18">
                  <c:v>0.2</c:v>
                </c:pt>
                <c:pt idx="19">
                  <c:v>0.21</c:v>
                </c:pt>
                <c:pt idx="20">
                  <c:v>0.28999999999999998</c:v>
                </c:pt>
                <c:pt idx="21">
                  <c:v>0.31</c:v>
                </c:pt>
                <c:pt idx="22">
                  <c:v>0.06</c:v>
                </c:pt>
                <c:pt idx="23">
                  <c:v>0.05</c:v>
                </c:pt>
                <c:pt idx="24">
                  <c:v>0.06</c:v>
                </c:pt>
                <c:pt idx="25">
                  <c:v>0.08</c:v>
                </c:pt>
                <c:pt idx="26">
                  <c:v>0.05</c:v>
                </c:pt>
                <c:pt idx="27">
                  <c:v>0.11</c:v>
                </c:pt>
                <c:pt idx="28">
                  <c:v>7.0000000000000007E-2</c:v>
                </c:pt>
                <c:pt idx="29">
                  <c:v>0.08</c:v>
                </c:pt>
                <c:pt idx="30">
                  <c:v>0.06</c:v>
                </c:pt>
                <c:pt idx="31">
                  <c:v>0.09</c:v>
                </c:pt>
                <c:pt idx="32">
                  <c:v>0.09</c:v>
                </c:pt>
                <c:pt idx="33" formatCode="General;[Red]\-General">
                  <c:v>0.09</c:v>
                </c:pt>
                <c:pt idx="34">
                  <c:v>0.12</c:v>
                </c:pt>
                <c:pt idx="35">
                  <c:v>0.22</c:v>
                </c:pt>
                <c:pt idx="36">
                  <c:v>0.16</c:v>
                </c:pt>
                <c:pt idx="37">
                  <c:v>0.21</c:v>
                </c:pt>
                <c:pt idx="38">
                  <c:v>0.21</c:v>
                </c:pt>
                <c:pt idx="39">
                  <c:v>0.26</c:v>
                </c:pt>
                <c:pt idx="40">
                  <c:v>0.21</c:v>
                </c:pt>
                <c:pt idx="41">
                  <c:v>0.17</c:v>
                </c:pt>
                <c:pt idx="42">
                  <c:v>0.16</c:v>
                </c:pt>
                <c:pt idx="43">
                  <c:v>0.19</c:v>
                </c:pt>
                <c:pt idx="44">
                  <c:v>0.2</c:v>
                </c:pt>
                <c:pt idx="45">
                  <c:v>0.2</c:v>
                </c:pt>
                <c:pt idx="46" formatCode="0.00;[Red]\-0.00">
                  <c:v>0.23</c:v>
                </c:pt>
                <c:pt idx="47">
                  <c:v>0.25</c:v>
                </c:pt>
                <c:pt idx="48">
                  <c:v>0.3</c:v>
                </c:pt>
                <c:pt idx="49">
                  <c:v>0.26</c:v>
                </c:pt>
                <c:pt idx="50">
                  <c:v>0.22</c:v>
                </c:pt>
              </c:numCache>
            </c:numRef>
          </c:yVal>
          <c:smooth val="0"/>
          <c:extLst>
            <c:ext xmlns:c16="http://schemas.microsoft.com/office/drawing/2014/chart" uri="{C3380CC4-5D6E-409C-BE32-E72D297353CC}">
              <c16:uniqueId val="{00000001-8A67-4D5F-97D3-4262E7FF192B}"/>
            </c:ext>
          </c:extLst>
        </c:ser>
        <c:dLbls>
          <c:showLegendKey val="0"/>
          <c:showVal val="0"/>
          <c:showCatName val="0"/>
          <c:showSerName val="0"/>
          <c:showPercent val="0"/>
          <c:showBubbleSize val="0"/>
        </c:dLbls>
        <c:axId val="442879711"/>
        <c:axId val="1"/>
      </c:scatterChart>
      <c:valAx>
        <c:axId val="44287971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34532992978379"/>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60076600476425E-3"/>
              <c:y val="0.2995384060601509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9711"/>
        <c:crosses val="autoZero"/>
        <c:crossBetween val="midCat"/>
        <c:majorUnit val="0.05"/>
      </c:valAx>
      <c:spPr>
        <a:noFill/>
        <a:ln w="3175">
          <a:solidFill>
            <a:srgbClr val="000000"/>
          </a:solidFill>
          <a:prstDash val="solid"/>
        </a:ln>
      </c:spPr>
    </c:plotArea>
    <c:legend>
      <c:legendPos val="r"/>
      <c:layout>
        <c:manualLayout>
          <c:xMode val="edge"/>
          <c:yMode val="edge"/>
          <c:x val="0.78017613423478627"/>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Mixed Media Filter 1  Total Aluminum</a:t>
            </a:r>
          </a:p>
        </c:rich>
      </c:tx>
      <c:layout>
        <c:manualLayout>
          <c:xMode val="edge"/>
          <c:yMode val="edge"/>
          <c:x val="0.32852260653551024"/>
          <c:y val="2.6253813179028473E-2"/>
        </c:manualLayout>
      </c:layout>
      <c:overlay val="0"/>
      <c:spPr>
        <a:noFill/>
        <a:ln w="3175">
          <a:solidFill>
            <a:srgbClr val="000000"/>
          </a:solidFill>
          <a:prstDash val="solid"/>
        </a:ln>
      </c:spPr>
    </c:title>
    <c:autoTitleDeleted val="0"/>
    <c:plotArea>
      <c:layout>
        <c:manualLayout>
          <c:layoutTarget val="inner"/>
          <c:xMode val="edge"/>
          <c:yMode val="edge"/>
          <c:x val="6.6117757290165585E-2"/>
          <c:y val="0.22077070173273944"/>
          <c:w val="0.8815700972022078"/>
          <c:h val="0.67305230149872997"/>
        </c:manualLayout>
      </c:layout>
      <c:scatterChart>
        <c:scatterStyle val="lineMarker"/>
        <c:varyColors val="0"/>
        <c:ser>
          <c:idx val="0"/>
          <c:order val="0"/>
          <c:tx>
            <c:v> Filter 12</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Data'!$E$189:$BD$189</c:f>
              <c:numCache>
                <c:formatCode>0</c:formatCode>
                <c:ptCount val="52"/>
                <c:pt idx="0">
                  <c:v>82</c:v>
                </c:pt>
                <c:pt idx="1">
                  <c:v>76</c:v>
                </c:pt>
                <c:pt idx="2">
                  <c:v>85</c:v>
                </c:pt>
                <c:pt idx="3">
                  <c:v>97</c:v>
                </c:pt>
                <c:pt idx="4">
                  <c:v>74</c:v>
                </c:pt>
                <c:pt idx="5">
                  <c:v>76</c:v>
                </c:pt>
                <c:pt idx="7">
                  <c:v>91</c:v>
                </c:pt>
                <c:pt idx="9">
                  <c:v>52</c:v>
                </c:pt>
                <c:pt idx="10">
                  <c:v>60</c:v>
                </c:pt>
                <c:pt idx="11">
                  <c:v>81</c:v>
                </c:pt>
                <c:pt idx="12">
                  <c:v>55</c:v>
                </c:pt>
                <c:pt idx="13">
                  <c:v>32</c:v>
                </c:pt>
                <c:pt idx="16">
                  <c:v>30</c:v>
                </c:pt>
                <c:pt idx="17">
                  <c:v>11</c:v>
                </c:pt>
                <c:pt idx="18">
                  <c:v>20</c:v>
                </c:pt>
                <c:pt idx="19">
                  <c:v>22</c:v>
                </c:pt>
                <c:pt idx="20">
                  <c:v>24</c:v>
                </c:pt>
                <c:pt idx="21">
                  <c:v>28</c:v>
                </c:pt>
                <c:pt idx="22">
                  <c:v>22</c:v>
                </c:pt>
                <c:pt idx="23">
                  <c:v>31</c:v>
                </c:pt>
                <c:pt idx="25">
                  <c:v>38</c:v>
                </c:pt>
                <c:pt idx="27">
                  <c:v>143</c:v>
                </c:pt>
                <c:pt idx="28">
                  <c:v>58</c:v>
                </c:pt>
                <c:pt idx="29">
                  <c:v>53</c:v>
                </c:pt>
                <c:pt idx="30">
                  <c:v>34</c:v>
                </c:pt>
                <c:pt idx="31">
                  <c:v>38</c:v>
                </c:pt>
                <c:pt idx="32">
                  <c:v>28</c:v>
                </c:pt>
                <c:pt idx="33">
                  <c:v>31</c:v>
                </c:pt>
                <c:pt idx="34">
                  <c:v>28</c:v>
                </c:pt>
                <c:pt idx="35">
                  <c:v>25</c:v>
                </c:pt>
                <c:pt idx="36">
                  <c:v>22</c:v>
                </c:pt>
                <c:pt idx="37">
                  <c:v>28</c:v>
                </c:pt>
                <c:pt idx="38">
                  <c:v>24</c:v>
                </c:pt>
                <c:pt idx="39">
                  <c:v>26</c:v>
                </c:pt>
                <c:pt idx="40">
                  <c:v>36</c:v>
                </c:pt>
                <c:pt idx="41">
                  <c:v>35</c:v>
                </c:pt>
                <c:pt idx="42">
                  <c:v>40</c:v>
                </c:pt>
                <c:pt idx="43">
                  <c:v>44</c:v>
                </c:pt>
                <c:pt idx="44">
                  <c:v>45</c:v>
                </c:pt>
                <c:pt idx="45">
                  <c:v>57</c:v>
                </c:pt>
                <c:pt idx="46">
                  <c:v>46</c:v>
                </c:pt>
                <c:pt idx="47">
                  <c:v>59</c:v>
                </c:pt>
                <c:pt idx="48">
                  <c:v>84</c:v>
                </c:pt>
                <c:pt idx="49">
                  <c:v>59</c:v>
                </c:pt>
                <c:pt idx="50">
                  <c:v>55</c:v>
                </c:pt>
              </c:numCache>
            </c:numRef>
          </c:yVal>
          <c:smooth val="0"/>
          <c:extLst>
            <c:ext xmlns:c16="http://schemas.microsoft.com/office/drawing/2014/chart" uri="{C3380CC4-5D6E-409C-BE32-E72D297353CC}">
              <c16:uniqueId val="{00000000-87B3-4589-86C9-09E7A694650F}"/>
            </c:ext>
          </c:extLst>
        </c:ser>
        <c:ser>
          <c:idx val="1"/>
          <c:order val="1"/>
          <c:tx>
            <c:v>Filter 1</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Data'!$E$187:$BD$187</c:f>
              <c:numCache>
                <c:formatCode>0</c:formatCode>
                <c:ptCount val="52"/>
                <c:pt idx="0">
                  <c:v>131</c:v>
                </c:pt>
                <c:pt idx="1">
                  <c:v>125</c:v>
                </c:pt>
                <c:pt idx="2">
                  <c:v>130</c:v>
                </c:pt>
                <c:pt idx="3">
                  <c:v>122</c:v>
                </c:pt>
                <c:pt idx="4">
                  <c:v>167</c:v>
                </c:pt>
                <c:pt idx="5">
                  <c:v>130</c:v>
                </c:pt>
                <c:pt idx="7">
                  <c:v>136</c:v>
                </c:pt>
                <c:pt idx="9">
                  <c:v>68</c:v>
                </c:pt>
                <c:pt idx="10">
                  <c:v>127</c:v>
                </c:pt>
                <c:pt idx="11">
                  <c:v>100</c:v>
                </c:pt>
                <c:pt idx="18">
                  <c:v>54</c:v>
                </c:pt>
                <c:pt idx="19">
                  <c:v>56</c:v>
                </c:pt>
                <c:pt idx="20">
                  <c:v>35</c:v>
                </c:pt>
                <c:pt idx="21">
                  <c:v>29</c:v>
                </c:pt>
                <c:pt idx="22">
                  <c:v>38</c:v>
                </c:pt>
                <c:pt idx="23">
                  <c:v>37</c:v>
                </c:pt>
                <c:pt idx="24">
                  <c:v>44</c:v>
                </c:pt>
                <c:pt idx="25">
                  <c:v>49</c:v>
                </c:pt>
                <c:pt idx="27">
                  <c:v>98</c:v>
                </c:pt>
                <c:pt idx="28">
                  <c:v>56</c:v>
                </c:pt>
                <c:pt idx="29">
                  <c:v>44</c:v>
                </c:pt>
                <c:pt idx="30">
                  <c:v>44</c:v>
                </c:pt>
                <c:pt idx="31">
                  <c:v>49</c:v>
                </c:pt>
                <c:pt idx="33">
                  <c:v>49</c:v>
                </c:pt>
                <c:pt idx="34">
                  <c:v>27</c:v>
                </c:pt>
                <c:pt idx="35">
                  <c:v>26</c:v>
                </c:pt>
                <c:pt idx="36">
                  <c:v>26</c:v>
                </c:pt>
                <c:pt idx="39">
                  <c:v>35</c:v>
                </c:pt>
                <c:pt idx="40">
                  <c:v>102</c:v>
                </c:pt>
                <c:pt idx="41">
                  <c:v>44</c:v>
                </c:pt>
                <c:pt idx="42">
                  <c:v>38</c:v>
                </c:pt>
                <c:pt idx="43">
                  <c:v>86</c:v>
                </c:pt>
                <c:pt idx="44">
                  <c:v>54</c:v>
                </c:pt>
                <c:pt idx="45">
                  <c:v>76</c:v>
                </c:pt>
                <c:pt idx="46">
                  <c:v>69</c:v>
                </c:pt>
                <c:pt idx="47">
                  <c:v>98</c:v>
                </c:pt>
                <c:pt idx="48">
                  <c:v>107</c:v>
                </c:pt>
                <c:pt idx="49">
                  <c:v>207</c:v>
                </c:pt>
                <c:pt idx="50">
                  <c:v>121</c:v>
                </c:pt>
              </c:numCache>
            </c:numRef>
          </c:yVal>
          <c:smooth val="0"/>
          <c:extLst>
            <c:ext xmlns:c16="http://schemas.microsoft.com/office/drawing/2014/chart" uri="{C3380CC4-5D6E-409C-BE32-E72D297353CC}">
              <c16:uniqueId val="{00000001-87B3-4589-86C9-09E7A694650F}"/>
            </c:ext>
          </c:extLst>
        </c:ser>
        <c:dLbls>
          <c:showLegendKey val="0"/>
          <c:showVal val="0"/>
          <c:showCatName val="0"/>
          <c:showSerName val="0"/>
          <c:showPercent val="0"/>
          <c:showBubbleSize val="0"/>
        </c:dLbls>
        <c:axId val="442885535"/>
        <c:axId val="1"/>
      </c:scatterChart>
      <c:valAx>
        <c:axId val="44288553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667961625573102"/>
              <c:y val="0.9403638538670198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Total Aluminum (ug/L)</a:t>
                </a:r>
              </a:p>
            </c:rich>
          </c:tx>
          <c:layout>
            <c:manualLayout>
              <c:xMode val="edge"/>
              <c:yMode val="edge"/>
              <c:x val="3.4436331921961242E-3"/>
              <c:y val="0.435574627742972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535"/>
        <c:crosses val="autoZero"/>
        <c:crossBetween val="midCat"/>
        <c:majorUnit val="25"/>
      </c:valAx>
      <c:spPr>
        <a:noFill/>
        <a:ln w="3175">
          <a:solidFill>
            <a:srgbClr val="000000"/>
          </a:solidFill>
          <a:prstDash val="solid"/>
        </a:ln>
      </c:spPr>
    </c:plotArea>
    <c:legend>
      <c:legendPos val="r"/>
      <c:layout>
        <c:manualLayout>
          <c:xMode val="edge"/>
          <c:yMode val="edge"/>
          <c:x val="0.79892290058950077"/>
          <c:y val="0.10620860786061519"/>
          <c:w val="7.3693750312997061E-2"/>
          <c:h val="6.0861112369566005E-2"/>
        </c:manualLayout>
      </c:layout>
      <c:overlay val="0"/>
      <c:spPr>
        <a:noFill/>
        <a:ln w="3175">
          <a:solidFill>
            <a:srgbClr val="000000"/>
          </a:solidFill>
          <a:prstDash val="solid"/>
        </a:ln>
      </c:spPr>
      <c:txPr>
        <a:bodyPr/>
        <a:lstStyle/>
        <a:p>
          <a:pPr>
            <a:defRPr sz="119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(dissolved)</a:t>
            </a:r>
          </a:p>
        </c:rich>
      </c:tx>
      <c:layout>
        <c:manualLayout>
          <c:xMode val="edge"/>
          <c:yMode val="edge"/>
          <c:x val="0.39188545727191892"/>
          <c:y val="3.6546004081981658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223640074528782"/>
          <c:w val="0.89052354350191765"/>
          <c:h val="0.528255877185007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2059-4B8D-A1FC-089445059BF5}"/>
            </c:ext>
          </c:extLst>
        </c:ser>
        <c:ser>
          <c:idx val="1"/>
          <c:order val="1"/>
          <c:tx>
            <c:v>Clearwell</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1-2059-4B8D-A1FC-089445059BF5}"/>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2-2059-4B8D-A1FC-089445059BF5}"/>
            </c:ext>
          </c:extLst>
        </c:ser>
        <c:dLbls>
          <c:showLegendKey val="0"/>
          <c:showVal val="0"/>
          <c:showCatName val="0"/>
          <c:showSerName val="0"/>
          <c:showPercent val="0"/>
          <c:showBubbleSize val="0"/>
        </c:dLbls>
        <c:axId val="442885119"/>
        <c:axId val="1"/>
      </c:scatterChart>
      <c:valAx>
        <c:axId val="44288511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04264619750126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(dissolved)) (ug/L)</a:t>
                </a:r>
              </a:p>
            </c:rich>
          </c:tx>
          <c:layout>
            <c:manualLayout>
              <c:xMode val="edge"/>
              <c:yMode val="edge"/>
              <c:x val="3.4436331921961242E-3"/>
              <c:y val="0.3322364007452878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5119"/>
        <c:crosses val="autoZero"/>
        <c:crossBetween val="midCat"/>
        <c:majorUnit val="5"/>
      </c:valAx>
      <c:spPr>
        <a:noFill/>
        <a:ln w="3175">
          <a:solidFill>
            <a:srgbClr val="000000"/>
          </a:solidFill>
          <a:prstDash val="solid"/>
        </a:ln>
      </c:spPr>
    </c:plotArea>
    <c:legend>
      <c:legendPos val="r"/>
      <c:layout>
        <c:manualLayout>
          <c:xMode val="edge"/>
          <c:yMode val="edge"/>
          <c:x val="0.76173166211378263"/>
          <c:y val="3.3223640074528778E-2"/>
          <c:w val="7.3693750312997061E-2"/>
          <c:h val="0.2425325725440600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(Total)</a:t>
            </a:r>
          </a:p>
        </c:rich>
      </c:tx>
      <c:layout>
        <c:manualLayout>
          <c:xMode val="edge"/>
          <c:yMode val="edge"/>
          <c:x val="0.408696508481650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7735355024812978"/>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8B80-4378-9542-9273EF04F6F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1-8B80-4378-9542-9273EF04F6FC}"/>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8B80-4378-9542-9273EF04F6FC}"/>
            </c:ext>
          </c:extLst>
        </c:ser>
        <c:dLbls>
          <c:showLegendKey val="0"/>
          <c:showVal val="0"/>
          <c:showCatName val="0"/>
          <c:showSerName val="0"/>
          <c:showPercent val="0"/>
          <c:showBubbleSize val="0"/>
        </c:dLbls>
        <c:axId val="442884287"/>
        <c:axId val="1"/>
      </c:scatterChart>
      <c:valAx>
        <c:axId val="442884287"/>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4287"/>
        <c:crosses val="autoZero"/>
        <c:crossBetween val="midCat"/>
        <c:majorUnit val="5"/>
      </c:valAx>
      <c:spPr>
        <a:noFill/>
        <a:ln w="3175">
          <a:solidFill>
            <a:srgbClr val="000000"/>
          </a:solidFill>
          <a:prstDash val="solid"/>
        </a:ln>
      </c:spPr>
    </c:plotArea>
    <c:legend>
      <c:legendPos val="r"/>
      <c:layout>
        <c:manualLayout>
          <c:xMode val="edge"/>
          <c:yMode val="edge"/>
          <c:x val="0.79533856793899593"/>
          <c:y val="3.3113733872617221E-2"/>
          <c:w val="7.3744563925019546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or Clearwell Aluminum (Total)</a:t>
            </a:r>
          </a:p>
        </c:rich>
      </c:tx>
      <c:layout>
        <c:manualLayout>
          <c:xMode val="edge"/>
          <c:yMode val="edge"/>
          <c:x val="0.36665521502906917"/>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7735355024812978"/>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DBEA-436E-A294-C14A9F43ED12}"/>
            </c:ext>
          </c:extLst>
        </c:ser>
        <c:ser>
          <c:idx val="1"/>
          <c:order val="1"/>
          <c:tx>
            <c:v>Clearwell or PreGAC</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Data'!$E$193:$BD$193</c:f>
              <c:numCache>
                <c:formatCode>0</c:formatCode>
                <c:ptCount val="52"/>
                <c:pt idx="0">
                  <c:v>91</c:v>
                </c:pt>
                <c:pt idx="1">
                  <c:v>87</c:v>
                </c:pt>
                <c:pt idx="2">
                  <c:v>88</c:v>
                </c:pt>
                <c:pt idx="3">
                  <c:v>77</c:v>
                </c:pt>
                <c:pt idx="4">
                  <c:v>144</c:v>
                </c:pt>
                <c:pt idx="5">
                  <c:v>0</c:v>
                </c:pt>
                <c:pt idx="6">
                  <c:v>0</c:v>
                </c:pt>
                <c:pt idx="7">
                  <c:v>100</c:v>
                </c:pt>
                <c:pt idx="8">
                  <c:v>0</c:v>
                </c:pt>
                <c:pt idx="9">
                  <c:v>80</c:v>
                </c:pt>
                <c:pt idx="10">
                  <c:v>82</c:v>
                </c:pt>
                <c:pt idx="11">
                  <c:v>65</c:v>
                </c:pt>
                <c:pt idx="12">
                  <c:v>71</c:v>
                </c:pt>
                <c:pt idx="13">
                  <c:v>45</c:v>
                </c:pt>
                <c:pt idx="14">
                  <c:v>43</c:v>
                </c:pt>
                <c:pt idx="15">
                  <c:v>0</c:v>
                </c:pt>
                <c:pt idx="16">
                  <c:v>52</c:v>
                </c:pt>
                <c:pt idx="17">
                  <c:v>21</c:v>
                </c:pt>
                <c:pt idx="18">
                  <c:v>21</c:v>
                </c:pt>
                <c:pt idx="19">
                  <c:v>33</c:v>
                </c:pt>
                <c:pt idx="20">
                  <c:v>28</c:v>
                </c:pt>
                <c:pt idx="21">
                  <c:v>29</c:v>
                </c:pt>
                <c:pt idx="22">
                  <c:v>22</c:v>
                </c:pt>
                <c:pt idx="23">
                  <c:v>35</c:v>
                </c:pt>
                <c:pt idx="24">
                  <c:v>50</c:v>
                </c:pt>
                <c:pt idx="25">
                  <c:v>60</c:v>
                </c:pt>
                <c:pt idx="26">
                  <c:v>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pt idx="47">
                  <c:v>98</c:v>
                </c:pt>
                <c:pt idx="48">
                  <c:v>130</c:v>
                </c:pt>
                <c:pt idx="49">
                  <c:v>167</c:v>
                </c:pt>
                <c:pt idx="50">
                  <c:v>107</c:v>
                </c:pt>
                <c:pt idx="51">
                  <c:v>58</c:v>
                </c:pt>
              </c:numCache>
            </c:numRef>
          </c:yVal>
          <c:smooth val="0"/>
          <c:extLst>
            <c:ext xmlns:c16="http://schemas.microsoft.com/office/drawing/2014/chart" uri="{C3380CC4-5D6E-409C-BE32-E72D297353CC}">
              <c16:uniqueId val="{00000001-DBEA-436E-A294-C14A9F43ED12}"/>
            </c:ext>
          </c:extLst>
        </c:ser>
        <c:dLbls>
          <c:showLegendKey val="0"/>
          <c:showVal val="0"/>
          <c:showCatName val="0"/>
          <c:showSerName val="0"/>
          <c:showPercent val="0"/>
          <c:showBubbleSize val="0"/>
        </c:dLbls>
        <c:axId val="442881791"/>
        <c:axId val="1"/>
      </c:scatterChart>
      <c:valAx>
        <c:axId val="44288179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30482971233160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1791"/>
        <c:crosses val="autoZero"/>
        <c:crossBetween val="midCat"/>
        <c:majorUnit val="50"/>
      </c:valAx>
      <c:spPr>
        <a:noFill/>
        <a:ln w="3175">
          <a:solidFill>
            <a:srgbClr val="000000"/>
          </a:solidFill>
          <a:prstDash val="solid"/>
        </a:ln>
      </c:spPr>
    </c:plotArea>
    <c:legend>
      <c:legendPos val="r"/>
      <c:layout>
        <c:manualLayout>
          <c:xMode val="edge"/>
          <c:yMode val="edge"/>
          <c:x val="0.76639210359459575"/>
          <c:y val="7.2609659424663214E-2"/>
          <c:w val="0.13025908954980089"/>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Raw (d)Al vs pH</a:t>
            </a:r>
          </a:p>
        </c:rich>
      </c:tx>
      <c:layout>
        <c:manualLayout>
          <c:xMode val="edge"/>
          <c:yMode val="edge"/>
          <c:x val="0.40958004526019492"/>
          <c:y val="2.520125223196681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6843463386463811E-2"/>
          <c:y val="0.28523235480726078"/>
          <c:w val="0.88665888197927001"/>
          <c:h val="0.63117681726425978"/>
        </c:manualLayout>
      </c:layout>
      <c:scatterChart>
        <c:scatterStyle val="lineMarker"/>
        <c:varyColors val="0"/>
        <c:ser>
          <c:idx val="0"/>
          <c:order val="0"/>
          <c:tx>
            <c:strRef>
              <c:f>'Weekly Data'!$A$46:$A$46</c:f>
              <c:strCache>
                <c:ptCount val="1"/>
                <c:pt idx="0">
                  <c:v>Aluminum (dissolved 0.45µ)</c:v>
                </c:pt>
              </c:strCache>
            </c:strRef>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7BB-4E09-A388-F8948ACB3F4B}"/>
            </c:ext>
          </c:extLst>
        </c:ser>
        <c:dLbls>
          <c:showLegendKey val="0"/>
          <c:showVal val="0"/>
          <c:showCatName val="0"/>
          <c:showSerName val="0"/>
          <c:showPercent val="0"/>
          <c:showBubbleSize val="0"/>
        </c:dLbls>
        <c:axId val="442852943"/>
        <c:axId val="1"/>
      </c:scatterChart>
      <c:scatterChart>
        <c:scatterStyle val="lineMarker"/>
        <c:varyColors val="0"/>
        <c:ser>
          <c:idx val="1"/>
          <c:order val="1"/>
          <c:tx>
            <c:strRef>
              <c:f>'Weekly Data'!$A$21:$A$21</c:f>
              <c:strCache>
                <c:ptCount val="1"/>
                <c:pt idx="0">
                  <c:v>pH</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Data'!$E$21:$BD$21</c:f>
              <c:numCache>
                <c:formatCode>0.00</c:formatCode>
                <c:ptCount val="52"/>
                <c:pt idx="0">
                  <c:v>7.99</c:v>
                </c:pt>
                <c:pt idx="1">
                  <c:v>7.81</c:v>
                </c:pt>
                <c:pt idx="2">
                  <c:v>7.73</c:v>
                </c:pt>
                <c:pt idx="3">
                  <c:v>7.85</c:v>
                </c:pt>
                <c:pt idx="4">
                  <c:v>7.7</c:v>
                </c:pt>
                <c:pt idx="5">
                  <c:v>7.62</c:v>
                </c:pt>
                <c:pt idx="6">
                  <c:v>7.71</c:v>
                </c:pt>
                <c:pt idx="7">
                  <c:v>7.74</c:v>
                </c:pt>
                <c:pt idx="9">
                  <c:v>7.54</c:v>
                </c:pt>
                <c:pt idx="10">
                  <c:v>7.49</c:v>
                </c:pt>
                <c:pt idx="11">
                  <c:v>7.63</c:v>
                </c:pt>
                <c:pt idx="12">
                  <c:v>7.59</c:v>
                </c:pt>
                <c:pt idx="13">
                  <c:v>7.59</c:v>
                </c:pt>
                <c:pt idx="14">
                  <c:v>7.56</c:v>
                </c:pt>
                <c:pt idx="15">
                  <c:v>7.84</c:v>
                </c:pt>
                <c:pt idx="16">
                  <c:v>7.7</c:v>
                </c:pt>
                <c:pt idx="17">
                  <c:v>8.08</c:v>
                </c:pt>
                <c:pt idx="18">
                  <c:v>8.2100000000000009</c:v>
                </c:pt>
                <c:pt idx="19">
                  <c:v>8.24</c:v>
                </c:pt>
                <c:pt idx="20">
                  <c:v>8.2899999999999991</c:v>
                </c:pt>
                <c:pt idx="21">
                  <c:v>8.27</c:v>
                </c:pt>
                <c:pt idx="22">
                  <c:v>8.2899999999999991</c:v>
                </c:pt>
                <c:pt idx="23">
                  <c:v>8.31</c:v>
                </c:pt>
                <c:pt idx="24">
                  <c:v>8.42</c:v>
                </c:pt>
                <c:pt idx="25">
                  <c:v>8.4600000000000009</c:v>
                </c:pt>
                <c:pt idx="26">
                  <c:v>8.43</c:v>
                </c:pt>
                <c:pt idx="27">
                  <c:v>8.11</c:v>
                </c:pt>
                <c:pt idx="28">
                  <c:v>8.41</c:v>
                </c:pt>
                <c:pt idx="29">
                  <c:v>8.23</c:v>
                </c:pt>
                <c:pt idx="30">
                  <c:v>8.3800000000000008</c:v>
                </c:pt>
                <c:pt idx="31">
                  <c:v>8.5</c:v>
                </c:pt>
                <c:pt idx="32">
                  <c:v>8.58</c:v>
                </c:pt>
                <c:pt idx="33" formatCode="General;[Red]\-General">
                  <c:v>8.42</c:v>
                </c:pt>
                <c:pt idx="34">
                  <c:v>8.5500000000000007</c:v>
                </c:pt>
                <c:pt idx="35">
                  <c:v>8.44</c:v>
                </c:pt>
                <c:pt idx="36">
                  <c:v>8.35</c:v>
                </c:pt>
                <c:pt idx="37">
                  <c:v>8.36</c:v>
                </c:pt>
                <c:pt idx="38">
                  <c:v>8.4</c:v>
                </c:pt>
                <c:pt idx="39">
                  <c:v>8.61</c:v>
                </c:pt>
                <c:pt idx="40">
                  <c:v>8.5500000000000007</c:v>
                </c:pt>
                <c:pt idx="41">
                  <c:v>8.4499999999999993</c:v>
                </c:pt>
                <c:pt idx="42">
                  <c:v>8.34</c:v>
                </c:pt>
                <c:pt idx="43">
                  <c:v>8.2200000000000006</c:v>
                </c:pt>
                <c:pt idx="44">
                  <c:v>8.1199999999999992</c:v>
                </c:pt>
                <c:pt idx="45">
                  <c:v>8.08</c:v>
                </c:pt>
                <c:pt idx="46" formatCode="General;[Red]\-General">
                  <c:v>8.27</c:v>
                </c:pt>
                <c:pt idx="47">
                  <c:v>8.2200000000000006</c:v>
                </c:pt>
                <c:pt idx="48">
                  <c:v>7.92</c:v>
                </c:pt>
                <c:pt idx="49">
                  <c:v>8.11</c:v>
                </c:pt>
                <c:pt idx="50">
                  <c:v>8.0299999999999994</c:v>
                </c:pt>
                <c:pt idx="51">
                  <c:v>7.93</c:v>
                </c:pt>
              </c:numCache>
            </c:numRef>
          </c:yVal>
          <c:smooth val="0"/>
          <c:extLst>
            <c:ext xmlns:c16="http://schemas.microsoft.com/office/drawing/2014/chart" uri="{C3380CC4-5D6E-409C-BE32-E72D297353CC}">
              <c16:uniqueId val="{00000001-27BB-4E09-A388-F8948ACB3F4B}"/>
            </c:ext>
          </c:extLst>
        </c:ser>
        <c:dLbls>
          <c:showLegendKey val="0"/>
          <c:showVal val="0"/>
          <c:showCatName val="0"/>
          <c:showSerName val="0"/>
          <c:showPercent val="0"/>
          <c:showBubbleSize val="0"/>
        </c:dLbls>
        <c:axId val="3"/>
        <c:axId val="4"/>
      </c:scatterChart>
      <c:valAx>
        <c:axId val="442852943"/>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2000" b="1" i="0" u="none" strike="noStrike" baseline="0">
                    <a:solidFill>
                      <a:srgbClr val="000000"/>
                    </a:solidFill>
                    <a:latin typeface="Arial"/>
                    <a:ea typeface="Arial"/>
                    <a:cs typeface="Arial"/>
                  </a:defRPr>
                </a:pPr>
                <a:r>
                  <a:rPr lang="en-US"/>
                  <a:t>Dissolved Aluminum (µg/L)</a:t>
                </a:r>
              </a:p>
            </c:rich>
          </c:tx>
          <c:layout>
            <c:manualLayout>
              <c:xMode val="edge"/>
              <c:yMode val="edge"/>
              <c:x val="3.2766403620815595E-3"/>
              <c:y val="0.38947389813039629"/>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44285294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800" b="1" i="0" u="none" strike="noStrike" baseline="0">
                    <a:solidFill>
                      <a:srgbClr val="000000"/>
                    </a:solidFill>
                    <a:latin typeface="Arial"/>
                    <a:ea typeface="Arial"/>
                    <a:cs typeface="Arial"/>
                  </a:defRPr>
                </a:pPr>
                <a:r>
                  <a:rPr lang="en-US"/>
                  <a:t>pH</a:t>
                </a:r>
              </a:p>
            </c:rich>
          </c:tx>
          <c:layout>
            <c:manualLayout>
              <c:xMode val="edge"/>
              <c:yMode val="edge"/>
              <c:x val="0.96923021910372531"/>
              <c:y val="0.57733777840505796"/>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3"/>
        <c:crosses val="max"/>
        <c:crossBetween val="midCat"/>
        <c:majorUnit val="0.1"/>
      </c:valAx>
      <c:spPr>
        <a:solidFill>
          <a:srgbClr val="FFFFFF"/>
        </a:solidFill>
        <a:ln w="3175">
          <a:solidFill>
            <a:srgbClr val="000000"/>
          </a:solidFill>
          <a:prstDash val="solid"/>
        </a:ln>
      </c:spPr>
    </c:plotArea>
    <c:legend>
      <c:legendPos val="r"/>
      <c:layout>
        <c:manualLayout>
          <c:xMode val="edge"/>
          <c:yMode val="edge"/>
          <c:x val="0.66712397771980547"/>
          <c:y val="0.11798768090420828"/>
          <c:w val="0.25099065173544743"/>
          <c:h val="8.8204382811883864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Bromide</a:t>
            </a:r>
          </a:p>
        </c:rich>
      </c:tx>
      <c:layout>
        <c:manualLayout>
          <c:xMode val="edge"/>
          <c:yMode val="edge"/>
          <c:x val="0.44836104162393536"/>
          <c:y val="2.5057748890278637E-2"/>
        </c:manualLayout>
      </c:layout>
      <c:overlay val="0"/>
      <c:spPr>
        <a:noFill/>
        <a:ln w="3175">
          <a:solidFill>
            <a:srgbClr val="000000"/>
          </a:solidFill>
          <a:prstDash val="solid"/>
        </a:ln>
      </c:spPr>
    </c:title>
    <c:autoTitleDeleted val="0"/>
    <c:plotArea>
      <c:layout>
        <c:manualLayout>
          <c:layoutTarget val="inner"/>
          <c:xMode val="edge"/>
          <c:yMode val="edge"/>
          <c:x val="6.7495210567044037E-2"/>
          <c:y val="0.24943850031686463"/>
          <c:w val="0.8815700972022078"/>
          <c:h val="0.649223493975401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Data'!$E$51:$BD$51</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7896-480E-95C6-7F5C91A172F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7896-480E-95C6-7F5C91A172FE}"/>
            </c:ext>
          </c:extLst>
        </c:ser>
        <c:dLbls>
          <c:showLegendKey val="0"/>
          <c:showVal val="0"/>
          <c:showCatName val="0"/>
          <c:showSerName val="0"/>
          <c:showPercent val="0"/>
          <c:showBubbleSize val="0"/>
        </c:dLbls>
        <c:axId val="442885951"/>
        <c:axId val="1"/>
      </c:scatterChart>
      <c:valAx>
        <c:axId val="44288595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05706953260946"/>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Bromide (mg/L)</a:t>
                </a:r>
              </a:p>
            </c:rich>
          </c:tx>
          <c:layout>
            <c:manualLayout>
              <c:xMode val="edge"/>
              <c:yMode val="edge"/>
              <c:x val="3.4436331921961242E-3"/>
              <c:y val="0.4635683544701548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951"/>
        <c:crosses val="autoZero"/>
        <c:crossBetween val="midCat"/>
      </c:valAx>
      <c:spPr>
        <a:noFill/>
        <a:ln w="3175">
          <a:solidFill>
            <a:srgbClr val="000000"/>
          </a:solidFill>
          <a:prstDash val="solid"/>
        </a:ln>
      </c:spPr>
    </c:plotArea>
    <c:legend>
      <c:legendPos val="r"/>
      <c:layout>
        <c:manualLayout>
          <c:xMode val="edge"/>
          <c:yMode val="edge"/>
          <c:x val="0.7713738350519318"/>
          <c:y val="7.6312235256757677E-2"/>
          <c:w val="0.1095075355118367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a:t>
            </a:r>
          </a:p>
        </c:rich>
      </c:tx>
      <c:layout>
        <c:manualLayout>
          <c:xMode val="edge"/>
          <c:yMode val="edge"/>
          <c:x val="0.45762981725432694"/>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6632632573597734"/>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Data'!$E$53:$BD$53</c:f>
              <c:numCache>
                <c:formatCode>0.00</c:formatCode>
                <c:ptCount val="52"/>
                <c:pt idx="0">
                  <c:v>0.2</c:v>
                </c:pt>
                <c:pt idx="1">
                  <c:v>0.2</c:v>
                </c:pt>
                <c:pt idx="2">
                  <c:v>0.2</c:v>
                </c:pt>
                <c:pt idx="3">
                  <c:v>0.2</c:v>
                </c:pt>
                <c:pt idx="4">
                  <c:v>0.2</c:v>
                </c:pt>
                <c:pt idx="5">
                  <c:v>0.2</c:v>
                </c:pt>
                <c:pt idx="6">
                  <c:v>0.2</c:v>
                </c:pt>
                <c:pt idx="7">
                  <c:v>0.21</c:v>
                </c:pt>
                <c:pt idx="9">
                  <c:v>0.21</c:v>
                </c:pt>
                <c:pt idx="10">
                  <c:v>0.21</c:v>
                </c:pt>
                <c:pt idx="11">
                  <c:v>0.21</c:v>
                </c:pt>
                <c:pt idx="12">
                  <c:v>0.2</c:v>
                </c:pt>
                <c:pt idx="13">
                  <c:v>0.19</c:v>
                </c:pt>
                <c:pt idx="14">
                  <c:v>0.2</c:v>
                </c:pt>
                <c:pt idx="15">
                  <c:v>0.21</c:v>
                </c:pt>
                <c:pt idx="16">
                  <c:v>0.2</c:v>
                </c:pt>
                <c:pt idx="17">
                  <c:v>0.17</c:v>
                </c:pt>
                <c:pt idx="18">
                  <c:v>0.18</c:v>
                </c:pt>
                <c:pt idx="19">
                  <c:v>0.18</c:v>
                </c:pt>
                <c:pt idx="20">
                  <c:v>0.19</c:v>
                </c:pt>
                <c:pt idx="21">
                  <c:v>0.19</c:v>
                </c:pt>
                <c:pt idx="22">
                  <c:v>0.19</c:v>
                </c:pt>
                <c:pt idx="23">
                  <c:v>0.2</c:v>
                </c:pt>
                <c:pt idx="24">
                  <c:v>0.2</c:v>
                </c:pt>
                <c:pt idx="25">
                  <c:v>0.2</c:v>
                </c:pt>
                <c:pt idx="26">
                  <c:v>0.2</c:v>
                </c:pt>
                <c:pt idx="27">
                  <c:v>0.21</c:v>
                </c:pt>
                <c:pt idx="28">
                  <c:v>0.21</c:v>
                </c:pt>
                <c:pt idx="29">
                  <c:v>0.21</c:v>
                </c:pt>
                <c:pt idx="30">
                  <c:v>0.21</c:v>
                </c:pt>
                <c:pt idx="31">
                  <c:v>0.2</c:v>
                </c:pt>
                <c:pt idx="32">
                  <c:v>0.2</c:v>
                </c:pt>
                <c:pt idx="33" formatCode="General;[Red]\-General">
                  <c:v>0.21</c:v>
                </c:pt>
                <c:pt idx="34">
                  <c:v>0.22</c:v>
                </c:pt>
                <c:pt idx="35">
                  <c:v>0.22</c:v>
                </c:pt>
                <c:pt idx="36">
                  <c:v>0.22</c:v>
                </c:pt>
                <c:pt idx="37">
                  <c:v>0.22</c:v>
                </c:pt>
                <c:pt idx="38">
                  <c:v>0.22</c:v>
                </c:pt>
                <c:pt idx="39">
                  <c:v>0.22</c:v>
                </c:pt>
                <c:pt idx="40">
                  <c:v>0.22</c:v>
                </c:pt>
                <c:pt idx="41">
                  <c:v>0.22</c:v>
                </c:pt>
                <c:pt idx="42">
                  <c:v>0.22</c:v>
                </c:pt>
                <c:pt idx="43">
                  <c:v>0.2</c:v>
                </c:pt>
                <c:pt idx="44">
                  <c:v>0.2</c:v>
                </c:pt>
                <c:pt idx="45">
                  <c:v>0.2</c:v>
                </c:pt>
                <c:pt idx="46" formatCode="0.00;[Red]\-0.00">
                  <c:v>0.2</c:v>
                </c:pt>
                <c:pt idx="47">
                  <c:v>0.2</c:v>
                </c:pt>
                <c:pt idx="48">
                  <c:v>0.2</c:v>
                </c:pt>
                <c:pt idx="49">
                  <c:v>0.21</c:v>
                </c:pt>
                <c:pt idx="50">
                  <c:v>0.21</c:v>
                </c:pt>
              </c:numCache>
            </c:numRef>
          </c:yVal>
          <c:smooth val="0"/>
          <c:extLst>
            <c:ext xmlns:c16="http://schemas.microsoft.com/office/drawing/2014/chart" uri="{C3380CC4-5D6E-409C-BE32-E72D297353CC}">
              <c16:uniqueId val="{00000000-1647-4442-95D2-61183E6622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Data'!$E$196:$BD$196</c:f>
              <c:numCache>
                <c:formatCode>0.00</c:formatCode>
                <c:ptCount val="52"/>
                <c:pt idx="0">
                  <c:v>0.13</c:v>
                </c:pt>
                <c:pt idx="1">
                  <c:v>0.14000000000000001</c:v>
                </c:pt>
                <c:pt idx="2">
                  <c:v>0.13</c:v>
                </c:pt>
                <c:pt idx="3">
                  <c:v>0.14000000000000001</c:v>
                </c:pt>
                <c:pt idx="4">
                  <c:v>0.13</c:v>
                </c:pt>
                <c:pt idx="5">
                  <c:v>0.13</c:v>
                </c:pt>
                <c:pt idx="6">
                  <c:v>0.14000000000000001</c:v>
                </c:pt>
                <c:pt idx="7">
                  <c:v>0.14000000000000001</c:v>
                </c:pt>
                <c:pt idx="9">
                  <c:v>0.15</c:v>
                </c:pt>
                <c:pt idx="10">
                  <c:v>0.13</c:v>
                </c:pt>
                <c:pt idx="11">
                  <c:v>0.14000000000000001</c:v>
                </c:pt>
                <c:pt idx="12">
                  <c:v>0.14000000000000001</c:v>
                </c:pt>
                <c:pt idx="13">
                  <c:v>0.12</c:v>
                </c:pt>
                <c:pt idx="14">
                  <c:v>0.12</c:v>
                </c:pt>
                <c:pt idx="15">
                  <c:v>0.13</c:v>
                </c:pt>
                <c:pt idx="16">
                  <c:v>0.13</c:v>
                </c:pt>
                <c:pt idx="17">
                  <c:v>0.1</c:v>
                </c:pt>
                <c:pt idx="18">
                  <c:v>0.11</c:v>
                </c:pt>
                <c:pt idx="19">
                  <c:v>0.11</c:v>
                </c:pt>
                <c:pt idx="20">
                  <c:v>0.12</c:v>
                </c:pt>
                <c:pt idx="21">
                  <c:v>0.12</c:v>
                </c:pt>
                <c:pt idx="22">
                  <c:v>0.12</c:v>
                </c:pt>
                <c:pt idx="23">
                  <c:v>0.13</c:v>
                </c:pt>
                <c:pt idx="24">
                  <c:v>0.13</c:v>
                </c:pt>
                <c:pt idx="25">
                  <c:v>0.13</c:v>
                </c:pt>
                <c:pt idx="26">
                  <c:v>0.13</c:v>
                </c:pt>
                <c:pt idx="27">
                  <c:v>0.13</c:v>
                </c:pt>
                <c:pt idx="28">
                  <c:v>0.14000000000000001</c:v>
                </c:pt>
                <c:pt idx="29">
                  <c:v>0.14000000000000001</c:v>
                </c:pt>
                <c:pt idx="30">
                  <c:v>0.13</c:v>
                </c:pt>
                <c:pt idx="31">
                  <c:v>0.14000000000000001</c:v>
                </c:pt>
                <c:pt idx="32">
                  <c:v>0.12</c:v>
                </c:pt>
                <c:pt idx="33" formatCode="General;[Red]\-General">
                  <c:v>0.12</c:v>
                </c:pt>
                <c:pt idx="34">
                  <c:v>0.11</c:v>
                </c:pt>
                <c:pt idx="35">
                  <c:v>0.12</c:v>
                </c:pt>
                <c:pt idx="36">
                  <c:v>0.11</c:v>
                </c:pt>
                <c:pt idx="37">
                  <c:v>0.15</c:v>
                </c:pt>
                <c:pt idx="38">
                  <c:v>0.12</c:v>
                </c:pt>
                <c:pt idx="39">
                  <c:v>0.15</c:v>
                </c:pt>
                <c:pt idx="40">
                  <c:v>0.15</c:v>
                </c:pt>
                <c:pt idx="41">
                  <c:v>0.13</c:v>
                </c:pt>
                <c:pt idx="42">
                  <c:v>0.12</c:v>
                </c:pt>
                <c:pt idx="43">
                  <c:v>0.1</c:v>
                </c:pt>
                <c:pt idx="44">
                  <c:v>0.13</c:v>
                </c:pt>
                <c:pt idx="45">
                  <c:v>0.12</c:v>
                </c:pt>
                <c:pt idx="46" formatCode="0.00;[Red]\-0.00">
                  <c:v>0.12</c:v>
                </c:pt>
                <c:pt idx="47">
                  <c:v>0.13</c:v>
                </c:pt>
                <c:pt idx="48">
                  <c:v>0.14000000000000001</c:v>
                </c:pt>
                <c:pt idx="49">
                  <c:v>0.15</c:v>
                </c:pt>
                <c:pt idx="50">
                  <c:v>0.14000000000000001</c:v>
                </c:pt>
              </c:numCache>
            </c:numRef>
          </c:yVal>
          <c:smooth val="0"/>
          <c:extLst>
            <c:ext xmlns:c16="http://schemas.microsoft.com/office/drawing/2014/chart" uri="{C3380CC4-5D6E-409C-BE32-E72D297353CC}">
              <c16:uniqueId val="{00000001-1647-4442-95D2-61183E662215}"/>
            </c:ext>
          </c:extLst>
        </c:ser>
        <c:dLbls>
          <c:showLegendKey val="0"/>
          <c:showVal val="0"/>
          <c:showCatName val="0"/>
          <c:showSerName val="0"/>
          <c:showPercent val="0"/>
          <c:showBubbleSize val="0"/>
        </c:dLbls>
        <c:axId val="442878879"/>
        <c:axId val="1"/>
      </c:scatterChart>
      <c:valAx>
        <c:axId val="442878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Fluoride (mg/L)</a:t>
                </a:r>
              </a:p>
            </c:rich>
          </c:tx>
          <c:layout>
            <c:manualLayout>
              <c:xMode val="edge"/>
              <c:yMode val="edge"/>
              <c:x val="3.4460076600476425E-3"/>
              <c:y val="0.32784124757764549"/>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8879"/>
        <c:crosses val="autoZero"/>
        <c:crossBetween val="midCat"/>
        <c:majorUnit val="0.01"/>
      </c:valAx>
      <c:spPr>
        <a:noFill/>
        <a:ln w="3175">
          <a:solidFill>
            <a:srgbClr val="000000"/>
          </a:solidFill>
          <a:prstDash val="solid"/>
        </a:ln>
      </c:spPr>
    </c:plotArea>
    <c:legend>
      <c:legendPos val="r"/>
      <c:layout>
        <c:manualLayout>
          <c:xMode val="edge"/>
          <c:yMode val="edge"/>
          <c:x val="0.77259491738268149"/>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 (Actual MJ dose; weekly average)</a:t>
            </a:r>
          </a:p>
        </c:rich>
      </c:tx>
      <c:layout>
        <c:manualLayout>
          <c:xMode val="edge"/>
          <c:yMode val="edge"/>
          <c:x val="0.29477500125198824"/>
          <c:y val="3.0806694184490141E-2"/>
        </c:manualLayout>
      </c:layout>
      <c:overlay val="0"/>
      <c:spPr>
        <a:noFill/>
        <a:ln w="3175">
          <a:solidFill>
            <a:srgbClr val="000000"/>
          </a:solidFill>
          <a:prstDash val="solid"/>
        </a:ln>
      </c:spPr>
    </c:title>
    <c:autoTitleDeleted val="0"/>
    <c:plotArea>
      <c:layout>
        <c:manualLayout>
          <c:layoutTarget val="inner"/>
          <c:xMode val="edge"/>
          <c:yMode val="edge"/>
          <c:x val="7.0938843759240158E-2"/>
          <c:y val="0.32465516179039611"/>
          <c:w val="0.86641811115654488"/>
          <c:h val="0.4621004127673521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C50D-43DA-9E4B-88001DE2FA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Data'!$E$197:$BD$197</c:f>
              <c:numCache>
                <c:formatCode>0.00</c:formatCode>
                <c:ptCount val="52"/>
                <c:pt idx="0">
                  <c:v>0.93</c:v>
                </c:pt>
                <c:pt idx="1">
                  <c:v>1.08</c:v>
                </c:pt>
                <c:pt idx="2">
                  <c:v>0.84</c:v>
                </c:pt>
                <c:pt idx="3">
                  <c:v>0.91</c:v>
                </c:pt>
                <c:pt idx="4">
                  <c:v>1.0900000000000001</c:v>
                </c:pt>
                <c:pt idx="5">
                  <c:v>0.89</c:v>
                </c:pt>
                <c:pt idx="6">
                  <c:v>0.94</c:v>
                </c:pt>
                <c:pt idx="7">
                  <c:v>1.07</c:v>
                </c:pt>
                <c:pt idx="9">
                  <c:v>1.01</c:v>
                </c:pt>
                <c:pt idx="10">
                  <c:v>0.91</c:v>
                </c:pt>
                <c:pt idx="11">
                  <c:v>1.02</c:v>
                </c:pt>
                <c:pt idx="12">
                  <c:v>0.98</c:v>
                </c:pt>
                <c:pt idx="13">
                  <c:v>0.97</c:v>
                </c:pt>
                <c:pt idx="14">
                  <c:v>0.91</c:v>
                </c:pt>
                <c:pt idx="15">
                  <c:v>1.05</c:v>
                </c:pt>
                <c:pt idx="16">
                  <c:v>1.03</c:v>
                </c:pt>
                <c:pt idx="17">
                  <c:v>0.9</c:v>
                </c:pt>
                <c:pt idx="18">
                  <c:v>1.01</c:v>
                </c:pt>
                <c:pt idx="19">
                  <c:v>1.03</c:v>
                </c:pt>
                <c:pt idx="20">
                  <c:v>1.1499999999999999</c:v>
                </c:pt>
                <c:pt idx="21">
                  <c:v>1.08</c:v>
                </c:pt>
                <c:pt idx="22">
                  <c:v>1.06</c:v>
                </c:pt>
                <c:pt idx="23">
                  <c:v>1.17</c:v>
                </c:pt>
                <c:pt idx="24">
                  <c:v>1.1299999999999999</c:v>
                </c:pt>
                <c:pt idx="25">
                  <c:v>1.1299999999999999</c:v>
                </c:pt>
                <c:pt idx="26">
                  <c:v>1.1399999999999999</c:v>
                </c:pt>
                <c:pt idx="27">
                  <c:v>1.01</c:v>
                </c:pt>
                <c:pt idx="28">
                  <c:v>0.78</c:v>
                </c:pt>
                <c:pt idx="29">
                  <c:v>1.04</c:v>
                </c:pt>
                <c:pt idx="30">
                  <c:v>0.95</c:v>
                </c:pt>
                <c:pt idx="31">
                  <c:v>1.06</c:v>
                </c:pt>
                <c:pt idx="32">
                  <c:v>1.03</c:v>
                </c:pt>
                <c:pt idx="33" formatCode="General;[Red]\-General">
                  <c:v>1.04</c:v>
                </c:pt>
                <c:pt idx="34">
                  <c:v>1.04</c:v>
                </c:pt>
                <c:pt idx="35">
                  <c:v>1.08</c:v>
                </c:pt>
                <c:pt idx="36">
                  <c:v>1.02</c:v>
                </c:pt>
                <c:pt idx="37">
                  <c:v>0.99</c:v>
                </c:pt>
                <c:pt idx="38">
                  <c:v>0.94</c:v>
                </c:pt>
                <c:pt idx="39">
                  <c:v>0.97</c:v>
                </c:pt>
                <c:pt idx="40">
                  <c:v>1.02</c:v>
                </c:pt>
                <c:pt idx="41">
                  <c:v>1.01</c:v>
                </c:pt>
                <c:pt idx="42">
                  <c:v>1</c:v>
                </c:pt>
                <c:pt idx="43">
                  <c:v>1.06</c:v>
                </c:pt>
                <c:pt idx="44">
                  <c:v>1.04</c:v>
                </c:pt>
                <c:pt idx="45">
                  <c:v>1.07</c:v>
                </c:pt>
                <c:pt idx="46" formatCode="General;[Red]\-General">
                  <c:v>1.07</c:v>
                </c:pt>
                <c:pt idx="47">
                  <c:v>1.01</c:v>
                </c:pt>
                <c:pt idx="48">
                  <c:v>1.02</c:v>
                </c:pt>
                <c:pt idx="49">
                  <c:v>1</c:v>
                </c:pt>
                <c:pt idx="50">
                  <c:v>1.2</c:v>
                </c:pt>
                <c:pt idx="51">
                  <c:v>1.04</c:v>
                </c:pt>
              </c:numCache>
            </c:numRef>
          </c:yVal>
          <c:smooth val="0"/>
          <c:extLst>
            <c:ext xmlns:c16="http://schemas.microsoft.com/office/drawing/2014/chart" uri="{C3380CC4-5D6E-409C-BE32-E72D297353CC}">
              <c16:uniqueId val="{00000001-C50D-43DA-9E4B-88001DE2FA20}"/>
            </c:ext>
          </c:extLst>
        </c:ser>
        <c:dLbls>
          <c:showLegendKey val="0"/>
          <c:showVal val="0"/>
          <c:showCatName val="0"/>
          <c:showSerName val="0"/>
          <c:showPercent val="0"/>
          <c:showBubbleSize val="0"/>
        </c:dLbls>
        <c:axId val="442880127"/>
        <c:axId val="1"/>
      </c:scatterChart>
      <c:valAx>
        <c:axId val="44288012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92470970197409"/>
              <c:y val="0.8815454028177178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36331921961242E-3"/>
              <c:y val="0.29858795901890445"/>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127"/>
        <c:crosses val="autoZero"/>
        <c:crossBetween val="midCat"/>
        <c:majorUnit val="0.05"/>
      </c:valAx>
      <c:spPr>
        <a:noFill/>
        <a:ln w="3175">
          <a:solidFill>
            <a:srgbClr val="000000"/>
          </a:solidFill>
          <a:prstDash val="solid"/>
        </a:ln>
      </c:spPr>
    </c:plotArea>
    <c:legend>
      <c:legendPos val="r"/>
      <c:layout>
        <c:manualLayout>
          <c:xMode val="edge"/>
          <c:yMode val="edge"/>
          <c:x val="0.77275128832881024"/>
          <c:y val="7.820160831447498E-2"/>
          <c:w val="9.4355549466173805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Chlorophyll A</a:t>
            </a:r>
          </a:p>
        </c:rich>
      </c:tx>
      <c:layout>
        <c:manualLayout>
          <c:xMode val="edge"/>
          <c:yMode val="edge"/>
          <c:x val="0.41972373299380289"/>
          <c:y val="2.5029226966525576E-2"/>
        </c:manualLayout>
      </c:layout>
      <c:overlay val="0"/>
      <c:spPr>
        <a:noFill/>
        <a:ln w="3175">
          <a:solidFill>
            <a:srgbClr val="000000"/>
          </a:solidFill>
          <a:prstDash val="solid"/>
        </a:ln>
      </c:spPr>
    </c:title>
    <c:autoTitleDeleted val="0"/>
    <c:plotArea>
      <c:layout>
        <c:manualLayout>
          <c:layoutTarget val="inner"/>
          <c:xMode val="edge"/>
          <c:yMode val="edge"/>
          <c:x val="6.2028137880857565E-2"/>
          <c:y val="0.25029226966525575"/>
          <c:w val="0.87873195331214882"/>
          <c:h val="0.6792022045007167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0-5293-4950-A706-657ED9BA93D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293-4950-A706-657ED9BA93DB}"/>
            </c:ext>
          </c:extLst>
        </c:ser>
        <c:dLbls>
          <c:showLegendKey val="0"/>
          <c:showVal val="0"/>
          <c:showCatName val="0"/>
          <c:showSerName val="0"/>
          <c:showPercent val="0"/>
          <c:showBubbleSize val="0"/>
        </c:dLbls>
        <c:axId val="418615887"/>
        <c:axId val="1"/>
      </c:scatterChart>
      <c:valAx>
        <c:axId val="41861588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minorUnit val="7"/>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Chlorophyll A (ug/L)</a:t>
                </a:r>
              </a:p>
            </c:rich>
          </c:tx>
          <c:layout>
            <c:manualLayout>
              <c:xMode val="edge"/>
              <c:yMode val="edge"/>
              <c:x val="3.4460076600476425E-3"/>
              <c:y val="0.44825070112777621"/>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15887"/>
        <c:crosses val="autoZero"/>
        <c:crossBetween val="midCat"/>
        <c:majorUnit val="5"/>
        <c:minorUnit val="2.5"/>
      </c:valAx>
      <c:spPr>
        <a:noFill/>
        <a:ln w="3175">
          <a:solidFill>
            <a:srgbClr val="000000"/>
          </a:solidFill>
          <a:prstDash val="solid"/>
        </a:ln>
      </c:spPr>
    </c:plotArea>
    <c:legend>
      <c:legendPos val="r"/>
      <c:layout>
        <c:manualLayout>
          <c:xMode val="edge"/>
          <c:yMode val="edge"/>
          <c:x val="0.76363529746655756"/>
          <c:y val="7.62253730344188E-2"/>
          <c:w val="0.1095830435895150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(Dissolved)</a:t>
            </a:r>
          </a:p>
        </c:rich>
      </c:tx>
      <c:layout>
        <c:manualLayout>
          <c:xMode val="edge"/>
          <c:yMode val="edge"/>
          <c:x val="0.42081197608636639"/>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Data'!$E$54:$BD$54</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5F6C-42B9-969C-C2E3876A38F8}"/>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Data'!$E$198:$BD$198</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0.02</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F6C-42B9-969C-C2E3876A38F8}"/>
            </c:ext>
          </c:extLst>
        </c:ser>
        <c:dLbls>
          <c:showLegendKey val="0"/>
          <c:showVal val="0"/>
          <c:showCatName val="0"/>
          <c:showSerName val="0"/>
          <c:showPercent val="0"/>
          <c:showBubbleSize val="0"/>
        </c:dLbls>
        <c:axId val="418620879"/>
        <c:axId val="1"/>
      </c:scatterChart>
      <c:valAx>
        <c:axId val="418620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Dissolved Iron (mg/L)</a:t>
                </a:r>
              </a:p>
            </c:rich>
          </c:tx>
          <c:layout>
            <c:manualLayout>
              <c:xMode val="edge"/>
              <c:yMode val="edge"/>
              <c:x val="3.4436331921961242E-3"/>
              <c:y val="0.3428003810560539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0879"/>
        <c:crosses val="autoZero"/>
        <c:crossBetween val="midCat"/>
        <c:majorUnit val="0.01"/>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(Total)</a:t>
            </a:r>
          </a:p>
        </c:rich>
      </c:tx>
      <c:layout>
        <c:manualLayout>
          <c:xMode val="edge"/>
          <c:yMode val="edge"/>
          <c:x val="0.44453498814614589"/>
          <c:y val="3.0733827267094494E-2"/>
        </c:manualLayout>
      </c:layout>
      <c:overlay val="0"/>
      <c:spPr>
        <a:noFill/>
        <a:ln w="3175">
          <a:solidFill>
            <a:srgbClr val="000000"/>
          </a:solidFill>
          <a:prstDash val="solid"/>
        </a:ln>
      </c:spPr>
    </c:title>
    <c:autoTitleDeleted val="0"/>
    <c:plotArea>
      <c:layout>
        <c:manualLayout>
          <c:layoutTarget val="inner"/>
          <c:xMode val="edge"/>
          <c:yMode val="edge"/>
          <c:x val="6.5474145540905207E-2"/>
          <c:y val="0.32388725658399581"/>
          <c:w val="0.87183993799205362"/>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Data'!$E$55:$BD$55</c:f>
              <c:numCache>
                <c:formatCode>0.00</c:formatCode>
                <c:ptCount val="52"/>
                <c:pt idx="4">
                  <c:v>0.05</c:v>
                </c:pt>
                <c:pt idx="5">
                  <c:v>0.09</c:v>
                </c:pt>
                <c:pt idx="7">
                  <c:v>7.0000000000000007E-2</c:v>
                </c:pt>
                <c:pt idx="9">
                  <c:v>7.0000000000000007E-2</c:v>
                </c:pt>
                <c:pt idx="11">
                  <c:v>0.05</c:v>
                </c:pt>
                <c:pt idx="12">
                  <c:v>0.05</c:v>
                </c:pt>
                <c:pt idx="13">
                  <c:v>0.08</c:v>
                </c:pt>
                <c:pt idx="14">
                  <c:v>0.08</c:v>
                </c:pt>
                <c:pt idx="16">
                  <c:v>0.1</c:v>
                </c:pt>
                <c:pt idx="17">
                  <c:v>0.13</c:v>
                </c:pt>
                <c:pt idx="18">
                  <c:v>0.42</c:v>
                </c:pt>
                <c:pt idx="19">
                  <c:v>0.11</c:v>
                </c:pt>
                <c:pt idx="20">
                  <c:v>0.26</c:v>
                </c:pt>
                <c:pt idx="21">
                  <c:v>0.12</c:v>
                </c:pt>
                <c:pt idx="22">
                  <c:v>0.24</c:v>
                </c:pt>
                <c:pt idx="23">
                  <c:v>0.18</c:v>
                </c:pt>
                <c:pt idx="24">
                  <c:v>0.18</c:v>
                </c:pt>
                <c:pt idx="25">
                  <c:v>0.1</c:v>
                </c:pt>
                <c:pt idx="26">
                  <c:v>0.21</c:v>
                </c:pt>
                <c:pt idx="27">
                  <c:v>0.13</c:v>
                </c:pt>
                <c:pt idx="28">
                  <c:v>0.16</c:v>
                </c:pt>
                <c:pt idx="29">
                  <c:v>0.31</c:v>
                </c:pt>
                <c:pt idx="30">
                  <c:v>0.21</c:v>
                </c:pt>
                <c:pt idx="31">
                  <c:v>0.14000000000000001</c:v>
                </c:pt>
                <c:pt idx="32">
                  <c:v>0.1</c:v>
                </c:pt>
                <c:pt idx="33" formatCode="General;[Red]\-General">
                  <c:v>0.15</c:v>
                </c:pt>
                <c:pt idx="34">
                  <c:v>0.1</c:v>
                </c:pt>
                <c:pt idx="35">
                  <c:v>7.0000000000000007E-2</c:v>
                </c:pt>
                <c:pt idx="36">
                  <c:v>0.1</c:v>
                </c:pt>
                <c:pt idx="37">
                  <c:v>7.0000000000000007E-2</c:v>
                </c:pt>
                <c:pt idx="38">
                  <c:v>0.16</c:v>
                </c:pt>
                <c:pt idx="39">
                  <c:v>0.16</c:v>
                </c:pt>
                <c:pt idx="40">
                  <c:v>0.21</c:v>
                </c:pt>
                <c:pt idx="41">
                  <c:v>0.48</c:v>
                </c:pt>
                <c:pt idx="42">
                  <c:v>0.14000000000000001</c:v>
                </c:pt>
                <c:pt idx="43">
                  <c:v>0.17</c:v>
                </c:pt>
                <c:pt idx="45">
                  <c:v>0.26</c:v>
                </c:pt>
                <c:pt idx="46" formatCode="General;[Red]\-General">
                  <c:v>0.17</c:v>
                </c:pt>
                <c:pt idx="47">
                  <c:v>0.09</c:v>
                </c:pt>
                <c:pt idx="48">
                  <c:v>0.08</c:v>
                </c:pt>
                <c:pt idx="49">
                  <c:v>0.03</c:v>
                </c:pt>
                <c:pt idx="50">
                  <c:v>7.0000000000000007E-2</c:v>
                </c:pt>
              </c:numCache>
            </c:numRef>
          </c:yVal>
          <c:smooth val="0"/>
          <c:extLst>
            <c:ext xmlns:c16="http://schemas.microsoft.com/office/drawing/2014/chart" uri="{C3380CC4-5D6E-409C-BE32-E72D297353CC}">
              <c16:uniqueId val="{00000000-B67D-40D4-B904-6144A5C2A4E7}"/>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Data'!$E$199:$BD$199</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0.03</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B67D-40D4-B904-6144A5C2A4E7}"/>
            </c:ext>
          </c:extLst>
        </c:ser>
        <c:dLbls>
          <c:showLegendKey val="0"/>
          <c:showVal val="0"/>
          <c:showCatName val="0"/>
          <c:showSerName val="0"/>
          <c:showPercent val="0"/>
          <c:showBubbleSize val="0"/>
        </c:dLbls>
        <c:axId val="418628367"/>
        <c:axId val="1"/>
      </c:scatterChart>
      <c:valAx>
        <c:axId val="41862836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Total Iron (mg/L)</a:t>
                </a:r>
              </a:p>
            </c:rich>
          </c:tx>
          <c:layout>
            <c:manualLayout>
              <c:xMode val="edge"/>
              <c:yMode val="edge"/>
              <c:x val="3.4460076600476425E-3"/>
              <c:y val="0.3097024132299522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8367"/>
        <c:crosses val="autoZero"/>
        <c:crossBetween val="midCat"/>
        <c:majorUnit val="0.05"/>
      </c:valAx>
      <c:spPr>
        <a:noFill/>
        <a:ln w="3175">
          <a:solidFill>
            <a:srgbClr val="000000"/>
          </a:solidFill>
          <a:prstDash val="solid"/>
        </a:ln>
      </c:spPr>
    </c:plotArea>
    <c:legend>
      <c:legendPos val="r"/>
      <c:layout>
        <c:manualLayout>
          <c:xMode val="edge"/>
          <c:yMode val="edge"/>
          <c:x val="0.77190571585067191"/>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Dissolved Manganese</a:t>
            </a:r>
          </a:p>
        </c:rich>
      </c:tx>
      <c:layout>
        <c:manualLayout>
          <c:xMode val="edge"/>
          <c:yMode val="edge"/>
          <c:x val="0.39188545727191892"/>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Data'!$E$56:$BD$56</c:f>
              <c:numCache>
                <c:formatCode>0.00</c:formatCode>
                <c:ptCount val="52"/>
                <c:pt idx="4">
                  <c:v>0.01</c:v>
                </c:pt>
                <c:pt idx="5">
                  <c:v>0.01</c:v>
                </c:pt>
                <c:pt idx="7">
                  <c:v>0.02</c:v>
                </c:pt>
                <c:pt idx="9">
                  <c:v>0.03</c:v>
                </c:pt>
                <c:pt idx="11">
                  <c:v>0.1</c:v>
                </c:pt>
                <c:pt idx="12">
                  <c:v>0.08</c:v>
                </c:pt>
                <c:pt idx="13">
                  <c:v>0.24</c:v>
                </c:pt>
                <c:pt idx="14">
                  <c:v>0.28999999999999998</c:v>
                </c:pt>
                <c:pt idx="16">
                  <c:v>0.28000000000000003</c:v>
                </c:pt>
                <c:pt idx="17">
                  <c:v>0.02</c:v>
                </c:pt>
                <c:pt idx="18">
                  <c:v>0</c:v>
                </c:pt>
                <c:pt idx="19">
                  <c:v>0</c:v>
                </c:pt>
                <c:pt idx="20">
                  <c:v>0</c:v>
                </c:pt>
                <c:pt idx="21">
                  <c:v>0</c:v>
                </c:pt>
                <c:pt idx="22">
                  <c:v>0</c:v>
                </c:pt>
                <c:pt idx="23">
                  <c:v>0</c:v>
                </c:pt>
                <c:pt idx="24">
                  <c:v>0</c:v>
                </c:pt>
                <c:pt idx="25">
                  <c:v>0</c:v>
                </c:pt>
                <c:pt idx="26">
                  <c:v>0</c:v>
                </c:pt>
                <c:pt idx="27">
                  <c:v>0</c:v>
                </c:pt>
                <c:pt idx="28">
                  <c:v>0.01</c:v>
                </c:pt>
                <c:pt idx="29">
                  <c:v>0.01</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0.01</c:v>
                </c:pt>
                <c:pt idx="43">
                  <c:v>0</c:v>
                </c:pt>
                <c:pt idx="45">
                  <c:v>0</c:v>
                </c:pt>
                <c:pt idx="46" formatCode="General;[Red]\-General">
                  <c:v>0</c:v>
                </c:pt>
                <c:pt idx="47">
                  <c:v>0</c:v>
                </c:pt>
                <c:pt idx="48">
                  <c:v>0.01</c:v>
                </c:pt>
                <c:pt idx="49">
                  <c:v>0.01</c:v>
                </c:pt>
                <c:pt idx="50">
                  <c:v>0</c:v>
                </c:pt>
              </c:numCache>
            </c:numRef>
          </c:yVal>
          <c:smooth val="0"/>
          <c:extLst>
            <c:ext xmlns:c16="http://schemas.microsoft.com/office/drawing/2014/chart" uri="{C3380CC4-5D6E-409C-BE32-E72D297353CC}">
              <c16:uniqueId val="{00000000-8860-4077-AABD-68F09D37DB6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Data'!$E$200:$BD$200</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8860-4077-AABD-68F09D37DB6C}"/>
            </c:ext>
          </c:extLst>
        </c:ser>
        <c:dLbls>
          <c:showLegendKey val="0"/>
          <c:showVal val="0"/>
          <c:showCatName val="0"/>
          <c:showSerName val="0"/>
          <c:showPercent val="0"/>
          <c:showBubbleSize val="0"/>
        </c:dLbls>
        <c:axId val="418617135"/>
        <c:axId val="1"/>
      </c:scatterChart>
      <c:valAx>
        <c:axId val="418617135"/>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(dissolved) (mg/L)</a:t>
                </a:r>
              </a:p>
            </c:rich>
          </c:tx>
          <c:layout>
            <c:manualLayout>
              <c:xMode val="edge"/>
              <c:yMode val="edge"/>
              <c:x val="3.4436331921961242E-3"/>
              <c:y val="0.33807209993803944"/>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7135"/>
        <c:crosses val="autoZero"/>
        <c:crossBetween val="midCat"/>
        <c:majorUnit val="0.05"/>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Total Manganese</a:t>
            </a:r>
          </a:p>
        </c:rich>
      </c:tx>
      <c:layout>
        <c:manualLayout>
          <c:xMode val="edge"/>
          <c:yMode val="edge"/>
          <c:x val="0.41558852380174571"/>
          <c:y val="3.0733827267094494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88725658399581"/>
          <c:w val="0.86632632573597734"/>
          <c:h val="0.5319316257766354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0-282B-458F-9CC7-F2749F88C72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Data'!$E$201:$BD$201</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282B-458F-9CC7-F2749F88C726}"/>
            </c:ext>
          </c:extLst>
        </c:ser>
        <c:dLbls>
          <c:showLegendKey val="0"/>
          <c:showVal val="0"/>
          <c:showCatName val="0"/>
          <c:showSerName val="0"/>
          <c:showPercent val="0"/>
          <c:showBubbleSize val="0"/>
        </c:dLbls>
        <c:axId val="418623375"/>
        <c:axId val="1"/>
      </c:scatterChart>
      <c:valAx>
        <c:axId val="41862337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(total) (mg/L)</a:t>
                </a:r>
              </a:p>
            </c:rich>
          </c:tx>
          <c:layout>
            <c:manualLayout>
              <c:xMode val="edge"/>
              <c:yMode val="edge"/>
              <c:x val="3.4460076600476425E-3"/>
              <c:y val="0.3404362404970466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3375"/>
        <c:crosses val="autoZero"/>
        <c:crossBetween val="midCat"/>
        <c:majorUnit val="0.05"/>
      </c:valAx>
      <c:spPr>
        <a:noFill/>
        <a:ln w="3175">
          <a:solidFill>
            <a:srgbClr val="000000"/>
          </a:solidFill>
          <a:prstDash val="solid"/>
        </a:ln>
      </c:spPr>
    </c:plotArea>
    <c:legend>
      <c:legendPos val="r"/>
      <c:layout>
        <c:manualLayout>
          <c:xMode val="edge"/>
          <c:yMode val="edge"/>
          <c:x val="0.77259491738268149"/>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Nitrate</a:t>
            </a:r>
          </a:p>
        </c:rich>
      </c:tx>
      <c:layout>
        <c:manualLayout>
          <c:xMode val="edge"/>
          <c:yMode val="edge"/>
          <c:x val="0.45831901878633646"/>
          <c:y val="2.5086293407491522E-2"/>
        </c:manualLayout>
      </c:layout>
      <c:overlay val="0"/>
      <c:spPr>
        <a:noFill/>
        <a:ln w="3175">
          <a:solidFill>
            <a:srgbClr val="000000"/>
          </a:solidFill>
          <a:prstDash val="solid"/>
        </a:ln>
      </c:spPr>
    </c:title>
    <c:autoTitleDeleted val="0"/>
    <c:plotArea>
      <c:layout>
        <c:manualLayout>
          <c:layoutTarget val="inner"/>
          <c:xMode val="edge"/>
          <c:yMode val="edge"/>
          <c:x val="6.1338936348848037E-2"/>
          <c:y val="0.24972264801093833"/>
          <c:w val="0.88011035637616786"/>
          <c:h val="0.67961049413022478"/>
        </c:manualLayout>
      </c:layout>
      <c:scatterChart>
        <c:scatterStyle val="lineMarker"/>
        <c:varyColors val="0"/>
        <c:ser>
          <c:idx val="0"/>
          <c:order val="0"/>
          <c:tx>
            <c:v>Rraw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Data'!$E$58:$BD$58</c:f>
              <c:numCache>
                <c:formatCode>0.00</c:formatCode>
                <c:ptCount val="52"/>
                <c:pt idx="1">
                  <c:v>0</c:v>
                </c:pt>
                <c:pt idx="2">
                  <c:v>7.0000000000000007E-2</c:v>
                </c:pt>
                <c:pt idx="3">
                  <c:v>7.0000000000000007E-2</c:v>
                </c:pt>
                <c:pt idx="4">
                  <c:v>0.08</c:v>
                </c:pt>
                <c:pt idx="5">
                  <c:v>0.11</c:v>
                </c:pt>
                <c:pt idx="7">
                  <c:v>0.16</c:v>
                </c:pt>
                <c:pt idx="9">
                  <c:v>0.22</c:v>
                </c:pt>
                <c:pt idx="10">
                  <c:v>0.25</c:v>
                </c:pt>
                <c:pt idx="11">
                  <c:v>0.24</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0.04</c:v>
                </c:pt>
                <c:pt idx="29">
                  <c:v>0.03</c:v>
                </c:pt>
                <c:pt idx="30">
                  <c:v>0</c:v>
                </c:pt>
                <c:pt idx="31">
                  <c:v>0</c:v>
                </c:pt>
                <c:pt idx="32">
                  <c:v>0</c:v>
                </c:pt>
                <c:pt idx="33" formatCode="General;[Red]\-General">
                  <c:v>0.03</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E8E7-4054-B4AD-37082C5144D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Data'!$E$202:$BD$202</c:f>
              <c:numCache>
                <c:formatCode>0.00</c:formatCode>
                <c:ptCount val="52"/>
                <c:pt idx="1">
                  <c:v>0.05</c:v>
                </c:pt>
                <c:pt idx="2">
                  <c:v>0.06</c:v>
                </c:pt>
                <c:pt idx="3">
                  <c:v>7.0000000000000007E-2</c:v>
                </c:pt>
                <c:pt idx="4">
                  <c:v>0.09</c:v>
                </c:pt>
                <c:pt idx="5">
                  <c:v>0.12</c:v>
                </c:pt>
                <c:pt idx="7">
                  <c:v>0.15</c:v>
                </c:pt>
                <c:pt idx="9">
                  <c:v>0.21</c:v>
                </c:pt>
                <c:pt idx="10">
                  <c:v>0.22</c:v>
                </c:pt>
                <c:pt idx="11">
                  <c:v>0.23</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0.03</c:v>
                </c:pt>
                <c:pt idx="29">
                  <c:v>0.03</c:v>
                </c:pt>
                <c:pt idx="30">
                  <c:v>0.04</c:v>
                </c:pt>
                <c:pt idx="31">
                  <c:v>0.03</c:v>
                </c:pt>
                <c:pt idx="32">
                  <c:v>0.03</c:v>
                </c:pt>
                <c:pt idx="33" formatCode="General;[Red]\-General">
                  <c:v>0.04</c:v>
                </c:pt>
                <c:pt idx="34">
                  <c:v>0.04</c:v>
                </c:pt>
                <c:pt idx="35">
                  <c:v>0.03</c:v>
                </c:pt>
                <c:pt idx="36">
                  <c:v>0.03</c:v>
                </c:pt>
                <c:pt idx="37">
                  <c:v>0.03</c:v>
                </c:pt>
                <c:pt idx="38">
                  <c:v>0.03</c:v>
                </c:pt>
                <c:pt idx="39">
                  <c:v>0.02</c:v>
                </c:pt>
                <c:pt idx="40">
                  <c:v>0.02</c:v>
                </c:pt>
                <c:pt idx="41">
                  <c:v>0.01</c:v>
                </c:pt>
                <c:pt idx="42">
                  <c:v>0.01</c:v>
                </c:pt>
                <c:pt idx="43">
                  <c:v>0.01</c:v>
                </c:pt>
                <c:pt idx="44">
                  <c:v>0.01</c:v>
                </c:pt>
                <c:pt idx="45">
                  <c:v>0.01</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E8E7-4054-B4AD-37082C5144DA}"/>
            </c:ext>
          </c:extLst>
        </c:ser>
        <c:dLbls>
          <c:showLegendKey val="0"/>
          <c:showVal val="0"/>
          <c:showCatName val="0"/>
          <c:showSerName val="0"/>
          <c:showPercent val="0"/>
          <c:showBubbleSize val="0"/>
        </c:dLbls>
        <c:axId val="418624207"/>
        <c:axId val="1"/>
      </c:scatterChart>
      <c:valAx>
        <c:axId val="418624207"/>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016574908885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inorUnit val="50"/>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Nitrate (mg/L)</a:t>
                </a:r>
              </a:p>
            </c:rich>
          </c:tx>
          <c:layout>
            <c:manualLayout>
              <c:xMode val="edge"/>
              <c:yMode val="edge"/>
              <c:x val="3.4460076600476425E-3"/>
              <c:y val="0.49032300751006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24207"/>
        <c:crosses val="autoZero"/>
        <c:crossBetween val="midCat"/>
        <c:majorUnit val="0.1"/>
        <c:minorUnit val="0.05"/>
      </c:valAx>
      <c:spPr>
        <a:noFill/>
        <a:ln w="3175">
          <a:solidFill>
            <a:srgbClr val="000000"/>
          </a:solidFill>
          <a:prstDash val="solid"/>
        </a:ln>
      </c:spPr>
    </c:plotArea>
    <c:legend>
      <c:legendPos val="r"/>
      <c:layout>
        <c:manualLayout>
          <c:xMode val="edge"/>
          <c:yMode val="edge"/>
          <c:x val="0.76363529746655756"/>
          <c:y val="7.639916628645145E-2"/>
          <c:w val="0.10958304358951504"/>
          <c:h val="8.7802026926220328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Total Organic Carbon</a:t>
            </a:r>
          </a:p>
        </c:rich>
      </c:tx>
      <c:layout>
        <c:manualLayout>
          <c:xMode val="edge"/>
          <c:yMode val="edge"/>
          <c:x val="0.39766928396949797"/>
          <c:y val="3.0369711141999874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2950200510937131"/>
          <c:w val="0.8980295962084156"/>
          <c:h val="0.60956348792156889"/>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Data'!$E$60:$BD$60</c:f>
              <c:numCache>
                <c:formatCode>0.0</c:formatCode>
                <c:ptCount val="52"/>
                <c:pt idx="0">
                  <c:v>8.8000000000000007</c:v>
                </c:pt>
                <c:pt idx="1">
                  <c:v>9.4</c:v>
                </c:pt>
                <c:pt idx="2">
                  <c:v>8.9</c:v>
                </c:pt>
                <c:pt idx="3">
                  <c:v>8.8000000000000007</c:v>
                </c:pt>
                <c:pt idx="4">
                  <c:v>8.3000000000000007</c:v>
                </c:pt>
                <c:pt idx="5">
                  <c:v>8.4</c:v>
                </c:pt>
                <c:pt idx="6">
                  <c:v>8.8000000000000007</c:v>
                </c:pt>
                <c:pt idx="7">
                  <c:v>8.4</c:v>
                </c:pt>
                <c:pt idx="9">
                  <c:v>8.3000000000000007</c:v>
                </c:pt>
                <c:pt idx="10">
                  <c:v>8.3000000000000007</c:v>
                </c:pt>
                <c:pt idx="11">
                  <c:v>7.7</c:v>
                </c:pt>
                <c:pt idx="12">
                  <c:v>8.1</c:v>
                </c:pt>
                <c:pt idx="13">
                  <c:v>9.5</c:v>
                </c:pt>
                <c:pt idx="14">
                  <c:v>9.1</c:v>
                </c:pt>
                <c:pt idx="15">
                  <c:v>9</c:v>
                </c:pt>
                <c:pt idx="16">
                  <c:v>9.6999999999999993</c:v>
                </c:pt>
                <c:pt idx="17">
                  <c:v>7.7</c:v>
                </c:pt>
                <c:pt idx="18">
                  <c:v>8.5</c:v>
                </c:pt>
                <c:pt idx="19">
                  <c:v>7.8</c:v>
                </c:pt>
                <c:pt idx="20">
                  <c:v>8</c:v>
                </c:pt>
                <c:pt idx="21">
                  <c:v>7.6</c:v>
                </c:pt>
                <c:pt idx="22">
                  <c:v>7.7</c:v>
                </c:pt>
                <c:pt idx="23">
                  <c:v>8.9</c:v>
                </c:pt>
                <c:pt idx="24">
                  <c:v>9.1</c:v>
                </c:pt>
                <c:pt idx="25">
                  <c:v>10.6</c:v>
                </c:pt>
                <c:pt idx="26">
                  <c:v>10.199999999999999</c:v>
                </c:pt>
                <c:pt idx="27">
                  <c:v>9.1</c:v>
                </c:pt>
                <c:pt idx="28">
                  <c:v>9</c:v>
                </c:pt>
                <c:pt idx="29">
                  <c:v>10.4</c:v>
                </c:pt>
                <c:pt idx="30">
                  <c:v>9.1999999999999993</c:v>
                </c:pt>
                <c:pt idx="31">
                  <c:v>10.4</c:v>
                </c:pt>
                <c:pt idx="32">
                  <c:v>9.1999999999999993</c:v>
                </c:pt>
                <c:pt idx="33">
                  <c:v>10.6</c:v>
                </c:pt>
                <c:pt idx="34">
                  <c:v>10.4</c:v>
                </c:pt>
                <c:pt idx="35">
                  <c:v>11.4</c:v>
                </c:pt>
                <c:pt idx="36">
                  <c:v>11</c:v>
                </c:pt>
                <c:pt idx="37">
                  <c:v>11.6</c:v>
                </c:pt>
                <c:pt idx="38">
                  <c:v>11.2</c:v>
                </c:pt>
                <c:pt idx="39">
                  <c:v>12</c:v>
                </c:pt>
                <c:pt idx="40">
                  <c:v>11.8</c:v>
                </c:pt>
                <c:pt idx="41">
                  <c:v>11.5</c:v>
                </c:pt>
                <c:pt idx="42">
                  <c:v>8.1999999999999993</c:v>
                </c:pt>
                <c:pt idx="43">
                  <c:v>7.4</c:v>
                </c:pt>
                <c:pt idx="44">
                  <c:v>8</c:v>
                </c:pt>
                <c:pt idx="45">
                  <c:v>7</c:v>
                </c:pt>
                <c:pt idx="46">
                  <c:v>7.6</c:v>
                </c:pt>
                <c:pt idx="47">
                  <c:v>7.4</c:v>
                </c:pt>
                <c:pt idx="48">
                  <c:v>7.1</c:v>
                </c:pt>
                <c:pt idx="49">
                  <c:v>7.6</c:v>
                </c:pt>
                <c:pt idx="50">
                  <c:v>7.4</c:v>
                </c:pt>
              </c:numCache>
            </c:numRef>
          </c:yVal>
          <c:smooth val="0"/>
          <c:extLst>
            <c:ext xmlns:c16="http://schemas.microsoft.com/office/drawing/2014/chart" uri="{C3380CC4-5D6E-409C-BE32-E72D297353CC}">
              <c16:uniqueId val="{00000000-261F-402C-8B95-B8ACB60DB97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Data'!$E$204:$BD$204</c:f>
              <c:numCache>
                <c:formatCode>0.0</c:formatCode>
                <c:ptCount val="52"/>
                <c:pt idx="0">
                  <c:v>5.3</c:v>
                </c:pt>
                <c:pt idx="1">
                  <c:v>5.6</c:v>
                </c:pt>
                <c:pt idx="2">
                  <c:v>5.4</c:v>
                </c:pt>
                <c:pt idx="3">
                  <c:v>5.5</c:v>
                </c:pt>
                <c:pt idx="4">
                  <c:v>5.3</c:v>
                </c:pt>
                <c:pt idx="5">
                  <c:v>5.5</c:v>
                </c:pt>
                <c:pt idx="6">
                  <c:v>5.5</c:v>
                </c:pt>
                <c:pt idx="7">
                  <c:v>5.5</c:v>
                </c:pt>
                <c:pt idx="9">
                  <c:v>5.6</c:v>
                </c:pt>
                <c:pt idx="10">
                  <c:v>5.5</c:v>
                </c:pt>
                <c:pt idx="11">
                  <c:v>5.4</c:v>
                </c:pt>
                <c:pt idx="12">
                  <c:v>5.3</c:v>
                </c:pt>
                <c:pt idx="13">
                  <c:v>5.3</c:v>
                </c:pt>
                <c:pt idx="14">
                  <c:v>4.5999999999999996</c:v>
                </c:pt>
                <c:pt idx="15">
                  <c:v>4.9000000000000004</c:v>
                </c:pt>
                <c:pt idx="16">
                  <c:v>5.2</c:v>
                </c:pt>
                <c:pt idx="17">
                  <c:v>3.3</c:v>
                </c:pt>
                <c:pt idx="18">
                  <c:v>4</c:v>
                </c:pt>
                <c:pt idx="19">
                  <c:v>4.2</c:v>
                </c:pt>
                <c:pt idx="20">
                  <c:v>4.0999999999999996</c:v>
                </c:pt>
                <c:pt idx="21">
                  <c:v>4.4000000000000004</c:v>
                </c:pt>
                <c:pt idx="22">
                  <c:v>1.1000000000000001</c:v>
                </c:pt>
                <c:pt idx="23">
                  <c:v>1</c:v>
                </c:pt>
                <c:pt idx="24">
                  <c:v>1</c:v>
                </c:pt>
                <c:pt idx="25">
                  <c:v>1.3</c:v>
                </c:pt>
                <c:pt idx="26">
                  <c:v>1.4</c:v>
                </c:pt>
                <c:pt idx="27">
                  <c:v>1.7</c:v>
                </c:pt>
                <c:pt idx="28">
                  <c:v>1.6</c:v>
                </c:pt>
                <c:pt idx="29">
                  <c:v>2</c:v>
                </c:pt>
                <c:pt idx="30">
                  <c:v>2</c:v>
                </c:pt>
                <c:pt idx="31">
                  <c:v>2.5</c:v>
                </c:pt>
                <c:pt idx="32">
                  <c:v>2.1</c:v>
                </c:pt>
                <c:pt idx="33" formatCode="General;[Red]\-General">
                  <c:v>2.4</c:v>
                </c:pt>
                <c:pt idx="34">
                  <c:v>2.5</c:v>
                </c:pt>
                <c:pt idx="35">
                  <c:v>2.5</c:v>
                </c:pt>
                <c:pt idx="36">
                  <c:v>2.5</c:v>
                </c:pt>
                <c:pt idx="37">
                  <c:v>3</c:v>
                </c:pt>
                <c:pt idx="38">
                  <c:v>3.1</c:v>
                </c:pt>
                <c:pt idx="39">
                  <c:v>3.3</c:v>
                </c:pt>
                <c:pt idx="40">
                  <c:v>3.1</c:v>
                </c:pt>
                <c:pt idx="41">
                  <c:v>2.8</c:v>
                </c:pt>
                <c:pt idx="42">
                  <c:v>2.8</c:v>
                </c:pt>
                <c:pt idx="43">
                  <c:v>2.9</c:v>
                </c:pt>
                <c:pt idx="44">
                  <c:v>3.1</c:v>
                </c:pt>
                <c:pt idx="45">
                  <c:v>3.2</c:v>
                </c:pt>
                <c:pt idx="46" formatCode="General;[Red]\-General">
                  <c:v>3.6</c:v>
                </c:pt>
                <c:pt idx="47">
                  <c:v>4.3</c:v>
                </c:pt>
                <c:pt idx="48">
                  <c:v>4.2</c:v>
                </c:pt>
                <c:pt idx="49">
                  <c:v>4.4000000000000004</c:v>
                </c:pt>
                <c:pt idx="50">
                  <c:v>4.4000000000000004</c:v>
                </c:pt>
              </c:numCache>
            </c:numRef>
          </c:yVal>
          <c:smooth val="0"/>
          <c:extLst>
            <c:ext xmlns:c16="http://schemas.microsoft.com/office/drawing/2014/chart" uri="{C3380CC4-5D6E-409C-BE32-E72D297353CC}">
              <c16:uniqueId val="{00000001-261F-402C-8B95-B8ACB60DB97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261F-402C-8B95-B8ACB60DB97A}"/>
            </c:ext>
          </c:extLst>
        </c:ser>
        <c:dLbls>
          <c:showLegendKey val="0"/>
          <c:showVal val="0"/>
          <c:showCatName val="0"/>
          <c:showSerName val="0"/>
          <c:showPercent val="0"/>
          <c:showBubbleSize val="0"/>
        </c:dLbls>
        <c:axId val="418630447"/>
        <c:axId val="1"/>
      </c:scatterChart>
      <c:valAx>
        <c:axId val="41863044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921937659667853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TOC (mg/L)</a:t>
                </a:r>
              </a:p>
            </c:rich>
          </c:tx>
          <c:layout>
            <c:manualLayout>
              <c:xMode val="edge"/>
              <c:yMode val="edge"/>
              <c:x val="3.4460076600476425E-3"/>
              <c:y val="0.483746113190426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447"/>
        <c:crosses val="autoZero"/>
        <c:crossBetween val="midCat"/>
        <c:majorUnit val="1"/>
      </c:valAx>
      <c:spPr>
        <a:noFill/>
        <a:ln w="3175">
          <a:solidFill>
            <a:srgbClr val="000000"/>
          </a:solidFill>
          <a:prstDash val="solid"/>
        </a:ln>
      </c:spPr>
    </c:plotArea>
    <c:legend>
      <c:legendPos val="r"/>
      <c:layout>
        <c:manualLayout>
          <c:xMode val="edge"/>
          <c:yMode val="edge"/>
          <c:x val="0.77741932810674819"/>
          <c:y val="7.3755012773428275E-2"/>
          <c:w val="8.3393385373152953E-2"/>
          <c:h val="0.1778797366888564"/>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Channel TTHM's as a Function of Pre Chlorination</a:t>
            </a:r>
          </a:p>
        </c:rich>
      </c:tx>
      <c:layout>
        <c:manualLayout>
          <c:xMode val="edge"/>
          <c:yMode val="edge"/>
          <c:x val="0.26738083094551013"/>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2212371556628593E-2"/>
          <c:y val="0.26442624002601417"/>
          <c:w val="0.87295870301269274"/>
          <c:h val="0.6256999506788401"/>
        </c:manualLayout>
      </c:layout>
      <c:scatterChart>
        <c:scatterStyle val="lineMarker"/>
        <c:varyColors val="0"/>
        <c:ser>
          <c:idx val="0"/>
          <c:order val="0"/>
          <c:tx>
            <c:v>Channel TTHM's</c:v>
          </c:tx>
          <c:spPr>
            <a:ln w="3175">
              <a:solidFill>
                <a:srgbClr val="FF0000"/>
              </a:solidFill>
              <a:prstDash val="solid"/>
            </a:ln>
          </c:spPr>
          <c:marker>
            <c:symbol val="square"/>
            <c:size val="5"/>
            <c:spPr>
              <a:solidFill>
                <a:srgbClr val="FF0000"/>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Data'!$E$238:$BD$238</c:f>
              <c:numCache>
                <c:formatCode>0</c:formatCode>
                <c:ptCount val="52"/>
                <c:pt idx="0">
                  <c:v>28</c:v>
                </c:pt>
                <c:pt idx="1">
                  <c:v>34</c:v>
                </c:pt>
                <c:pt idx="2">
                  <c:v>31</c:v>
                </c:pt>
                <c:pt idx="3">
                  <c:v>34</c:v>
                </c:pt>
                <c:pt idx="4">
                  <c:v>26</c:v>
                </c:pt>
                <c:pt idx="5">
                  <c:v>29</c:v>
                </c:pt>
                <c:pt idx="6">
                  <c:v>35</c:v>
                </c:pt>
                <c:pt idx="7">
                  <c:v>28</c:v>
                </c:pt>
                <c:pt idx="8">
                  <c:v>0</c:v>
                </c:pt>
                <c:pt idx="9">
                  <c:v>30</c:v>
                </c:pt>
                <c:pt idx="10">
                  <c:v>31</c:v>
                </c:pt>
                <c:pt idx="11">
                  <c:v>29</c:v>
                </c:pt>
                <c:pt idx="12">
                  <c:v>31</c:v>
                </c:pt>
                <c:pt idx="13">
                  <c:v>34</c:v>
                </c:pt>
                <c:pt idx="14">
                  <c:v>27</c:v>
                </c:pt>
                <c:pt idx="15">
                  <c:v>0</c:v>
                </c:pt>
                <c:pt idx="16">
                  <c:v>35</c:v>
                </c:pt>
                <c:pt idx="17">
                  <c:v>21</c:v>
                </c:pt>
                <c:pt idx="18">
                  <c:v>38</c:v>
                </c:pt>
                <c:pt idx="19">
                  <c:v>40</c:v>
                </c:pt>
                <c:pt idx="20">
                  <c:v>34</c:v>
                </c:pt>
                <c:pt idx="21">
                  <c:v>38</c:v>
                </c:pt>
                <c:pt idx="22">
                  <c:v>40</c:v>
                </c:pt>
                <c:pt idx="23">
                  <c:v>38</c:v>
                </c:pt>
                <c:pt idx="24">
                  <c:v>43</c:v>
                </c:pt>
                <c:pt idx="25">
                  <c:v>45</c:v>
                </c:pt>
                <c:pt idx="26">
                  <c:v>56</c:v>
                </c:pt>
                <c:pt idx="27">
                  <c:v>45</c:v>
                </c:pt>
                <c:pt idx="28">
                  <c:v>51</c:v>
                </c:pt>
                <c:pt idx="29">
                  <c:v>58</c:v>
                </c:pt>
                <c:pt idx="30">
                  <c:v>55</c:v>
                </c:pt>
                <c:pt idx="31">
                  <c:v>54</c:v>
                </c:pt>
                <c:pt idx="32">
                  <c:v>50</c:v>
                </c:pt>
                <c:pt idx="33">
                  <c:v>51</c:v>
                </c:pt>
                <c:pt idx="34">
                  <c:v>51</c:v>
                </c:pt>
                <c:pt idx="35">
                  <c:v>48</c:v>
                </c:pt>
                <c:pt idx="36">
                  <c:v>40</c:v>
                </c:pt>
                <c:pt idx="37">
                  <c:v>44</c:v>
                </c:pt>
                <c:pt idx="38">
                  <c:v>39</c:v>
                </c:pt>
                <c:pt idx="39">
                  <c:v>38</c:v>
                </c:pt>
                <c:pt idx="40">
                  <c:v>36</c:v>
                </c:pt>
                <c:pt idx="41">
                  <c:v>35</c:v>
                </c:pt>
                <c:pt idx="42">
                  <c:v>34</c:v>
                </c:pt>
                <c:pt idx="43">
                  <c:v>24</c:v>
                </c:pt>
                <c:pt idx="44">
                  <c:v>27</c:v>
                </c:pt>
                <c:pt idx="45">
                  <c:v>20</c:v>
                </c:pt>
                <c:pt idx="46">
                  <c:v>23</c:v>
                </c:pt>
                <c:pt idx="47">
                  <c:v>26</c:v>
                </c:pt>
                <c:pt idx="48">
                  <c:v>24</c:v>
                </c:pt>
                <c:pt idx="49">
                  <c:v>25</c:v>
                </c:pt>
                <c:pt idx="50">
                  <c:v>26</c:v>
                </c:pt>
                <c:pt idx="51">
                  <c:v>27</c:v>
                </c:pt>
              </c:numCache>
            </c:numRef>
          </c:yVal>
          <c:smooth val="0"/>
          <c:extLst>
            <c:ext xmlns:c16="http://schemas.microsoft.com/office/drawing/2014/chart" uri="{C3380CC4-5D6E-409C-BE32-E72D297353CC}">
              <c16:uniqueId val="{00000000-CD09-461C-9EAC-AF1ED468FD5E}"/>
            </c:ext>
          </c:extLst>
        </c:ser>
        <c:dLbls>
          <c:showLegendKey val="0"/>
          <c:showVal val="0"/>
          <c:showCatName val="0"/>
          <c:showSerName val="0"/>
          <c:showPercent val="0"/>
          <c:showBubbleSize val="0"/>
        </c:dLbls>
        <c:axId val="442863759"/>
        <c:axId val="1"/>
      </c:scatterChart>
      <c:scatterChart>
        <c:scatterStyle val="lineMarker"/>
        <c:varyColors val="0"/>
        <c:ser>
          <c:idx val="1"/>
          <c:order val="1"/>
          <c:tx>
            <c:v>Pre Chlorine</c:v>
          </c:tx>
          <c:spPr>
            <a:ln w="3175">
              <a:solidFill>
                <a:srgbClr val="0000FF"/>
              </a:solidFill>
              <a:prstDash val="solid"/>
            </a:ln>
          </c:spPr>
          <c:marker>
            <c:symbol val="diamond"/>
            <c:size val="5"/>
            <c:spPr>
              <a:solidFill>
                <a:srgbClr val="0000FF"/>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CD09-461C-9EAC-AF1ED468FD5E}"/>
            </c:ext>
          </c:extLst>
        </c:ser>
        <c:dLbls>
          <c:showLegendKey val="0"/>
          <c:showVal val="0"/>
          <c:showCatName val="0"/>
          <c:showSerName val="0"/>
          <c:showPercent val="0"/>
          <c:showBubbleSize val="0"/>
        </c:dLbls>
        <c:axId val="3"/>
        <c:axId val="4"/>
      </c:scatterChart>
      <c:valAx>
        <c:axId val="442863759"/>
        <c:scaling>
          <c:orientation val="minMax"/>
        </c:scaling>
        <c:delete val="0"/>
        <c:axPos val="b"/>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TTHM's (µg/L)</a:t>
                </a:r>
              </a:p>
            </c:rich>
          </c:tx>
          <c:layout>
            <c:manualLayout>
              <c:xMode val="edge"/>
              <c:yMode val="edge"/>
              <c:x val="1.4560342279210948E-2"/>
              <c:y val="0.5038244820248747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2863759"/>
        <c:crosses val="autoZero"/>
        <c:crossBetween val="midCat"/>
        <c:majorUnit val="5"/>
        <c:minorUnit val="1"/>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Pre Chlorine (mg/L)</a:t>
                </a:r>
              </a:p>
            </c:rich>
          </c:tx>
          <c:layout>
            <c:manualLayout>
              <c:xMode val="edge"/>
              <c:yMode val="edge"/>
              <c:x val="0.96561542660767152"/>
              <c:y val="0.4766201363431860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80876083023617173"/>
          <c:y val="9.7935644454079318E-2"/>
          <c:w val="0.12508657685322133"/>
          <c:h val="6.202590815425023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Dissolved Organic Carbon</a:t>
            </a:r>
          </a:p>
        </c:rich>
      </c:tx>
      <c:layout>
        <c:manualLayout>
          <c:xMode val="edge"/>
          <c:yMode val="edge"/>
          <c:x val="0.37630403647720256"/>
          <c:y val="3.1603714637922553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0023528906026431"/>
          <c:w val="0.8980295962084156"/>
          <c:h val="0.6004705781205286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43D-4CC5-A30B-A3C3408119C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143D-4CC5-A30B-A3C3408119C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43D-4CC5-A30B-A3C3408119CA}"/>
            </c:ext>
          </c:extLst>
        </c:ser>
        <c:dLbls>
          <c:showLegendKey val="0"/>
          <c:showVal val="0"/>
          <c:showCatName val="0"/>
          <c:showSerName val="0"/>
          <c:showPercent val="0"/>
          <c:showBubbleSize val="0"/>
        </c:dLbls>
        <c:axId val="418629199"/>
        <c:axId val="1"/>
      </c:scatterChart>
      <c:valAx>
        <c:axId val="41862919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Week of</a:t>
                </a:r>
              </a:p>
            </c:rich>
          </c:tx>
          <c:layout>
            <c:manualLayout>
              <c:xMode val="edge"/>
              <c:yMode val="edge"/>
              <c:x val="0.47417065402255559"/>
              <c:y val="0.9187651326881771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DOC (mg/L)</a:t>
                </a:r>
              </a:p>
            </c:rich>
          </c:tx>
          <c:layout>
            <c:manualLayout>
              <c:xMode val="edge"/>
              <c:yMode val="edge"/>
              <c:x val="3.4460076600476425E-3"/>
              <c:y val="0.4785705359456844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9199"/>
        <c:crosses val="autoZero"/>
        <c:crossBetween val="midCat"/>
        <c:majorUnit val="1"/>
      </c:valAx>
      <c:spPr>
        <a:noFill/>
        <a:ln w="3175">
          <a:solidFill>
            <a:srgbClr val="000000"/>
          </a:solidFill>
          <a:prstDash val="solid"/>
        </a:ln>
      </c:spPr>
    </c:plotArea>
    <c:legend>
      <c:legendPos val="r"/>
      <c:layout>
        <c:manualLayout>
          <c:xMode val="edge"/>
          <c:yMode val="edge"/>
          <c:x val="0.78155453729880531"/>
          <c:y val="0.14673153224749758"/>
          <c:w val="8.3393385373152953E-2"/>
          <c:h val="0.18510747145068926"/>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en-US"/>
              <a:t>Organic Carbon Dissolved at 254 nm Absorbance</a:t>
            </a:r>
          </a:p>
        </c:rich>
      </c:tx>
      <c:layout>
        <c:manualLayout>
          <c:xMode val="edge"/>
          <c:yMode val="edge"/>
          <c:x val="0.33747605283522014"/>
          <c:y val="2.5641841001207581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1679011028293682"/>
          <c:w val="0.8994769898016276"/>
          <c:h val="0.729626930307088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yVal>
          <c:smooth val="0"/>
          <c:extLst>
            <c:ext xmlns:c16="http://schemas.microsoft.com/office/drawing/2014/chart" uri="{C3380CC4-5D6E-409C-BE32-E72D297353CC}">
              <c16:uniqueId val="{00000000-07A4-41CF-9E04-D8443CA4032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07A4-41CF-9E04-D8443CA4032E}"/>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Data'!$E$212:$BD$212</c:f>
              <c:numCache>
                <c:formatCode>0.000</c:formatCode>
                <c:ptCount val="52"/>
                <c:pt idx="22">
                  <c:v>0.42170000000000002</c:v>
                </c:pt>
                <c:pt idx="23">
                  <c:v>0.43759999999999999</c:v>
                </c:pt>
                <c:pt idx="24">
                  <c:v>0.39129999999999998</c:v>
                </c:pt>
                <c:pt idx="25">
                  <c:v>0.40289999999999998</c:v>
                </c:pt>
                <c:pt idx="26">
                  <c:v>0.41970000000000002</c:v>
                </c:pt>
                <c:pt idx="27">
                  <c:v>0.4415</c:v>
                </c:pt>
                <c:pt idx="28">
                  <c:v>0.42</c:v>
                </c:pt>
                <c:pt idx="29">
                  <c:v>0.43869999999999998</c:v>
                </c:pt>
                <c:pt idx="30">
                  <c:v>0.4194</c:v>
                </c:pt>
                <c:pt idx="31">
                  <c:v>0.43319999999999997</c:v>
                </c:pt>
                <c:pt idx="32">
                  <c:v>0.46360000000000001</c:v>
                </c:pt>
                <c:pt idx="33">
                  <c:v>0.4214</c:v>
                </c:pt>
                <c:pt idx="34">
                  <c:v>0.40939999999999999</c:v>
                </c:pt>
                <c:pt idx="35">
                  <c:v>0.41880000000000001</c:v>
                </c:pt>
                <c:pt idx="36">
                  <c:v>0.41499999999999998</c:v>
                </c:pt>
                <c:pt idx="37">
                  <c:v>0.42849999999999999</c:v>
                </c:pt>
                <c:pt idx="38">
                  <c:v>0.42759999999999998</c:v>
                </c:pt>
                <c:pt idx="39">
                  <c:v>0.41249999999999998</c:v>
                </c:pt>
                <c:pt idx="40">
                  <c:v>0.40620000000000001</c:v>
                </c:pt>
                <c:pt idx="41">
                  <c:v>0.38540000000000002</c:v>
                </c:pt>
                <c:pt idx="42">
                  <c:v>0.38500000000000001</c:v>
                </c:pt>
                <c:pt idx="43">
                  <c:v>0.39829999999999999</c:v>
                </c:pt>
                <c:pt idx="44">
                  <c:v>0.40450000000000003</c:v>
                </c:pt>
                <c:pt idx="45">
                  <c:v>0.39429999999999998</c:v>
                </c:pt>
                <c:pt idx="46">
                  <c:v>0.40870000000000001</c:v>
                </c:pt>
              </c:numCache>
            </c:numRef>
          </c:yVal>
          <c:smooth val="0"/>
          <c:extLst>
            <c:ext xmlns:c16="http://schemas.microsoft.com/office/drawing/2014/chart" uri="{C3380CC4-5D6E-409C-BE32-E72D297353CC}">
              <c16:uniqueId val="{00000002-07A4-41CF-9E04-D8443CA4032E}"/>
            </c:ext>
          </c:extLst>
        </c:ser>
        <c:dLbls>
          <c:showLegendKey val="0"/>
          <c:showVal val="0"/>
          <c:showCatName val="0"/>
          <c:showSerName val="0"/>
          <c:showPercent val="0"/>
          <c:showBubbleSize val="0"/>
        </c:dLbls>
        <c:axId val="418616303"/>
        <c:axId val="1"/>
      </c:scatterChart>
      <c:valAx>
        <c:axId val="418616303"/>
        <c:scaling>
          <c:orientation val="minMax"/>
          <c:max val="36891"/>
          <c:min val="36526"/>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97384949008138"/>
              <c:y val="0.960403499317956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Organic C at 254nm ABS.</a:t>
                </a:r>
              </a:p>
            </c:rich>
          </c:tx>
          <c:layout>
            <c:manualLayout>
              <c:xMode val="edge"/>
              <c:yMode val="edge"/>
              <c:x val="4.1323598306353491E-3"/>
              <c:y val="0.467380829158374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18616303"/>
        <c:crosses val="autoZero"/>
        <c:crossBetween val="midCat"/>
        <c:majorUnit val="0.25"/>
      </c:valAx>
      <c:spPr>
        <a:noFill/>
        <a:ln w="3175">
          <a:solidFill>
            <a:srgbClr val="000000"/>
          </a:solidFill>
          <a:prstDash val="solid"/>
        </a:ln>
      </c:spPr>
    </c:plotArea>
    <c:legend>
      <c:legendPos val="r"/>
      <c:layout>
        <c:manualLayout>
          <c:xMode val="edge"/>
          <c:yMode val="edge"/>
          <c:x val="0.82440578621175209"/>
          <c:y val="6.2939064275691334E-2"/>
          <c:w val="6.8872663843922488E-2"/>
          <c:h val="8.1587675912933214E-2"/>
        </c:manualLayout>
      </c:layout>
      <c:overlay val="0"/>
      <c:spPr>
        <a:no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Coagulation and Filtration</a:t>
            </a:r>
          </a:p>
        </c:rich>
      </c:tx>
      <c:layout>
        <c:manualLayout>
          <c:xMode val="edge"/>
          <c:yMode val="edge"/>
          <c:x val="0.2722346051437637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8493476710023466"/>
          <c:h val="0.5298197419618755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182E-48D0-9AB8-5FDAB75E518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182E-48D0-9AB8-5FDAB75E518D}"/>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82E-48D0-9AB8-5FDAB75E518D}"/>
            </c:ext>
          </c:extLst>
        </c:ser>
        <c:dLbls>
          <c:showLegendKey val="0"/>
          <c:showVal val="0"/>
          <c:showCatName val="0"/>
          <c:showSerName val="0"/>
          <c:showPercent val="0"/>
          <c:showBubbleSize val="0"/>
        </c:dLbls>
        <c:axId val="418625039"/>
        <c:axId val="1"/>
      </c:scatterChart>
      <c:valAx>
        <c:axId val="418625039"/>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082532101161815"/>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43828322752191"/>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5039"/>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5.9604720970710998E-2"/>
          <c:w val="9.5109811417314935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Granular Activated Carbon</a:t>
            </a:r>
          </a:p>
        </c:rich>
      </c:tx>
      <c:layout>
        <c:manualLayout>
          <c:xMode val="edge"/>
          <c:yMode val="edge"/>
          <c:x val="0.26860338899129765"/>
          <c:y val="3.666788514972082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334441045200747"/>
          <c:w val="0.88570245703284312"/>
          <c:h val="0.52668416851417177"/>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Data'!$E$208:$BD$208</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0.7441860465116279</c:v>
                </c:pt>
                <c:pt idx="23">
                  <c:v>0.78260869565217395</c:v>
                </c:pt>
                <c:pt idx="24">
                  <c:v>0.77777777777777779</c:v>
                </c:pt>
                <c:pt idx="25">
                  <c:v>0.74468085106382975</c:v>
                </c:pt>
                <c:pt idx="26">
                  <c:v>0.70833333333333337</c:v>
                </c:pt>
                <c:pt idx="27">
                  <c:v>0.65217391304347816</c:v>
                </c:pt>
                <c:pt idx="28">
                  <c:v>0.63636363636363635</c:v>
                </c:pt>
                <c:pt idx="29">
                  <c:v>0.5625</c:v>
                </c:pt>
                <c:pt idx="30">
                  <c:v>0.53488372093023251</c:v>
                </c:pt>
                <c:pt idx="31">
                  <c:v>0.52173913043478248</c:v>
                </c:pt>
                <c:pt idx="32">
                  <c:v>0.44999999999999996</c:v>
                </c:pt>
                <c:pt idx="33">
                  <c:v>0.45454545454545459</c:v>
                </c:pt>
                <c:pt idx="34">
                  <c:v>0.44186046511627908</c:v>
                </c:pt>
                <c:pt idx="35">
                  <c:v>0.375</c:v>
                </c:pt>
                <c:pt idx="36">
                  <c:v>0.39534883720930231</c:v>
                </c:pt>
                <c:pt idx="37">
                  <c:v>0.36734693877551022</c:v>
                </c:pt>
                <c:pt idx="38">
                  <c:v>0.34693877551020408</c:v>
                </c:pt>
                <c:pt idx="39">
                  <c:v>0.33333333333333326</c:v>
                </c:pt>
                <c:pt idx="40">
                  <c:v>0.33333333333333326</c:v>
                </c:pt>
                <c:pt idx="41">
                  <c:v>0.31707317073170732</c:v>
                </c:pt>
                <c:pt idx="42">
                  <c:v>0.37209302325581389</c:v>
                </c:pt>
                <c:pt idx="43">
                  <c:v>0.27500000000000002</c:v>
                </c:pt>
                <c:pt idx="44">
                  <c:v>0.23809523809523808</c:v>
                </c:pt>
                <c:pt idx="45">
                  <c:v>0.17948717948717943</c:v>
                </c:pt>
                <c:pt idx="46">
                  <c:v>0.14285714285714288</c:v>
                </c:pt>
                <c:pt idx="47">
                  <c:v>0</c:v>
                </c:pt>
                <c:pt idx="48">
                  <c:v>0</c:v>
                </c:pt>
                <c:pt idx="49">
                  <c:v>0</c:v>
                </c:pt>
                <c:pt idx="50">
                  <c:v>0</c:v>
                </c:pt>
                <c:pt idx="51">
                  <c:v>0</c:v>
                </c:pt>
              </c:numCache>
            </c:numRef>
          </c:yVal>
          <c:smooth val="0"/>
          <c:extLst>
            <c:ext xmlns:c16="http://schemas.microsoft.com/office/drawing/2014/chart" uri="{C3380CC4-5D6E-409C-BE32-E72D297353CC}">
              <c16:uniqueId val="{00000000-5CF2-492A-97A4-3E8FEA2B29F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5CF2-492A-97A4-3E8FEA2B29F6}"/>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5CF2-492A-97A4-3E8FEA2B29F6}"/>
            </c:ext>
          </c:extLst>
        </c:ser>
        <c:dLbls>
          <c:showLegendKey val="0"/>
          <c:showVal val="0"/>
          <c:showCatName val="0"/>
          <c:showSerName val="0"/>
          <c:showPercent val="0"/>
          <c:showBubbleSize val="0"/>
        </c:dLbls>
        <c:axId val="418630031"/>
        <c:axId val="1"/>
      </c:scatterChart>
      <c:valAx>
        <c:axId val="418630031"/>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318212809300995"/>
              <c:y val="0.880029243593299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36331921961242E-3"/>
              <c:y val="0.3433447427655677"/>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031"/>
        <c:crosses val="autoZero"/>
        <c:crossBetween val="midCat"/>
        <c:majorUnit val="0.1"/>
      </c:valAx>
      <c:spPr>
        <a:noFill/>
        <a:ln w="3175">
          <a:solidFill>
            <a:srgbClr val="000000"/>
          </a:solidFill>
          <a:prstDash val="solid"/>
        </a:ln>
      </c:spPr>
    </c:plotArea>
    <c:legend>
      <c:legendPos val="r"/>
      <c:layout>
        <c:manualLayout>
          <c:xMode val="edge"/>
          <c:yMode val="edge"/>
          <c:x val="0.80856507352764995"/>
          <c:y val="6.0001993881361348E-2"/>
          <c:w val="9.5044276104613024E-2"/>
          <c:h val="0.2433414196299654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Total Dissolved Organic Carbon Removed</a:t>
            </a:r>
          </a:p>
        </c:rich>
      </c:tx>
      <c:layout>
        <c:manualLayout>
          <c:xMode val="edge"/>
          <c:yMode val="edge"/>
          <c:x val="0.35149278132485956"/>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8493476710023466"/>
          <c:h val="0.5280702503611869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971F-4FAA-AE32-54B2E6E158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971F-4FAA-AE32-54B2E6E15820}"/>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971F-4FAA-AE32-54B2E6E15820}"/>
            </c:ext>
          </c:extLst>
        </c:ser>
        <c:dLbls>
          <c:showLegendKey val="0"/>
          <c:showVal val="0"/>
          <c:showCatName val="0"/>
          <c:showSerName val="0"/>
          <c:showPercent val="0"/>
          <c:showBubbleSize val="0"/>
        </c:dLbls>
        <c:axId val="418617967"/>
        <c:axId val="1"/>
      </c:scatterChart>
      <c:valAx>
        <c:axId val="41861796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12172302902308"/>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324566273477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17967"/>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6.2708342230390957E-2"/>
          <c:w val="9.5109811417314935E-2"/>
          <c:h val="0.2409320517272915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Ortho-Phosphate</a:t>
            </a:r>
          </a:p>
        </c:rich>
      </c:tx>
      <c:layout>
        <c:manualLayout>
          <c:xMode val="edge"/>
          <c:yMode val="edge"/>
          <c:x val="0.41489932226973619"/>
          <c:y val="3.0806694184490141E-2"/>
        </c:manualLayout>
      </c:layout>
      <c:overlay val="0"/>
      <c:spPr>
        <a:noFill/>
        <a:ln w="3175">
          <a:solidFill>
            <a:srgbClr val="000000"/>
          </a:solidFill>
          <a:prstDash val="solid"/>
        </a:ln>
      </c:spPr>
    </c:title>
    <c:autoTitleDeleted val="0"/>
    <c:plotArea>
      <c:layout>
        <c:manualLayout>
          <c:layoutTarget val="inner"/>
          <c:xMode val="edge"/>
          <c:yMode val="edge"/>
          <c:x val="7.9947377713105311E-2"/>
          <c:y val="0.32465516179039611"/>
          <c:w val="0.86908313186401542"/>
          <c:h val="0.53082303825583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Data'!$E$64:$BD$64</c:f>
              <c:numCache>
                <c:formatCode>0</c:formatCode>
                <c:ptCount val="52"/>
                <c:pt idx="1">
                  <c:v>19</c:v>
                </c:pt>
                <c:pt idx="3">
                  <c:v>17</c:v>
                </c:pt>
                <c:pt idx="7">
                  <c:v>23</c:v>
                </c:pt>
                <c:pt idx="9">
                  <c:v>19</c:v>
                </c:pt>
                <c:pt idx="11">
                  <c:v>0</c:v>
                </c:pt>
                <c:pt idx="12">
                  <c:v>8</c:v>
                </c:pt>
                <c:pt idx="13">
                  <c:v>12</c:v>
                </c:pt>
                <c:pt idx="14">
                  <c:v>8</c:v>
                </c:pt>
                <c:pt idx="16">
                  <c:v>7</c:v>
                </c:pt>
                <c:pt idx="17">
                  <c:v>4</c:v>
                </c:pt>
                <c:pt idx="18">
                  <c:v>7</c:v>
                </c:pt>
                <c:pt idx="19">
                  <c:v>6</c:v>
                </c:pt>
                <c:pt idx="20">
                  <c:v>6</c:v>
                </c:pt>
                <c:pt idx="21">
                  <c:v>14</c:v>
                </c:pt>
                <c:pt idx="22">
                  <c:v>11</c:v>
                </c:pt>
                <c:pt idx="23">
                  <c:v>6</c:v>
                </c:pt>
                <c:pt idx="24">
                  <c:v>1</c:v>
                </c:pt>
                <c:pt idx="25">
                  <c:v>3</c:v>
                </c:pt>
                <c:pt idx="26">
                  <c:v>3</c:v>
                </c:pt>
                <c:pt idx="27">
                  <c:v>8</c:v>
                </c:pt>
                <c:pt idx="28">
                  <c:v>2</c:v>
                </c:pt>
                <c:pt idx="29">
                  <c:v>4</c:v>
                </c:pt>
                <c:pt idx="30">
                  <c:v>9</c:v>
                </c:pt>
                <c:pt idx="31">
                  <c:v>6</c:v>
                </c:pt>
                <c:pt idx="32">
                  <c:v>6</c:v>
                </c:pt>
                <c:pt idx="33" formatCode="General;[Red]\-General">
                  <c:v>6</c:v>
                </c:pt>
                <c:pt idx="34">
                  <c:v>5</c:v>
                </c:pt>
                <c:pt idx="35">
                  <c:v>9</c:v>
                </c:pt>
                <c:pt idx="36">
                  <c:v>12</c:v>
                </c:pt>
                <c:pt idx="37">
                  <c:v>9</c:v>
                </c:pt>
                <c:pt idx="38">
                  <c:v>11</c:v>
                </c:pt>
                <c:pt idx="39">
                  <c:v>10</c:v>
                </c:pt>
                <c:pt idx="40">
                  <c:v>13</c:v>
                </c:pt>
                <c:pt idx="41">
                  <c:v>16</c:v>
                </c:pt>
                <c:pt idx="42">
                  <c:v>12</c:v>
                </c:pt>
                <c:pt idx="43">
                  <c:v>14</c:v>
                </c:pt>
                <c:pt idx="44">
                  <c:v>18</c:v>
                </c:pt>
                <c:pt idx="45">
                  <c:v>13</c:v>
                </c:pt>
                <c:pt idx="46" formatCode="General;[Red]\-General">
                  <c:v>14</c:v>
                </c:pt>
                <c:pt idx="47">
                  <c:v>10</c:v>
                </c:pt>
                <c:pt idx="48">
                  <c:v>15</c:v>
                </c:pt>
                <c:pt idx="49">
                  <c:v>12</c:v>
                </c:pt>
                <c:pt idx="50">
                  <c:v>13</c:v>
                </c:pt>
              </c:numCache>
            </c:numRef>
          </c:yVal>
          <c:smooth val="0"/>
          <c:extLst>
            <c:ext xmlns:c16="http://schemas.microsoft.com/office/drawing/2014/chart" uri="{C3380CC4-5D6E-409C-BE32-E72D297353CC}">
              <c16:uniqueId val="{00000000-4C1C-4668-AE11-CF721C8D1CD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Data'!$E$213:$BD$213</c:f>
              <c:numCache>
                <c:formatCode>0</c:formatCode>
                <c:ptCount val="52"/>
                <c:pt idx="1">
                  <c:v>6</c:v>
                </c:pt>
                <c:pt idx="3">
                  <c:v>4</c:v>
                </c:pt>
                <c:pt idx="7">
                  <c:v>5</c:v>
                </c:pt>
                <c:pt idx="9">
                  <c:v>6</c:v>
                </c:pt>
                <c:pt idx="11">
                  <c:v>0</c:v>
                </c:pt>
                <c:pt idx="12">
                  <c:v>6</c:v>
                </c:pt>
                <c:pt idx="13">
                  <c:v>6</c:v>
                </c:pt>
                <c:pt idx="14">
                  <c:v>0</c:v>
                </c:pt>
                <c:pt idx="16">
                  <c:v>4</c:v>
                </c:pt>
                <c:pt idx="17">
                  <c:v>0</c:v>
                </c:pt>
                <c:pt idx="18">
                  <c:v>2</c:v>
                </c:pt>
                <c:pt idx="19">
                  <c:v>2</c:v>
                </c:pt>
                <c:pt idx="20">
                  <c:v>4</c:v>
                </c:pt>
                <c:pt idx="21">
                  <c:v>0</c:v>
                </c:pt>
                <c:pt idx="22">
                  <c:v>44</c:v>
                </c:pt>
                <c:pt idx="23">
                  <c:v>16</c:v>
                </c:pt>
                <c:pt idx="24">
                  <c:v>15</c:v>
                </c:pt>
                <c:pt idx="25">
                  <c:v>9</c:v>
                </c:pt>
                <c:pt idx="26">
                  <c:v>9</c:v>
                </c:pt>
                <c:pt idx="27">
                  <c:v>7</c:v>
                </c:pt>
                <c:pt idx="28">
                  <c:v>4</c:v>
                </c:pt>
                <c:pt idx="29">
                  <c:v>7</c:v>
                </c:pt>
                <c:pt idx="30">
                  <c:v>8</c:v>
                </c:pt>
                <c:pt idx="31">
                  <c:v>5</c:v>
                </c:pt>
                <c:pt idx="32">
                  <c:v>2</c:v>
                </c:pt>
                <c:pt idx="33" formatCode="General;[Red]\-General">
                  <c:v>3</c:v>
                </c:pt>
                <c:pt idx="34">
                  <c:v>5</c:v>
                </c:pt>
                <c:pt idx="35">
                  <c:v>7</c:v>
                </c:pt>
                <c:pt idx="36">
                  <c:v>4</c:v>
                </c:pt>
                <c:pt idx="37">
                  <c:v>7</c:v>
                </c:pt>
                <c:pt idx="38">
                  <c:v>3</c:v>
                </c:pt>
                <c:pt idx="39">
                  <c:v>4</c:v>
                </c:pt>
                <c:pt idx="40">
                  <c:v>6</c:v>
                </c:pt>
                <c:pt idx="41">
                  <c:v>4</c:v>
                </c:pt>
                <c:pt idx="42">
                  <c:v>3</c:v>
                </c:pt>
                <c:pt idx="43">
                  <c:v>3</c:v>
                </c:pt>
                <c:pt idx="44">
                  <c:v>5</c:v>
                </c:pt>
                <c:pt idx="45">
                  <c:v>7</c:v>
                </c:pt>
                <c:pt idx="46" formatCode="General;[Red]\-General">
                  <c:v>4</c:v>
                </c:pt>
                <c:pt idx="47">
                  <c:v>0</c:v>
                </c:pt>
                <c:pt idx="48">
                  <c:v>5</c:v>
                </c:pt>
                <c:pt idx="49">
                  <c:v>0</c:v>
                </c:pt>
                <c:pt idx="50">
                  <c:v>2</c:v>
                </c:pt>
              </c:numCache>
            </c:numRef>
          </c:yVal>
          <c:smooth val="0"/>
          <c:extLst>
            <c:ext xmlns:c16="http://schemas.microsoft.com/office/drawing/2014/chart" uri="{C3380CC4-5D6E-409C-BE32-E72D297353CC}">
              <c16:uniqueId val="{00000001-4C1C-4668-AE11-CF721C8D1CDF}"/>
            </c:ext>
          </c:extLst>
        </c:ser>
        <c:dLbls>
          <c:showLegendKey val="0"/>
          <c:showVal val="0"/>
          <c:showCatName val="0"/>
          <c:showSerName val="0"/>
          <c:showPercent val="0"/>
          <c:showBubbleSize val="0"/>
        </c:dLbls>
        <c:axId val="418618799"/>
        <c:axId val="1"/>
      </c:scatterChart>
      <c:valAx>
        <c:axId val="41861879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385894218586001"/>
              <c:y val="0.8815454028177178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06"/>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Ortho-P (mg/L)</a:t>
                </a:r>
              </a:p>
            </c:rich>
          </c:tx>
          <c:layout>
            <c:manualLayout>
              <c:xMode val="edge"/>
              <c:yMode val="edge"/>
              <c:x val="3.4460076600476425E-3"/>
              <c:y val="0.3673105845073824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8799"/>
        <c:crosses val="autoZero"/>
        <c:crossBetween val="midCat"/>
        <c:majorUnit val="2"/>
      </c:valAx>
      <c:spPr>
        <a:noFill/>
        <a:ln w="3175">
          <a:solidFill>
            <a:srgbClr val="000000"/>
          </a:solidFill>
          <a:prstDash val="solid"/>
        </a:ln>
      </c:spPr>
    </c:plotArea>
    <c:legend>
      <c:legendPos val="r"/>
      <c:layout>
        <c:manualLayout>
          <c:xMode val="edge"/>
          <c:yMode val="edge"/>
          <c:x val="0.78362214189483392"/>
          <c:y val="7.820160831447498E-2"/>
          <c:w val="9.4420609885305401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Total Chlorine Dosage as a Function of Raw Water DOC</a:t>
            </a:r>
          </a:p>
        </c:rich>
      </c:tx>
      <c:layout>
        <c:manualLayout>
          <c:xMode val="edge"/>
          <c:yMode val="edge"/>
          <c:x val="0.2692644420731477"/>
          <c:y val="2.549969542361290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3076657873152553E-2"/>
          <c:y val="0.24501881254862834"/>
          <c:w val="0.86638632217179068"/>
          <c:h val="0.63970975040976719"/>
        </c:manualLayout>
      </c:layout>
      <c:scatterChart>
        <c:scatterStyle val="lineMarker"/>
        <c:varyColors val="0"/>
        <c:ser>
          <c:idx val="0"/>
          <c:order val="0"/>
          <c:tx>
            <c:v>RAW DOC</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5BD-43F4-826D-414C079C4B46}"/>
            </c:ext>
          </c:extLst>
        </c:ser>
        <c:dLbls>
          <c:showLegendKey val="0"/>
          <c:showVal val="0"/>
          <c:showCatName val="0"/>
          <c:showSerName val="0"/>
          <c:showPercent val="0"/>
          <c:showBubbleSize val="0"/>
        </c:dLbls>
        <c:axId val="418626703"/>
        <c:axId val="1"/>
      </c:scatterChart>
      <c:scatterChart>
        <c:scatterStyle val="lineMarker"/>
        <c:varyColors val="0"/>
        <c:ser>
          <c:idx val="1"/>
          <c:order val="1"/>
          <c:tx>
            <c:v>TOTAL Chlorine</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Data'!$E$118:$BD$118</c:f>
              <c:numCache>
                <c:formatCode>0.0</c:formatCode>
                <c:ptCount val="52"/>
                <c:pt idx="0">
                  <c:v>3.5</c:v>
                </c:pt>
                <c:pt idx="1">
                  <c:v>3.8</c:v>
                </c:pt>
                <c:pt idx="2">
                  <c:v>3.8</c:v>
                </c:pt>
                <c:pt idx="3">
                  <c:v>4.5</c:v>
                </c:pt>
                <c:pt idx="4">
                  <c:v>4.2</c:v>
                </c:pt>
                <c:pt idx="5">
                  <c:v>4</c:v>
                </c:pt>
                <c:pt idx="6">
                  <c:v>4.5999999999999996</c:v>
                </c:pt>
                <c:pt idx="7">
                  <c:v>5</c:v>
                </c:pt>
                <c:pt idx="8">
                  <c:v>0</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4.0999999999999996</c:v>
                </c:pt>
                <c:pt idx="23">
                  <c:v>3.5999999999999996</c:v>
                </c:pt>
                <c:pt idx="24">
                  <c:v>5</c:v>
                </c:pt>
                <c:pt idx="25">
                  <c:v>4.8</c:v>
                </c:pt>
                <c:pt idx="26">
                  <c:v>5.7</c:v>
                </c:pt>
                <c:pt idx="27">
                  <c:v>5.0999999999999996</c:v>
                </c:pt>
                <c:pt idx="28">
                  <c:v>5.6999999999999993</c:v>
                </c:pt>
                <c:pt idx="29">
                  <c:v>6.7</c:v>
                </c:pt>
                <c:pt idx="30">
                  <c:v>6.7</c:v>
                </c:pt>
                <c:pt idx="31">
                  <c:v>5.8</c:v>
                </c:pt>
                <c:pt idx="32">
                  <c:v>5.4</c:v>
                </c:pt>
                <c:pt idx="33">
                  <c:v>6</c:v>
                </c:pt>
                <c:pt idx="34">
                  <c:v>6.2</c:v>
                </c:pt>
                <c:pt idx="35">
                  <c:v>6.6</c:v>
                </c:pt>
                <c:pt idx="36">
                  <c:v>6.3</c:v>
                </c:pt>
                <c:pt idx="37">
                  <c:v>5.8000000000000007</c:v>
                </c:pt>
                <c:pt idx="38">
                  <c:v>6</c:v>
                </c:pt>
                <c:pt idx="39">
                  <c:v>5.7</c:v>
                </c:pt>
                <c:pt idx="40">
                  <c:v>5.0999999999999996</c:v>
                </c:pt>
                <c:pt idx="41">
                  <c:v>4.8000000000000007</c:v>
                </c:pt>
                <c:pt idx="42">
                  <c:v>4.0999999999999996</c:v>
                </c:pt>
                <c:pt idx="43">
                  <c:v>2.8</c:v>
                </c:pt>
                <c:pt idx="44">
                  <c:v>3.3</c:v>
                </c:pt>
                <c:pt idx="45">
                  <c:v>4</c:v>
                </c:pt>
                <c:pt idx="46">
                  <c:v>3.5999999999999996</c:v>
                </c:pt>
                <c:pt idx="47">
                  <c:v>3.4</c:v>
                </c:pt>
                <c:pt idx="48">
                  <c:v>3.2</c:v>
                </c:pt>
                <c:pt idx="49">
                  <c:v>3.3</c:v>
                </c:pt>
                <c:pt idx="50">
                  <c:v>3.4</c:v>
                </c:pt>
                <c:pt idx="51">
                  <c:v>3.3</c:v>
                </c:pt>
              </c:numCache>
            </c:numRef>
          </c:yVal>
          <c:smooth val="0"/>
          <c:extLst>
            <c:ext xmlns:c16="http://schemas.microsoft.com/office/drawing/2014/chart" uri="{C3380CC4-5D6E-409C-BE32-E72D297353CC}">
              <c16:uniqueId val="{00000001-15BD-43F4-826D-414C079C4B46}"/>
            </c:ext>
          </c:extLst>
        </c:ser>
        <c:dLbls>
          <c:showLegendKey val="0"/>
          <c:showVal val="0"/>
          <c:showCatName val="0"/>
          <c:showSerName val="0"/>
          <c:showPercent val="0"/>
          <c:showBubbleSize val="0"/>
        </c:dLbls>
        <c:axId val="3"/>
        <c:axId val="4"/>
      </c:scatterChart>
      <c:valAx>
        <c:axId val="418626703"/>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a:t>Week of</a:t>
                </a:r>
              </a:p>
            </c:rich>
          </c:tx>
          <c:layout>
            <c:manualLayout>
              <c:xMode val="edge"/>
              <c:yMode val="edge"/>
              <c:x val="0.48059423646307536"/>
              <c:y val="0.96011896681951203"/>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DOC (mg/L)</a:t>
                </a:r>
              </a:p>
            </c:rich>
          </c:tx>
          <c:layout>
            <c:manualLayout>
              <c:xMode val="edge"/>
              <c:yMode val="edge"/>
              <c:x val="1.448366192080501E-2"/>
              <c:y val="0.5022331316042020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1862670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Total Chlorine Dose (mg/L)</a:t>
                </a:r>
              </a:p>
            </c:rich>
          </c:tx>
          <c:layout>
            <c:manualLayout>
              <c:xMode val="edge"/>
              <c:yMode val="edge"/>
              <c:x val="0.96974700042480821"/>
              <c:y val="0.42462536292364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8540948506910813"/>
          <c:y val="0.11086824097223003"/>
          <c:w val="9.5460499023487577E-2"/>
          <c:h val="5.2108073256948113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Dissolved Organic Carbon</a:t>
            </a:r>
          </a:p>
        </c:rich>
      </c:tx>
      <c:layout>
        <c:manualLayout>
          <c:xMode val="edge"/>
          <c:yMode val="edge"/>
          <c:x val="0.33403241964302405"/>
          <c:y val="2.4915828686258381E-2"/>
        </c:manualLayout>
      </c:layout>
      <c:overlay val="0"/>
      <c:spPr>
        <a:noFill/>
        <a:ln w="3175">
          <a:solidFill>
            <a:srgbClr val="000000"/>
          </a:solidFill>
          <a:prstDash val="solid"/>
        </a:ln>
      </c:spPr>
    </c:title>
    <c:autoTitleDeleted val="0"/>
    <c:plotArea>
      <c:layout>
        <c:manualLayout>
          <c:layoutTarget val="inner"/>
          <c:xMode val="edge"/>
          <c:yMode val="edge"/>
          <c:x val="5.7853037628894884E-2"/>
          <c:y val="0.2480257491950266"/>
          <c:w val="0.88707991030972155"/>
          <c:h val="0.6614019978534042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7ABE-4C64-ACEB-8AFF0655DD1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7ABE-4C64-ACEB-8AFF0655DD1F}"/>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7ABE-4C64-ACEB-8AFF0655DD1F}"/>
            </c:ext>
          </c:extLst>
        </c:ser>
        <c:dLbls>
          <c:showLegendKey val="0"/>
          <c:showVal val="0"/>
          <c:showCatName val="0"/>
          <c:showSerName val="0"/>
          <c:showPercent val="0"/>
          <c:showBubbleSize val="0"/>
        </c:dLbls>
        <c:axId val="418615471"/>
        <c:axId val="1"/>
      </c:scatterChart>
      <c:valAx>
        <c:axId val="418615471"/>
        <c:scaling>
          <c:orientation val="minMax"/>
        </c:scaling>
        <c:delete val="0"/>
        <c:axPos val="b"/>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Week of</a:t>
                </a:r>
              </a:p>
            </c:rich>
          </c:tx>
          <c:layout>
            <c:manualLayout>
              <c:xMode val="edge"/>
              <c:yMode val="edge"/>
              <c:x val="0.47246647396930824"/>
              <c:y val="0.9535967160831616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DOC (mg/L)</a:t>
                </a:r>
              </a:p>
            </c:rich>
          </c:tx>
          <c:layout>
            <c:manualLayout>
              <c:xMode val="edge"/>
              <c:yMode val="edge"/>
              <c:x val="3.4436331921961242E-3"/>
              <c:y val="0.5130395634034111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418615471"/>
        <c:crosses val="autoZero"/>
        <c:crossBetween val="midCat"/>
        <c:majorUnit val="1"/>
      </c:valAx>
      <c:spPr>
        <a:noFill/>
        <a:ln w="3175">
          <a:solidFill>
            <a:srgbClr val="000000"/>
          </a:solidFill>
          <a:prstDash val="solid"/>
        </a:ln>
      </c:spPr>
    </c:plotArea>
    <c:legend>
      <c:legendPos val="r"/>
      <c:layout>
        <c:manualLayout>
          <c:xMode val="edge"/>
          <c:yMode val="edge"/>
          <c:x val="0.78996945428979082"/>
          <c:y val="6.2289571715645947E-2"/>
          <c:w val="8.9534462997099232E-2"/>
          <c:h val="0.10306092774770512"/>
        </c:manualLayout>
      </c:layout>
      <c:overlay val="0"/>
      <c:spPr>
        <a:no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Dissolved Oxygen Saturation
Lab Bench Determination</a:t>
            </a:r>
          </a:p>
        </c:rich>
      </c:tx>
      <c:layout>
        <c:manualLayout>
          <c:xMode val="edge"/>
          <c:yMode val="edge"/>
          <c:x val="0.34686666234716496"/>
          <c:y val="2.5230167201795255E-2"/>
        </c:manualLayout>
      </c:layout>
      <c:overlay val="0"/>
      <c:spPr>
        <a:noFill/>
        <a:ln w="25400">
          <a:noFill/>
        </a:ln>
      </c:spPr>
    </c:title>
    <c:autoTitleDeleted val="0"/>
    <c:plotArea>
      <c:layout>
        <c:manualLayout>
          <c:layoutTarget val="inner"/>
          <c:xMode val="edge"/>
          <c:yMode val="edge"/>
          <c:x val="5.8149187060148509E-2"/>
          <c:y val="0.30390883220344284"/>
          <c:w val="0.89252240603948874"/>
          <c:h val="0.58488114876889008"/>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Data'!$E$146:$BD$146</c:f>
              <c:numCache>
                <c:formatCode>0.0</c:formatCode>
                <c:ptCount val="52"/>
                <c:pt idx="0">
                  <c:v>92.661230541141578</c:v>
                </c:pt>
                <c:pt idx="1">
                  <c:v>93.195266272189343</c:v>
                </c:pt>
                <c:pt idx="2">
                  <c:v>97.907324364723465</c:v>
                </c:pt>
                <c:pt idx="3">
                  <c:v>92.481203007518801</c:v>
                </c:pt>
                <c:pt idx="4">
                  <c:v>93.959731543624159</c:v>
                </c:pt>
                <c:pt idx="5">
                  <c:v>92.953523238380811</c:v>
                </c:pt>
                <c:pt idx="6">
                  <c:v>89.191232048374914</c:v>
                </c:pt>
                <c:pt idx="7">
                  <c:v>86.206896551724142</c:v>
                </c:pt>
                <c:pt idx="8">
                  <c:v>0</c:v>
                </c:pt>
                <c:pt idx="9">
                  <c:v>90.429540316503392</c:v>
                </c:pt>
                <c:pt idx="10">
                  <c:v>80.792682926829272</c:v>
                </c:pt>
                <c:pt idx="11">
                  <c:v>92.481203007518801</c:v>
                </c:pt>
                <c:pt idx="12">
                  <c:v>91.331269349845215</c:v>
                </c:pt>
                <c:pt idx="13">
                  <c:v>97.809076682316118</c:v>
                </c:pt>
                <c:pt idx="14">
                  <c:v>96.184419713831474</c:v>
                </c:pt>
                <c:pt idx="15">
                  <c:v>101.46103896103895</c:v>
                </c:pt>
                <c:pt idx="16">
                  <c:v>96.026490066225165</c:v>
                </c:pt>
                <c:pt idx="17">
                  <c:v>96.528365791701944</c:v>
                </c:pt>
                <c:pt idx="18">
                  <c:v>97.096188747731389</c:v>
                </c:pt>
                <c:pt idx="19">
                  <c:v>97.751710654936446</c:v>
                </c:pt>
                <c:pt idx="20">
                  <c:v>99.34395501405811</c:v>
                </c:pt>
                <c:pt idx="21">
                  <c:v>97.067745197168847</c:v>
                </c:pt>
                <c:pt idx="22">
                  <c:v>95.09509509509509</c:v>
                </c:pt>
                <c:pt idx="23">
                  <c:v>101.87110187110189</c:v>
                </c:pt>
                <c:pt idx="24">
                  <c:v>96.033402922755727</c:v>
                </c:pt>
                <c:pt idx="25">
                  <c:v>97.560975609756113</c:v>
                </c:pt>
                <c:pt idx="26">
                  <c:v>97.613882863340564</c:v>
                </c:pt>
                <c:pt idx="27">
                  <c:v>95.291479820627799</c:v>
                </c:pt>
                <c:pt idx="28">
                  <c:v>96.045197740112997</c:v>
                </c:pt>
                <c:pt idx="29">
                  <c:v>97.109826589595372</c:v>
                </c:pt>
                <c:pt idx="30">
                  <c:v>95.454545454545453</c:v>
                </c:pt>
                <c:pt idx="31">
                  <c:v>96.470588235294102</c:v>
                </c:pt>
                <c:pt idx="32">
                  <c:v>94.382022471910105</c:v>
                </c:pt>
                <c:pt idx="33">
                  <c:v>101.12359550561798</c:v>
                </c:pt>
                <c:pt idx="34">
                  <c:v>99.337748344370851</c:v>
                </c:pt>
                <c:pt idx="35">
                  <c:v>96.500530222693527</c:v>
                </c:pt>
                <c:pt idx="36">
                  <c:v>101.5228426395939</c:v>
                </c:pt>
                <c:pt idx="37">
                  <c:v>95.617529880478088</c:v>
                </c:pt>
                <c:pt idx="38">
                  <c:v>96.246390760346472</c:v>
                </c:pt>
                <c:pt idx="39">
                  <c:v>92.885375494071155</c:v>
                </c:pt>
                <c:pt idx="40">
                  <c:v>96.63120567375887</c:v>
                </c:pt>
                <c:pt idx="41">
                  <c:v>91.720779220779221</c:v>
                </c:pt>
                <c:pt idx="42">
                  <c:v>93.749999999999986</c:v>
                </c:pt>
                <c:pt idx="43">
                  <c:v>94.696969696969703</c:v>
                </c:pt>
                <c:pt idx="44">
                  <c:v>96.256684491978604</c:v>
                </c:pt>
                <c:pt idx="45">
                  <c:v>96.942580164056665</c:v>
                </c:pt>
                <c:pt idx="46">
                  <c:v>98.529411764705884</c:v>
                </c:pt>
                <c:pt idx="47">
                  <c:v>88.704088704088718</c:v>
                </c:pt>
                <c:pt idx="48">
                  <c:v>119.88582302568982</c:v>
                </c:pt>
                <c:pt idx="49">
                  <c:v>92.473118279569903</c:v>
                </c:pt>
                <c:pt idx="50">
                  <c:v>91.174325309992696</c:v>
                </c:pt>
                <c:pt idx="51">
                  <c:v>99.264705882352942</c:v>
                </c:pt>
              </c:numCache>
            </c:numRef>
          </c:yVal>
          <c:smooth val="0"/>
          <c:extLst>
            <c:ext xmlns:c16="http://schemas.microsoft.com/office/drawing/2014/chart" uri="{C3380CC4-5D6E-409C-BE32-E72D297353CC}">
              <c16:uniqueId val="{00000000-26AD-4788-A2B0-9F6166DFE76C}"/>
            </c:ext>
          </c:extLst>
        </c:ser>
        <c:ser>
          <c:idx val="1"/>
          <c:order val="1"/>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1-26AD-4788-A2B0-9F6166DFE76C}"/>
            </c:ext>
          </c:extLst>
        </c:ser>
        <c:dLbls>
          <c:showLegendKey val="0"/>
          <c:showVal val="0"/>
          <c:showCatName val="0"/>
          <c:showSerName val="0"/>
          <c:showPercent val="0"/>
          <c:showBubbleSize val="0"/>
        </c:dLbls>
        <c:axId val="418618383"/>
        <c:axId val="1"/>
      </c:scatterChart>
      <c:valAx>
        <c:axId val="418618383"/>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077204627589483"/>
              <c:y val="0.9426907927216228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3807666895435181E-3"/>
              <c:y val="0.4197382361753210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8383"/>
        <c:crosses val="autoZero"/>
        <c:crossBetween val="midCat"/>
      </c:valAx>
      <c:spPr>
        <a:noFill/>
        <a:ln w="3175">
          <a:solidFill>
            <a:srgbClr val="000000"/>
          </a:solidFill>
          <a:prstDash val="solid"/>
        </a:ln>
      </c:spPr>
    </c:plotArea>
    <c:legend>
      <c:legendPos val="r"/>
      <c:layout>
        <c:manualLayout>
          <c:xMode val="edge"/>
          <c:yMode val="edge"/>
          <c:x val="0.78163325862246136"/>
          <c:y val="0.11238892662617887"/>
          <c:w val="0.13793528093337554"/>
          <c:h val="0.115829403971878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Odour Removal
and Alum Dose</a:t>
            </a:r>
          </a:p>
        </c:rich>
      </c:tx>
      <c:layout>
        <c:manualLayout>
          <c:xMode val="edge"/>
          <c:yMode val="edge"/>
          <c:x val="0.41786276282757884"/>
          <c:y val="2.5201252231966818E-2"/>
        </c:manualLayout>
      </c:layout>
      <c:overlay val="0"/>
      <c:spPr>
        <a:noFill/>
        <a:ln w="25400">
          <a:noFill/>
        </a:ln>
      </c:spPr>
    </c:title>
    <c:autoTitleDeleted val="0"/>
    <c:plotArea>
      <c:layout>
        <c:manualLayout>
          <c:layoutTarget val="inner"/>
          <c:xMode val="edge"/>
          <c:yMode val="edge"/>
          <c:x val="9.33091606314011E-2"/>
          <c:y val="0.30356053824869123"/>
          <c:w val="0.84857243907542301"/>
          <c:h val="0.58535635866068381"/>
        </c:manualLayout>
      </c:layout>
      <c:scatterChart>
        <c:scatterStyle val="lineMarker"/>
        <c:varyColors val="0"/>
        <c:ser>
          <c:idx val="0"/>
          <c:order val="0"/>
          <c:tx>
            <c:strRef>
              <c:f>'Weekly Data'!$A$150:$A$150</c:f>
              <c:strCache>
                <c:ptCount val="1"/>
                <c:pt idx="0">
                  <c:v>Odour Removal by Coagulation and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Data'!$E$150:$BD$150</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0.55294117647058827</c:v>
                </c:pt>
                <c:pt idx="23">
                  <c:v>0.82</c:v>
                </c:pt>
                <c:pt idx="24">
                  <c:v>0.57499999999999996</c:v>
                </c:pt>
                <c:pt idx="25">
                  <c:v>0.59076923076923082</c:v>
                </c:pt>
                <c:pt idx="26">
                  <c:v>0.30120481927710846</c:v>
                </c:pt>
                <c:pt idx="27">
                  <c:v>0.55000000000000004</c:v>
                </c:pt>
                <c:pt idx="28">
                  <c:v>0</c:v>
                </c:pt>
                <c:pt idx="29">
                  <c:v>0.13978494623655913</c:v>
                </c:pt>
                <c:pt idx="30">
                  <c:v>0.08</c:v>
                </c:pt>
                <c:pt idx="31">
                  <c:v>0.42105263157894735</c:v>
                </c:pt>
                <c:pt idx="32">
                  <c:v>0.5357142857142857</c:v>
                </c:pt>
                <c:pt idx="33">
                  <c:v>0.1368421052631579</c:v>
                </c:pt>
                <c:pt idx="34">
                  <c:v>0.4</c:v>
                </c:pt>
                <c:pt idx="35">
                  <c:v>0.44444444444444442</c:v>
                </c:pt>
                <c:pt idx="36">
                  <c:v>0.23770491803278687</c:v>
                </c:pt>
                <c:pt idx="37">
                  <c:v>0.375</c:v>
                </c:pt>
                <c:pt idx="38">
                  <c:v>0.33333333333333331</c:v>
                </c:pt>
                <c:pt idx="39">
                  <c:v>0.53749999999999998</c:v>
                </c:pt>
                <c:pt idx="40">
                  <c:v>0.23255813953488372</c:v>
                </c:pt>
                <c:pt idx="41">
                  <c:v>0.6</c:v>
                </c:pt>
                <c:pt idx="42">
                  <c:v>0.23333333333333334</c:v>
                </c:pt>
                <c:pt idx="43">
                  <c:v>-6.25E-2</c:v>
                </c:pt>
                <c:pt idx="44">
                  <c:v>0.42105263157894735</c:v>
                </c:pt>
                <c:pt idx="45">
                  <c:v>0.31818181818181818</c:v>
                </c:pt>
                <c:pt idx="46">
                  <c:v>0.35294117647058826</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0-1488-4A3B-B1A9-84E441617BF6}"/>
            </c:ext>
          </c:extLst>
        </c:ser>
        <c:ser>
          <c:idx val="1"/>
          <c:order val="1"/>
          <c:tx>
            <c:strRef>
              <c:f>'Weekly Data'!$A$151:$A$151</c:f>
              <c:strCache>
                <c:ptCount val="1"/>
                <c:pt idx="0">
                  <c:v>Odour Removal Overall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Data'!$E$151:$BD$151</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1</c:v>
                </c:pt>
                <c:pt idx="23">
                  <c:v>1</c:v>
                </c:pt>
                <c:pt idx="24">
                  <c:v>1</c:v>
                </c:pt>
                <c:pt idx="25">
                  <c:v>1</c:v>
                </c:pt>
                <c:pt idx="26">
                  <c:v>1</c:v>
                </c:pt>
                <c:pt idx="27">
                  <c:v>0.995</c:v>
                </c:pt>
                <c:pt idx="28">
                  <c:v>1</c:v>
                </c:pt>
                <c:pt idx="29">
                  <c:v>0.989247311827957</c:v>
                </c:pt>
                <c:pt idx="30">
                  <c:v>0.98399999999999999</c:v>
                </c:pt>
                <c:pt idx="31">
                  <c:v>0.97894736842105268</c:v>
                </c:pt>
                <c:pt idx="32">
                  <c:v>0.9910714285714286</c:v>
                </c:pt>
                <c:pt idx="33">
                  <c:v>0.95789473684210524</c:v>
                </c:pt>
                <c:pt idx="34">
                  <c:v>0.98</c:v>
                </c:pt>
                <c:pt idx="35">
                  <c:v>0.95833333333333337</c:v>
                </c:pt>
                <c:pt idx="36">
                  <c:v>0.95901639344262291</c:v>
                </c:pt>
                <c:pt idx="37">
                  <c:v>0.9375</c:v>
                </c:pt>
                <c:pt idx="38">
                  <c:v>0.9</c:v>
                </c:pt>
                <c:pt idx="39">
                  <c:v>0.9</c:v>
                </c:pt>
                <c:pt idx="40">
                  <c:v>0.88372093023255816</c:v>
                </c:pt>
                <c:pt idx="41">
                  <c:v>0.88</c:v>
                </c:pt>
                <c:pt idx="42">
                  <c:v>0.76666666666666672</c:v>
                </c:pt>
                <c:pt idx="43">
                  <c:v>0.625</c:v>
                </c:pt>
                <c:pt idx="44">
                  <c:v>0.84210526315789469</c:v>
                </c:pt>
                <c:pt idx="45">
                  <c:v>0.77272727272727271</c:v>
                </c:pt>
                <c:pt idx="46">
                  <c:v>0.70588235294117652</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1-1488-4A3B-B1A9-84E441617BF6}"/>
            </c:ext>
          </c:extLst>
        </c:ser>
        <c:dLbls>
          <c:showLegendKey val="0"/>
          <c:showVal val="0"/>
          <c:showCatName val="0"/>
          <c:showSerName val="0"/>
          <c:showPercent val="0"/>
          <c:showBubbleSize val="0"/>
        </c:dLbls>
        <c:axId val="418619215"/>
        <c:axId val="1"/>
      </c:scatterChart>
      <c:scatterChart>
        <c:scatterStyle val="lineMarker"/>
        <c:varyColors val="0"/>
        <c:ser>
          <c:idx val="2"/>
          <c:order val="2"/>
          <c:tx>
            <c:v>Alum Dose</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1488-4A3B-B1A9-84E441617BF6}"/>
            </c:ext>
          </c:extLst>
        </c:ser>
        <c:dLbls>
          <c:showLegendKey val="0"/>
          <c:showVal val="0"/>
          <c:showCatName val="0"/>
          <c:showSerName val="0"/>
          <c:showPercent val="0"/>
          <c:showBubbleSize val="0"/>
        </c:dLbls>
        <c:axId val="3"/>
        <c:axId val="4"/>
      </c:scatterChart>
      <c:valAx>
        <c:axId val="41861921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2056737617921364"/>
              <c:y val="0.94275593576857686"/>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 Removal of Odour</a:t>
                </a:r>
              </a:p>
            </c:rich>
          </c:tx>
          <c:layout>
            <c:manualLayout>
              <c:xMode val="edge"/>
              <c:yMode val="edge"/>
              <c:x val="3.3807666895435181E-3"/>
              <c:y val="0.4284212879434359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9215"/>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min val="0"/>
        </c:scaling>
        <c:delete val="0"/>
        <c:axPos val="r"/>
        <c:title>
          <c:tx>
            <c:rich>
              <a:bodyPr/>
              <a:lstStyle/>
              <a:p>
                <a:pPr>
                  <a:defRPr sz="1400" b="0" i="0" u="none" strike="noStrike" baseline="0">
                    <a:solidFill>
                      <a:srgbClr val="000000"/>
                    </a:solidFill>
                    <a:latin typeface="Arial"/>
                    <a:ea typeface="Arial"/>
                    <a:cs typeface="Arial"/>
                  </a:defRPr>
                </a:pPr>
                <a:r>
                  <a:rPr lang="en-US"/>
                  <a:t>Alum Dose (mg/L)</a:t>
                </a:r>
              </a:p>
            </c:rich>
          </c:tx>
          <c:layout>
            <c:manualLayout>
              <c:xMode val="edge"/>
              <c:yMode val="edge"/>
              <c:x val="0.9756892666022593"/>
              <c:y val="0.50402504463933639"/>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3"/>
        <c:crosses val="max"/>
        <c:crossBetween val="midCat"/>
      </c:valAx>
      <c:spPr>
        <a:noFill/>
        <a:ln w="3175">
          <a:solidFill>
            <a:srgbClr val="000000"/>
          </a:solidFill>
          <a:prstDash val="solid"/>
        </a:ln>
      </c:spPr>
    </c:plotArea>
    <c:legend>
      <c:legendPos val="r"/>
      <c:layout>
        <c:manualLayout>
          <c:xMode val="edge"/>
          <c:yMode val="edge"/>
          <c:x val="0.60853800411783321"/>
          <c:y val="0.12142421529947649"/>
          <c:w val="0.31846822215499943"/>
          <c:h val="0.10080500892786727"/>
        </c:manualLayout>
      </c:layout>
      <c:overlay val="0"/>
      <c:spPr>
        <a:noFill/>
        <a:ln w="25400">
          <a:noFill/>
        </a:ln>
      </c:spPr>
      <c:txPr>
        <a:bodyPr/>
        <a:lstStyle/>
        <a:p>
          <a:pPr>
            <a:defRPr sz="138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Arial MT"/>
                <a:ea typeface="Arial MT"/>
                <a:cs typeface="Arial MT"/>
              </a:defRPr>
            </a:pPr>
            <a:r>
              <a:rPr lang="en-US"/>
              <a:t>Langalier Index's for Raw and Clearwell</a:t>
            </a:r>
          </a:p>
        </c:rich>
      </c:tx>
      <c:layout>
        <c:manualLayout>
          <c:xMode val="edge"/>
          <c:yMode val="edge"/>
          <c:x val="0.38300451683422387"/>
          <c:y val="2.555634818318023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7787492231391434E-2"/>
          <c:y val="0.23222942479498559"/>
          <c:w val="0.87214281544178696"/>
          <c:h val="0.65113130588450507"/>
        </c:manualLayout>
      </c:layout>
      <c:scatterChart>
        <c:scatterStyle val="lineMarker"/>
        <c:varyColors val="0"/>
        <c:ser>
          <c:idx val="0"/>
          <c:order val="0"/>
          <c:tx>
            <c:v>Raw (RTW)</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Data'!$E$28:$BD$28</c:f>
              <c:numCache>
                <c:formatCode>0.00</c:formatCode>
                <c:ptCount val="52"/>
                <c:pt idx="1">
                  <c:v>0.15842073866836603</c:v>
                </c:pt>
                <c:pt idx="2">
                  <c:v>8.4963242027403574E-2</c:v>
                </c:pt>
                <c:pt idx="3">
                  <c:v>0.2125312058646065</c:v>
                </c:pt>
                <c:pt idx="4">
                  <c:v>7.4195308619490419E-2</c:v>
                </c:pt>
                <c:pt idx="5">
                  <c:v>-1.3592106381832281E-2</c:v>
                </c:pt>
                <c:pt idx="7">
                  <c:v>0.12939129088237511</c:v>
                </c:pt>
                <c:pt idx="9">
                  <c:v>-4.3679842030972971E-2</c:v>
                </c:pt>
                <c:pt idx="10">
                  <c:v>-8.5499826070019935E-2</c:v>
                </c:pt>
                <c:pt idx="11">
                  <c:v>4.3214679123386723E-2</c:v>
                </c:pt>
                <c:pt idx="12">
                  <c:v>2.4264291411333794E-2</c:v>
                </c:pt>
                <c:pt idx="13">
                  <c:v>1.2274954367734736E-2</c:v>
                </c:pt>
                <c:pt idx="14">
                  <c:v>-1.8374388904196515E-2</c:v>
                </c:pt>
                <c:pt idx="15">
                  <c:v>0.25987396963571197</c:v>
                </c:pt>
                <c:pt idx="16">
                  <c:v>0.18194099338735104</c:v>
                </c:pt>
                <c:pt idx="17">
                  <c:v>0.36575024790642718</c:v>
                </c:pt>
                <c:pt idx="18">
                  <c:v>0.53313926887217633</c:v>
                </c:pt>
                <c:pt idx="19">
                  <c:v>0.64092382588232244</c:v>
                </c:pt>
                <c:pt idx="20">
                  <c:v>0.67436294153977272</c:v>
                </c:pt>
                <c:pt idx="21">
                  <c:v>0.71857795892173382</c:v>
                </c:pt>
                <c:pt idx="22">
                  <c:v>0.74878447950241878</c:v>
                </c:pt>
                <c:pt idx="23">
                  <c:v>0.78726780713755318</c:v>
                </c:pt>
                <c:pt idx="24">
                  <c:v>0.85826229389383446</c:v>
                </c:pt>
                <c:pt idx="25">
                  <c:v>0.89719478402400199</c:v>
                </c:pt>
                <c:pt idx="27">
                  <c:v>0.55057136410152374</c:v>
                </c:pt>
                <c:pt idx="28">
                  <c:v>0.88277722542068116</c:v>
                </c:pt>
                <c:pt idx="29">
                  <c:v>0.60672469601574441</c:v>
                </c:pt>
                <c:pt idx="30">
                  <c:v>0.76884385715193204</c:v>
                </c:pt>
                <c:pt idx="31">
                  <c:v>0.88610757994363532</c:v>
                </c:pt>
                <c:pt idx="32">
                  <c:v>0.9796077944783681</c:v>
                </c:pt>
                <c:pt idx="33">
                  <c:v>0.78318889903959299</c:v>
                </c:pt>
                <c:pt idx="34">
                  <c:v>0.89586109915321366</c:v>
                </c:pt>
                <c:pt idx="35">
                  <c:v>0.76069714451326398</c:v>
                </c:pt>
                <c:pt idx="36">
                  <c:v>0.64126784243560842</c:v>
                </c:pt>
                <c:pt idx="37">
                  <c:v>0.63944902992565922</c:v>
                </c:pt>
                <c:pt idx="38">
                  <c:v>0.67936208355202243</c:v>
                </c:pt>
                <c:pt idx="39">
                  <c:v>0.91021703606094917</c:v>
                </c:pt>
                <c:pt idx="40">
                  <c:v>0.80380832934364399</c:v>
                </c:pt>
                <c:pt idx="41">
                  <c:v>0.65089954007971595</c:v>
                </c:pt>
                <c:pt idx="42">
                  <c:v>0.5508329413695785</c:v>
                </c:pt>
                <c:pt idx="43">
                  <c:v>0.38706958165391381</c:v>
                </c:pt>
                <c:pt idx="44">
                  <c:v>0.30799983040656542</c:v>
                </c:pt>
                <c:pt idx="45">
                  <c:v>0.26234992368499732</c:v>
                </c:pt>
                <c:pt idx="46">
                  <c:v>0.44151968900619831</c:v>
                </c:pt>
                <c:pt idx="47">
                  <c:v>0.37573451924063406</c:v>
                </c:pt>
                <c:pt idx="48">
                  <c:v>0.11209621540813153</c:v>
                </c:pt>
                <c:pt idx="49">
                  <c:v>0.34383218914340219</c:v>
                </c:pt>
                <c:pt idx="50">
                  <c:v>0.28191634129333032</c:v>
                </c:pt>
              </c:numCache>
            </c:numRef>
          </c:yVal>
          <c:smooth val="0"/>
          <c:extLst>
            <c:ext xmlns:c16="http://schemas.microsoft.com/office/drawing/2014/chart" uri="{C3380CC4-5D6E-409C-BE32-E72D297353CC}">
              <c16:uniqueId val="{00000000-13A7-4C21-82EB-9E166CCAFFFE}"/>
            </c:ext>
          </c:extLst>
        </c:ser>
        <c:ser>
          <c:idx val="1"/>
          <c:order val="1"/>
          <c:tx>
            <c:v>Pre Chlorine</c:v>
          </c:tx>
          <c:spPr>
            <a:ln w="3175">
              <a:solidFill>
                <a:srgbClr val="FF0000"/>
              </a:solidFill>
              <a:prstDash val="solid"/>
            </a:ln>
          </c:spPr>
          <c:marker>
            <c:symbol val="triangle"/>
            <c:size val="5"/>
            <c:spPr>
              <a:solidFill>
                <a:srgbClr val="FF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13A7-4C21-82EB-9E166CCAFFFE}"/>
            </c:ext>
          </c:extLst>
        </c:ser>
        <c:ser>
          <c:idx val="2"/>
          <c:order val="2"/>
          <c:tx>
            <c:v>Clearwell (RTW)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Data'!$E$163:$BD$163</c:f>
              <c:numCache>
                <c:formatCode>0.00</c:formatCode>
                <c:ptCount val="52"/>
                <c:pt idx="1">
                  <c:v>-0.27356380971232852</c:v>
                </c:pt>
                <c:pt idx="2">
                  <c:v>-0.29080346458338457</c:v>
                </c:pt>
                <c:pt idx="3">
                  <c:v>-0.33242414556866162</c:v>
                </c:pt>
                <c:pt idx="4">
                  <c:v>-0.4593546300803073</c:v>
                </c:pt>
                <c:pt idx="5">
                  <c:v>-0.46609232949817425</c:v>
                </c:pt>
                <c:pt idx="7">
                  <c:v>-0.45029896628313448</c:v>
                </c:pt>
                <c:pt idx="9">
                  <c:v>-0.26144308294352214</c:v>
                </c:pt>
                <c:pt idx="10">
                  <c:v>-0.55716558820356621</c:v>
                </c:pt>
                <c:pt idx="11">
                  <c:v>-0.40661558682494725</c:v>
                </c:pt>
                <c:pt idx="12">
                  <c:v>-0.36134438099167632</c:v>
                </c:pt>
                <c:pt idx="13">
                  <c:v>-0.47728317725591207</c:v>
                </c:pt>
                <c:pt idx="14">
                  <c:v>-0.27252204553646919</c:v>
                </c:pt>
                <c:pt idx="15">
                  <c:v>-0.18518037183253622</c:v>
                </c:pt>
                <c:pt idx="16">
                  <c:v>-0.17388752719837797</c:v>
                </c:pt>
                <c:pt idx="17">
                  <c:v>-0.54633484789775366</c:v>
                </c:pt>
                <c:pt idx="18">
                  <c:v>-0.46899769036436822</c:v>
                </c:pt>
                <c:pt idx="19">
                  <c:v>-0.38511207842539186</c:v>
                </c:pt>
                <c:pt idx="20">
                  <c:v>-0.42625257510213821</c:v>
                </c:pt>
                <c:pt idx="21">
                  <c:v>-0.38189965114137969</c:v>
                </c:pt>
                <c:pt idx="22">
                  <c:v>-5.6593171137598652E-2</c:v>
                </c:pt>
                <c:pt idx="23">
                  <c:v>-0.28601251615973933</c:v>
                </c:pt>
                <c:pt idx="24">
                  <c:v>-0.25370051169747843</c:v>
                </c:pt>
                <c:pt idx="25">
                  <c:v>-0.23257468948995719</c:v>
                </c:pt>
                <c:pt idx="27">
                  <c:v>-0.31335893221267153</c:v>
                </c:pt>
                <c:pt idx="28">
                  <c:v>-0.32521908839569669</c:v>
                </c:pt>
                <c:pt idx="29">
                  <c:v>-0.36530250742903103</c:v>
                </c:pt>
                <c:pt idx="30">
                  <c:v>-8.9328251173421691E-2</c:v>
                </c:pt>
                <c:pt idx="31">
                  <c:v>-0.4303544471604317</c:v>
                </c:pt>
                <c:pt idx="32">
                  <c:v>-0.49948724672581246</c:v>
                </c:pt>
                <c:pt idx="33">
                  <c:v>-0.61336861759513184</c:v>
                </c:pt>
                <c:pt idx="34">
                  <c:v>-0.76268247644818121</c:v>
                </c:pt>
                <c:pt idx="35">
                  <c:v>-0.71966179785110551</c:v>
                </c:pt>
                <c:pt idx="36">
                  <c:v>-0.64513981209593307</c:v>
                </c:pt>
                <c:pt idx="37">
                  <c:v>-0.69211119048285763</c:v>
                </c:pt>
                <c:pt idx="38">
                  <c:v>-0.63407778945156323</c:v>
                </c:pt>
                <c:pt idx="39">
                  <c:v>-0.66649495689507088</c:v>
                </c:pt>
                <c:pt idx="40">
                  <c:v>-0.64541512378687482</c:v>
                </c:pt>
                <c:pt idx="41">
                  <c:v>-0.66379946443127569</c:v>
                </c:pt>
                <c:pt idx="42">
                  <c:v>-0.64595811290341931</c:v>
                </c:pt>
                <c:pt idx="43">
                  <c:v>-0.79915757686483779</c:v>
                </c:pt>
                <c:pt idx="44">
                  <c:v>-0.73826976137547451</c:v>
                </c:pt>
                <c:pt idx="45">
                  <c:v>-0.86579435459181031</c:v>
                </c:pt>
                <c:pt idx="46">
                  <c:v>-0.59454967147047455</c:v>
                </c:pt>
                <c:pt idx="47">
                  <c:v>-0.50618599214311644</c:v>
                </c:pt>
                <c:pt idx="48">
                  <c:v>-0.56404622591200315</c:v>
                </c:pt>
                <c:pt idx="49">
                  <c:v>-0.52649738848835792</c:v>
                </c:pt>
                <c:pt idx="50">
                  <c:v>-0.52273625243718058</c:v>
                </c:pt>
              </c:numCache>
            </c:numRef>
          </c:yVal>
          <c:smooth val="0"/>
          <c:extLst>
            <c:ext xmlns:c16="http://schemas.microsoft.com/office/drawing/2014/chart" uri="{C3380CC4-5D6E-409C-BE32-E72D297353CC}">
              <c16:uniqueId val="{00000002-13A7-4C21-82EB-9E166CCAFFFE}"/>
            </c:ext>
          </c:extLst>
        </c:ser>
        <c:dLbls>
          <c:showLegendKey val="0"/>
          <c:showVal val="0"/>
          <c:showCatName val="0"/>
          <c:showSerName val="0"/>
          <c:showPercent val="0"/>
          <c:showBubbleSize val="0"/>
        </c:dLbls>
        <c:axId val="444432959"/>
        <c:axId val="1"/>
      </c:scatterChart>
      <c:valAx>
        <c:axId val="4444329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Week Of</a:t>
                </a:r>
              </a:p>
            </c:rich>
          </c:tx>
          <c:layout>
            <c:manualLayout>
              <c:xMode val="edge"/>
              <c:yMode val="edge"/>
              <c:x val="0.48650143446412603"/>
              <c:y val="0.9600297752290313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Langelier Index</a:t>
                </a:r>
              </a:p>
            </c:rich>
          </c:tx>
          <c:layout>
            <c:manualLayout>
              <c:xMode val="edge"/>
              <c:yMode val="edge"/>
              <c:x val="1.4502752788903487E-2"/>
              <c:y val="0.48223717876087918"/>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2959"/>
        <c:crosses val="autoZero"/>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71920469512244112"/>
          <c:y val="7.8891335695904202E-2"/>
          <c:w val="0.12591026284911663"/>
          <c:h val="9.4447373720448688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Raw Water ODOUR</a:t>
            </a:r>
          </a:p>
        </c:rich>
      </c:tx>
      <c:layout>
        <c:manualLayout>
          <c:xMode val="edge"/>
          <c:yMode val="edge"/>
          <c:x val="0.38396408626071404"/>
          <c:y val="2.5415164532579637E-2"/>
        </c:manualLayout>
      </c:layout>
      <c:overlay val="0"/>
      <c:spPr>
        <a:noFill/>
        <a:ln w="25400">
          <a:noFill/>
        </a:ln>
      </c:spPr>
    </c:title>
    <c:autoTitleDeleted val="0"/>
    <c:plotArea>
      <c:layout>
        <c:manualLayout>
          <c:layoutTarget val="inner"/>
          <c:xMode val="edge"/>
          <c:yMode val="edge"/>
          <c:x val="5.7030935092264957E-2"/>
          <c:y val="0.27183175978324309"/>
          <c:w val="0.89061099801060273"/>
          <c:h val="0.61659399170345375"/>
        </c:manualLayout>
      </c:layout>
      <c:scatterChart>
        <c:scatterStyle val="lineMarker"/>
        <c:varyColors val="0"/>
        <c:ser>
          <c:idx val="0"/>
          <c:order val="0"/>
          <c:tx>
            <c:v>Data A</c:v>
          </c:tx>
          <c:spPr>
            <a:ln w="25400">
              <a:solidFill>
                <a:srgbClr val="8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0-D755-42E5-A6D8-9F5BB1C3FE60}"/>
            </c:ext>
          </c:extLst>
        </c:ser>
        <c:dLbls>
          <c:showLegendKey val="0"/>
          <c:showVal val="0"/>
          <c:showCatName val="0"/>
          <c:showSerName val="0"/>
          <c:showPercent val="0"/>
          <c:showBubbleSize val="0"/>
        </c:dLbls>
        <c:axId val="444432127"/>
        <c:axId val="1"/>
      </c:scatterChart>
      <c:valAx>
        <c:axId val="444432127"/>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Odour</a:t>
                </a:r>
              </a:p>
            </c:rich>
          </c:tx>
          <c:layout>
            <c:manualLayout>
              <c:xMode val="edge"/>
              <c:yMode val="edge"/>
              <c:x val="3.3157520402479625E-3"/>
              <c:y val="0.5281934194162202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2127"/>
        <c:crosses val="autoZero"/>
        <c:crossBetween val="midCat"/>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 Error Comparison of Raw Data
With and Without Si Added to Calculation</a:t>
            </a:r>
          </a:p>
        </c:rich>
      </c:tx>
      <c:layout>
        <c:manualLayout>
          <c:xMode val="edge"/>
          <c:yMode val="edge"/>
          <c:x val="0.31653275168703471"/>
          <c:y val="2.56132955972594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9630880927555894E-2"/>
          <c:y val="0.29065522395150906"/>
          <c:w val="0.84674170052967768"/>
          <c:h val="0.53008385670849933"/>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Data'!$E$279:$BD$279</c:f>
              <c:numCache>
                <c:formatCode>0.00</c:formatCode>
                <c:ptCount val="52"/>
                <c:pt idx="0">
                  <c:v>0</c:v>
                </c:pt>
                <c:pt idx="1">
                  <c:v>1.9767636242059448</c:v>
                </c:pt>
                <c:pt idx="2">
                  <c:v>2.4431126485561956</c:v>
                </c:pt>
                <c:pt idx="3">
                  <c:v>1.038375426335487</c:v>
                </c:pt>
                <c:pt idx="4">
                  <c:v>1.3359321959658987</c:v>
                </c:pt>
                <c:pt idx="5">
                  <c:v>2.0630692106132291</c:v>
                </c:pt>
                <c:pt idx="6">
                  <c:v>0</c:v>
                </c:pt>
                <c:pt idx="7">
                  <c:v>1.3013994361618466</c:v>
                </c:pt>
                <c:pt idx="8">
                  <c:v>0</c:v>
                </c:pt>
                <c:pt idx="9">
                  <c:v>0.46190872444430597</c:v>
                </c:pt>
                <c:pt idx="10">
                  <c:v>1.7723413028609685</c:v>
                </c:pt>
                <c:pt idx="11">
                  <c:v>0.74605538257901649</c:v>
                </c:pt>
                <c:pt idx="12">
                  <c:v>0.54794936785785986</c:v>
                </c:pt>
                <c:pt idx="13">
                  <c:v>2.6706674352534159</c:v>
                </c:pt>
                <c:pt idx="14">
                  <c:v>1.3406929781791752</c:v>
                </c:pt>
                <c:pt idx="15">
                  <c:v>2.638722762494127</c:v>
                </c:pt>
                <c:pt idx="16">
                  <c:v>2.8873960213632923</c:v>
                </c:pt>
                <c:pt idx="17">
                  <c:v>2.1912853856688939</c:v>
                </c:pt>
                <c:pt idx="18">
                  <c:v>2.3592976740522711</c:v>
                </c:pt>
                <c:pt idx="19">
                  <c:v>4.5880791333168913</c:v>
                </c:pt>
                <c:pt idx="20">
                  <c:v>1.2829174847186458</c:v>
                </c:pt>
                <c:pt idx="21">
                  <c:v>0.51538729931733995</c:v>
                </c:pt>
                <c:pt idx="22">
                  <c:v>0.75069553384257404</c:v>
                </c:pt>
                <c:pt idx="23">
                  <c:v>0.96774292525917149</c:v>
                </c:pt>
                <c:pt idx="24">
                  <c:v>1.3022618231665388</c:v>
                </c:pt>
                <c:pt idx="25">
                  <c:v>1.0114484234597552</c:v>
                </c:pt>
                <c:pt idx="26">
                  <c:v>0</c:v>
                </c:pt>
                <c:pt idx="27">
                  <c:v>1.1861531159102474</c:v>
                </c:pt>
                <c:pt idx="28">
                  <c:v>0.88571657069737841</c:v>
                </c:pt>
                <c:pt idx="29">
                  <c:v>3.0017404507982519</c:v>
                </c:pt>
                <c:pt idx="30">
                  <c:v>5.151877715193999</c:v>
                </c:pt>
                <c:pt idx="31">
                  <c:v>3.2196235439047629</c:v>
                </c:pt>
                <c:pt idx="32">
                  <c:v>2.5046629363176174</c:v>
                </c:pt>
                <c:pt idx="33">
                  <c:v>3.1044233232074427</c:v>
                </c:pt>
                <c:pt idx="34">
                  <c:v>1.2859146319536607</c:v>
                </c:pt>
                <c:pt idx="35">
                  <c:v>2.6315978327173553</c:v>
                </c:pt>
                <c:pt idx="36">
                  <c:v>0.43691262828900795</c:v>
                </c:pt>
                <c:pt idx="37">
                  <c:v>1.2272714831811276</c:v>
                </c:pt>
                <c:pt idx="38">
                  <c:v>0.78701462011547541</c:v>
                </c:pt>
                <c:pt idx="39">
                  <c:v>1.4550255111142605</c:v>
                </c:pt>
                <c:pt idx="40">
                  <c:v>2.2494077663611249</c:v>
                </c:pt>
                <c:pt idx="41">
                  <c:v>0.37364527422456578</c:v>
                </c:pt>
                <c:pt idx="42">
                  <c:v>0.88569326419809624</c:v>
                </c:pt>
                <c:pt idx="43">
                  <c:v>1.7492875191619279</c:v>
                </c:pt>
                <c:pt idx="44">
                  <c:v>1.8026426083875491</c:v>
                </c:pt>
                <c:pt idx="45">
                  <c:v>1.3231011646574367</c:v>
                </c:pt>
                <c:pt idx="46">
                  <c:v>0.13141533627322285</c:v>
                </c:pt>
                <c:pt idx="47">
                  <c:v>0.29636777172789103</c:v>
                </c:pt>
                <c:pt idx="48">
                  <c:v>2.2129607889175582</c:v>
                </c:pt>
                <c:pt idx="49">
                  <c:v>1.2347981616715116</c:v>
                </c:pt>
                <c:pt idx="50">
                  <c:v>2.4235988860014284</c:v>
                </c:pt>
                <c:pt idx="51">
                  <c:v>0</c:v>
                </c:pt>
              </c:numCache>
            </c:numRef>
          </c:yVal>
          <c:smooth val="0"/>
          <c:extLst>
            <c:ext xmlns:c16="http://schemas.microsoft.com/office/drawing/2014/chart" uri="{C3380CC4-5D6E-409C-BE32-E72D297353CC}">
              <c16:uniqueId val="{00000000-46D7-4658-84DC-5FA8193DAEB5}"/>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Data'!$E$325:$BD$325</c:f>
              <c:numCache>
                <c:formatCode>0.00</c:formatCode>
                <c:ptCount val="52"/>
                <c:pt idx="0">
                  <c:v>0</c:v>
                </c:pt>
                <c:pt idx="1">
                  <c:v>4.4608667291787514</c:v>
                </c:pt>
                <c:pt idx="2">
                  <c:v>5.2131116929488348</c:v>
                </c:pt>
                <c:pt idx="3">
                  <c:v>3.6475925153353983</c:v>
                </c:pt>
                <c:pt idx="4">
                  <c:v>4.1026248566866359</c:v>
                </c:pt>
                <c:pt idx="5">
                  <c:v>4.8779202460218443</c:v>
                </c:pt>
                <c:pt idx="6">
                  <c:v>0</c:v>
                </c:pt>
                <c:pt idx="7">
                  <c:v>4.1747567633178928</c:v>
                </c:pt>
                <c:pt idx="8">
                  <c:v>0</c:v>
                </c:pt>
                <c:pt idx="9">
                  <c:v>3.4233074234331098</c:v>
                </c:pt>
                <c:pt idx="10">
                  <c:v>4.7976034686292595</c:v>
                </c:pt>
                <c:pt idx="11">
                  <c:v>3.781857698261744</c:v>
                </c:pt>
                <c:pt idx="12">
                  <c:v>2.4666084966496098</c:v>
                </c:pt>
                <c:pt idx="13">
                  <c:v>5.4219604162648292</c:v>
                </c:pt>
                <c:pt idx="14">
                  <c:v>4.1862474251263908</c:v>
                </c:pt>
                <c:pt idx="15">
                  <c:v>5.4646524417612383</c:v>
                </c:pt>
                <c:pt idx="16">
                  <c:v>5.6636176556473989</c:v>
                </c:pt>
                <c:pt idx="17">
                  <c:v>4.6580947930387211</c:v>
                </c:pt>
                <c:pt idx="18">
                  <c:v>0.36732898197229008</c:v>
                </c:pt>
                <c:pt idx="19">
                  <c:v>7.2225837949246321</c:v>
                </c:pt>
                <c:pt idx="20">
                  <c:v>3.6869075045108386</c:v>
                </c:pt>
                <c:pt idx="21">
                  <c:v>3.2029424661478845</c:v>
                </c:pt>
                <c:pt idx="22">
                  <c:v>3.3973176234913782</c:v>
                </c:pt>
                <c:pt idx="23">
                  <c:v>3.6289317231280052</c:v>
                </c:pt>
                <c:pt idx="24">
                  <c:v>4.1912719708413766</c:v>
                </c:pt>
                <c:pt idx="25">
                  <c:v>4.3787713182245485</c:v>
                </c:pt>
                <c:pt idx="26">
                  <c:v>0</c:v>
                </c:pt>
                <c:pt idx="27">
                  <c:v>5.0540386595464932</c:v>
                </c:pt>
                <c:pt idx="28">
                  <c:v>2.9974388196512329</c:v>
                </c:pt>
                <c:pt idx="29">
                  <c:v>7.1727388213455052</c:v>
                </c:pt>
                <c:pt idx="30">
                  <c:v>9.3437585807972976</c:v>
                </c:pt>
                <c:pt idx="31">
                  <c:v>7.9753802985817481</c:v>
                </c:pt>
                <c:pt idx="32">
                  <c:v>7.4248213668986409</c:v>
                </c:pt>
                <c:pt idx="33">
                  <c:v>8.3522908345899332</c:v>
                </c:pt>
                <c:pt idx="34">
                  <c:v>6.6151657581418748</c:v>
                </c:pt>
                <c:pt idx="35">
                  <c:v>8.2130027229907121</c:v>
                </c:pt>
                <c:pt idx="36">
                  <c:v>5.7839571668707119</c:v>
                </c:pt>
                <c:pt idx="37">
                  <c:v>6.3775605398718298</c:v>
                </c:pt>
                <c:pt idx="38">
                  <c:v>6.0473960756669909</c:v>
                </c:pt>
                <c:pt idx="39">
                  <c:v>6.7129545204295384</c:v>
                </c:pt>
                <c:pt idx="40">
                  <c:v>7.7492730978336262</c:v>
                </c:pt>
                <c:pt idx="41">
                  <c:v>5.5024089131699174</c:v>
                </c:pt>
                <c:pt idx="42">
                  <c:v>5.968444056082892</c:v>
                </c:pt>
                <c:pt idx="43">
                  <c:v>6.5799207893469651</c:v>
                </c:pt>
                <c:pt idx="44">
                  <c:v>6.1666754800125938</c:v>
                </c:pt>
                <c:pt idx="45">
                  <c:v>5.8700601125644658</c:v>
                </c:pt>
                <c:pt idx="46">
                  <c:v>4.6946403552995513</c:v>
                </c:pt>
                <c:pt idx="47">
                  <c:v>4.5679254400499172</c:v>
                </c:pt>
                <c:pt idx="48">
                  <c:v>6.5418647825526319</c:v>
                </c:pt>
                <c:pt idx="49">
                  <c:v>5.7210779165097172</c:v>
                </c:pt>
                <c:pt idx="50">
                  <c:v>6.8074713011824652</c:v>
                </c:pt>
                <c:pt idx="51">
                  <c:v>0</c:v>
                </c:pt>
              </c:numCache>
            </c:numRef>
          </c:yVal>
          <c:smooth val="0"/>
          <c:extLst>
            <c:ext xmlns:c16="http://schemas.microsoft.com/office/drawing/2014/chart" uri="{C3380CC4-5D6E-409C-BE32-E72D297353CC}">
              <c16:uniqueId val="{00000001-46D7-4658-84DC-5FA8193DAEB5}"/>
            </c:ext>
          </c:extLst>
        </c:ser>
        <c:dLbls>
          <c:showLegendKey val="0"/>
          <c:showVal val="0"/>
          <c:showCatName val="0"/>
          <c:showSerName val="0"/>
          <c:showPercent val="0"/>
          <c:showBubbleSize val="0"/>
        </c:dLbls>
        <c:axId val="444427967"/>
        <c:axId val="1"/>
      </c:scatterChart>
      <c:valAx>
        <c:axId val="444427967"/>
        <c:scaling>
          <c:orientation val="minMax"/>
        </c:scaling>
        <c:delete val="0"/>
        <c:axPos val="b"/>
        <c:majorGridlines>
          <c:spPr>
            <a:ln w="3175">
              <a:solidFill>
                <a:srgbClr val="000000"/>
              </a:solidFill>
              <a:prstDash val="solid"/>
            </a:ln>
          </c:spPr>
        </c:majorGridlines>
        <c:numFmt formatCode="dd\-mmm\-yy" sourceLinked="0"/>
        <c:majorTickMark val="out"/>
        <c:minorTickMark val="none"/>
        <c:tickLblPos val="low"/>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800" b="1" i="0" u="none" strike="noStrike" baseline="0">
                    <a:solidFill>
                      <a:srgbClr val="000000"/>
                    </a:solidFill>
                    <a:latin typeface="Arial"/>
                    <a:ea typeface="Arial"/>
                    <a:cs typeface="Arial"/>
                  </a:defRPr>
                </a:pPr>
                <a:r>
                  <a:rPr lang="en-US"/>
                  <a:t>% Error</a:t>
                </a:r>
              </a:p>
            </c:rich>
          </c:tx>
          <c:layout>
            <c:manualLayout>
              <c:xMode val="edge"/>
              <c:yMode val="edge"/>
              <c:x val="6.6359067439629915E-3"/>
              <c:y val="0.50558418265894678"/>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44427967"/>
        <c:crosses val="autoZero"/>
        <c:crossBetween val="midCat"/>
        <c:majorUnit val="1"/>
        <c:minorUnit val="0.5"/>
      </c:valAx>
      <c:spPr>
        <a:solidFill>
          <a:srgbClr val="FFFFFF"/>
        </a:solidFill>
        <a:ln w="3175">
          <a:solidFill>
            <a:srgbClr val="000000"/>
          </a:solidFill>
          <a:prstDash val="solid"/>
        </a:ln>
      </c:spPr>
    </c:plotArea>
    <c:legend>
      <c:legendPos val="r"/>
      <c:layout>
        <c:manualLayout>
          <c:xMode val="edge"/>
          <c:yMode val="edge"/>
          <c:x val="0.76512004757893293"/>
          <c:y val="0.12918009953400403"/>
          <c:w val="0.14068122297201541"/>
          <c:h val="6.3476428219295083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Threshold Odour Numbers (TON)</a:t>
            </a:r>
          </a:p>
        </c:rich>
      </c:tx>
      <c:layout>
        <c:manualLayout>
          <c:xMode val="edge"/>
          <c:yMode val="edge"/>
          <c:x val="0.33091205361674664"/>
          <c:y val="2.5415164532579637E-2"/>
        </c:manualLayout>
      </c:layout>
      <c:overlay val="0"/>
      <c:spPr>
        <a:noFill/>
        <a:ln w="25400">
          <a:noFill/>
        </a:ln>
      </c:spPr>
    </c:title>
    <c:autoTitleDeleted val="0"/>
    <c:plotArea>
      <c:layout>
        <c:manualLayout>
          <c:layoutTarget val="inner"/>
          <c:xMode val="edge"/>
          <c:yMode val="edge"/>
          <c:x val="5.7030935092264957E-2"/>
          <c:y val="0.26188669540092929"/>
          <c:w val="0.89061099801060273"/>
          <c:h val="0.62653905608576754"/>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Data'!$E$148:$BD$148</c:f>
              <c:numCache>
                <c:formatCode>0</c:formatCode>
                <c:ptCount val="52"/>
                <c:pt idx="0">
                  <c:v>4</c:v>
                </c:pt>
                <c:pt idx="1">
                  <c:v>5</c:v>
                </c:pt>
                <c:pt idx="2">
                  <c:v>4</c:v>
                </c:pt>
                <c:pt idx="3">
                  <c:v>4</c:v>
                </c:pt>
                <c:pt idx="5">
                  <c:v>5</c:v>
                </c:pt>
                <c:pt idx="7">
                  <c:v>6</c:v>
                </c:pt>
                <c:pt idx="9">
                  <c:v>4</c:v>
                </c:pt>
                <c:pt idx="11">
                  <c:v>6</c:v>
                </c:pt>
                <c:pt idx="12">
                  <c:v>16</c:v>
                </c:pt>
                <c:pt idx="13">
                  <c:v>23</c:v>
                </c:pt>
                <c:pt idx="14">
                  <c:v>18</c:v>
                </c:pt>
                <c:pt idx="15">
                  <c:v>14</c:v>
                </c:pt>
                <c:pt idx="16">
                  <c:v>12</c:v>
                </c:pt>
                <c:pt idx="17">
                  <c:v>11</c:v>
                </c:pt>
                <c:pt idx="18">
                  <c:v>12</c:v>
                </c:pt>
                <c:pt idx="19">
                  <c:v>10</c:v>
                </c:pt>
                <c:pt idx="20">
                  <c:v>10</c:v>
                </c:pt>
                <c:pt idx="21">
                  <c:v>11</c:v>
                </c:pt>
                <c:pt idx="22">
                  <c:v>0</c:v>
                </c:pt>
                <c:pt idx="23">
                  <c:v>0</c:v>
                </c:pt>
                <c:pt idx="24">
                  <c:v>0</c:v>
                </c:pt>
                <c:pt idx="25">
                  <c:v>0</c:v>
                </c:pt>
                <c:pt idx="26">
                  <c:v>0</c:v>
                </c:pt>
                <c:pt idx="27">
                  <c:v>1</c:v>
                </c:pt>
                <c:pt idx="28">
                  <c:v>0</c:v>
                </c:pt>
                <c:pt idx="29">
                  <c:v>1</c:v>
                </c:pt>
                <c:pt idx="30">
                  <c:v>2</c:v>
                </c:pt>
                <c:pt idx="31">
                  <c:v>2</c:v>
                </c:pt>
                <c:pt idx="32">
                  <c:v>1</c:v>
                </c:pt>
                <c:pt idx="33" formatCode="General;[Red]\-General">
                  <c:v>4</c:v>
                </c:pt>
                <c:pt idx="34">
                  <c:v>3</c:v>
                </c:pt>
                <c:pt idx="35">
                  <c:v>6</c:v>
                </c:pt>
                <c:pt idx="36">
                  <c:v>5</c:v>
                </c:pt>
                <c:pt idx="37">
                  <c:v>5</c:v>
                </c:pt>
                <c:pt idx="38">
                  <c:v>6</c:v>
                </c:pt>
                <c:pt idx="39">
                  <c:v>8</c:v>
                </c:pt>
                <c:pt idx="40">
                  <c:v>5</c:v>
                </c:pt>
                <c:pt idx="41">
                  <c:v>6</c:v>
                </c:pt>
                <c:pt idx="42">
                  <c:v>7</c:v>
                </c:pt>
                <c:pt idx="43">
                  <c:v>6</c:v>
                </c:pt>
                <c:pt idx="44">
                  <c:v>3</c:v>
                </c:pt>
                <c:pt idx="45">
                  <c:v>5</c:v>
                </c:pt>
                <c:pt idx="46" formatCode="General;[Red]\-General">
                  <c:v>5</c:v>
                </c:pt>
                <c:pt idx="47">
                  <c:v>11</c:v>
                </c:pt>
                <c:pt idx="48">
                  <c:v>16</c:v>
                </c:pt>
                <c:pt idx="49">
                  <c:v>12</c:v>
                </c:pt>
                <c:pt idx="50">
                  <c:v>16</c:v>
                </c:pt>
              </c:numCache>
            </c:numRef>
          </c:yVal>
          <c:smooth val="0"/>
          <c:extLst>
            <c:ext xmlns:c16="http://schemas.microsoft.com/office/drawing/2014/chart" uri="{C3380CC4-5D6E-409C-BE32-E72D297353CC}">
              <c16:uniqueId val="{00000000-D557-4662-B626-0BE03A6EBF00}"/>
            </c:ext>
          </c:extLst>
        </c:ser>
        <c:ser>
          <c:idx val="1"/>
          <c:order val="1"/>
          <c:tx>
            <c:v>PreGAC</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Data'!$E$149:$BD$149</c:f>
              <c:numCache>
                <c:formatCode>0</c:formatCode>
                <c:ptCount val="52"/>
                <c:pt idx="22">
                  <c:v>38</c:v>
                </c:pt>
                <c:pt idx="23">
                  <c:v>27</c:v>
                </c:pt>
                <c:pt idx="24">
                  <c:v>85</c:v>
                </c:pt>
                <c:pt idx="25">
                  <c:v>133</c:v>
                </c:pt>
                <c:pt idx="26">
                  <c:v>116</c:v>
                </c:pt>
                <c:pt idx="27">
                  <c:v>90</c:v>
                </c:pt>
                <c:pt idx="28">
                  <c:v>87</c:v>
                </c:pt>
                <c:pt idx="29">
                  <c:v>80</c:v>
                </c:pt>
                <c:pt idx="30">
                  <c:v>115</c:v>
                </c:pt>
                <c:pt idx="31">
                  <c:v>55</c:v>
                </c:pt>
                <c:pt idx="32">
                  <c:v>52</c:v>
                </c:pt>
                <c:pt idx="33" formatCode="General;[Red]\-General">
                  <c:v>82</c:v>
                </c:pt>
                <c:pt idx="34">
                  <c:v>90</c:v>
                </c:pt>
                <c:pt idx="35">
                  <c:v>80</c:v>
                </c:pt>
                <c:pt idx="36">
                  <c:v>93</c:v>
                </c:pt>
                <c:pt idx="37">
                  <c:v>50</c:v>
                </c:pt>
                <c:pt idx="38">
                  <c:v>40</c:v>
                </c:pt>
                <c:pt idx="39">
                  <c:v>37</c:v>
                </c:pt>
                <c:pt idx="40">
                  <c:v>33</c:v>
                </c:pt>
                <c:pt idx="41">
                  <c:v>20</c:v>
                </c:pt>
                <c:pt idx="42">
                  <c:v>23</c:v>
                </c:pt>
                <c:pt idx="43">
                  <c:v>17</c:v>
                </c:pt>
                <c:pt idx="44">
                  <c:v>11</c:v>
                </c:pt>
                <c:pt idx="45">
                  <c:v>15</c:v>
                </c:pt>
                <c:pt idx="46" formatCode="General;[Red]\-General">
                  <c:v>11</c:v>
                </c:pt>
              </c:numCache>
            </c:numRef>
          </c:yVal>
          <c:smooth val="0"/>
          <c:extLst>
            <c:ext xmlns:c16="http://schemas.microsoft.com/office/drawing/2014/chart" uri="{C3380CC4-5D6E-409C-BE32-E72D297353CC}">
              <c16:uniqueId val="{00000001-D557-4662-B626-0BE03A6EBF00}"/>
            </c:ext>
          </c:extLst>
        </c:ser>
        <c:ser>
          <c:idx val="2"/>
          <c:order val="2"/>
          <c:tx>
            <c:v>Raw Odour</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2-D557-4662-B626-0BE03A6EBF00}"/>
            </c:ext>
          </c:extLst>
        </c:ser>
        <c:dLbls>
          <c:showLegendKey val="0"/>
          <c:showVal val="0"/>
          <c:showCatName val="0"/>
          <c:showSerName val="0"/>
          <c:showPercent val="0"/>
          <c:showBubbleSize val="0"/>
        </c:dLbls>
        <c:axId val="444440031"/>
        <c:axId val="1"/>
      </c:scatterChart>
      <c:valAx>
        <c:axId val="444440031"/>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TON</a:t>
                </a:r>
              </a:p>
            </c:rich>
          </c:tx>
          <c:layout>
            <c:manualLayout>
              <c:xMode val="edge"/>
              <c:yMode val="edge"/>
              <c:x val="3.3157520402479625E-3"/>
              <c:y val="0.5337184551841723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40031"/>
        <c:crosses val="autoZero"/>
        <c:crossBetween val="midCat"/>
      </c:valAx>
      <c:spPr>
        <a:noFill/>
        <a:ln w="3175">
          <a:solidFill>
            <a:srgbClr val="000000"/>
          </a:solidFill>
          <a:prstDash val="solid"/>
        </a:ln>
      </c:spPr>
    </c:plotArea>
    <c:legend>
      <c:legendPos val="r"/>
      <c:layout>
        <c:manualLayout>
          <c:xMode val="edge"/>
          <c:yMode val="edge"/>
          <c:x val="0.80572774578025486"/>
          <c:y val="9.3925608055185614E-2"/>
          <c:w val="0.11605132140867869"/>
          <c:h val="0.1171307582805844"/>
        </c:manualLayout>
      </c:layout>
      <c:overlay val="0"/>
      <c:spPr>
        <a:noFill/>
        <a:ln w="25400">
          <a:noFill/>
        </a:ln>
      </c:spPr>
      <c:txPr>
        <a:bodyPr/>
        <a:lstStyle/>
        <a:p>
          <a:pPr>
            <a:defRPr sz="1655"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3.xml"/><Relationship Id="rId26" Type="http://schemas.openxmlformats.org/officeDocument/2006/relationships/chart" Target="../charts/chart31.xml"/><Relationship Id="rId39" Type="http://schemas.openxmlformats.org/officeDocument/2006/relationships/chart" Target="../charts/chart44.xml"/><Relationship Id="rId21" Type="http://schemas.openxmlformats.org/officeDocument/2006/relationships/chart" Target="../charts/chart26.xml"/><Relationship Id="rId34" Type="http://schemas.openxmlformats.org/officeDocument/2006/relationships/chart" Target="../charts/chart39.xml"/><Relationship Id="rId42" Type="http://schemas.openxmlformats.org/officeDocument/2006/relationships/chart" Target="../charts/chart47.xml"/><Relationship Id="rId47" Type="http://schemas.openxmlformats.org/officeDocument/2006/relationships/chart" Target="../charts/chart52.xml"/><Relationship Id="rId50" Type="http://schemas.openxmlformats.org/officeDocument/2006/relationships/chart" Target="../charts/chart55.xml"/><Relationship Id="rId7" Type="http://schemas.openxmlformats.org/officeDocument/2006/relationships/chart" Target="../charts/chart12.xml"/><Relationship Id="rId2" Type="http://schemas.openxmlformats.org/officeDocument/2006/relationships/chart" Target="../charts/chart7.xml"/><Relationship Id="rId16" Type="http://schemas.openxmlformats.org/officeDocument/2006/relationships/chart" Target="../charts/chart21.xml"/><Relationship Id="rId29" Type="http://schemas.openxmlformats.org/officeDocument/2006/relationships/chart" Target="../charts/chart34.xml"/><Relationship Id="rId11" Type="http://schemas.openxmlformats.org/officeDocument/2006/relationships/chart" Target="../charts/chart16.xml"/><Relationship Id="rId24" Type="http://schemas.openxmlformats.org/officeDocument/2006/relationships/chart" Target="../charts/chart29.xml"/><Relationship Id="rId32" Type="http://schemas.openxmlformats.org/officeDocument/2006/relationships/chart" Target="../charts/chart37.xml"/><Relationship Id="rId37" Type="http://schemas.openxmlformats.org/officeDocument/2006/relationships/chart" Target="../charts/chart42.xml"/><Relationship Id="rId40" Type="http://schemas.openxmlformats.org/officeDocument/2006/relationships/chart" Target="../charts/chart45.xml"/><Relationship Id="rId45" Type="http://schemas.openxmlformats.org/officeDocument/2006/relationships/chart" Target="../charts/chart50.xml"/><Relationship Id="rId53" Type="http://schemas.openxmlformats.org/officeDocument/2006/relationships/chart" Target="../charts/chart58.xml"/><Relationship Id="rId5" Type="http://schemas.openxmlformats.org/officeDocument/2006/relationships/chart" Target="../charts/chart10.xml"/><Relationship Id="rId10" Type="http://schemas.openxmlformats.org/officeDocument/2006/relationships/chart" Target="../charts/chart15.xml"/><Relationship Id="rId19" Type="http://schemas.openxmlformats.org/officeDocument/2006/relationships/chart" Target="../charts/chart24.xml"/><Relationship Id="rId31" Type="http://schemas.openxmlformats.org/officeDocument/2006/relationships/chart" Target="../charts/chart36.xml"/><Relationship Id="rId44" Type="http://schemas.openxmlformats.org/officeDocument/2006/relationships/chart" Target="../charts/chart49.xml"/><Relationship Id="rId52" Type="http://schemas.openxmlformats.org/officeDocument/2006/relationships/chart" Target="../charts/chart57.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 Id="rId22" Type="http://schemas.openxmlformats.org/officeDocument/2006/relationships/chart" Target="../charts/chart27.xml"/><Relationship Id="rId27" Type="http://schemas.openxmlformats.org/officeDocument/2006/relationships/chart" Target="../charts/chart32.xml"/><Relationship Id="rId30" Type="http://schemas.openxmlformats.org/officeDocument/2006/relationships/chart" Target="../charts/chart35.xml"/><Relationship Id="rId35" Type="http://schemas.openxmlformats.org/officeDocument/2006/relationships/chart" Target="../charts/chart40.xml"/><Relationship Id="rId43" Type="http://schemas.openxmlformats.org/officeDocument/2006/relationships/chart" Target="../charts/chart48.xml"/><Relationship Id="rId48" Type="http://schemas.openxmlformats.org/officeDocument/2006/relationships/chart" Target="../charts/chart53.xml"/><Relationship Id="rId8" Type="http://schemas.openxmlformats.org/officeDocument/2006/relationships/chart" Target="../charts/chart13.xml"/><Relationship Id="rId51" Type="http://schemas.openxmlformats.org/officeDocument/2006/relationships/chart" Target="../charts/chart56.xml"/><Relationship Id="rId3" Type="http://schemas.openxmlformats.org/officeDocument/2006/relationships/chart" Target="../charts/chart8.xml"/><Relationship Id="rId12" Type="http://schemas.openxmlformats.org/officeDocument/2006/relationships/chart" Target="../charts/chart17.xml"/><Relationship Id="rId17" Type="http://schemas.openxmlformats.org/officeDocument/2006/relationships/chart" Target="../charts/chart22.xml"/><Relationship Id="rId25" Type="http://schemas.openxmlformats.org/officeDocument/2006/relationships/chart" Target="../charts/chart30.xml"/><Relationship Id="rId33" Type="http://schemas.openxmlformats.org/officeDocument/2006/relationships/chart" Target="../charts/chart38.xml"/><Relationship Id="rId38" Type="http://schemas.openxmlformats.org/officeDocument/2006/relationships/chart" Target="../charts/chart43.xml"/><Relationship Id="rId46" Type="http://schemas.openxmlformats.org/officeDocument/2006/relationships/chart" Target="../charts/chart51.xml"/><Relationship Id="rId20" Type="http://schemas.openxmlformats.org/officeDocument/2006/relationships/chart" Target="../charts/chart25.xml"/><Relationship Id="rId41" Type="http://schemas.openxmlformats.org/officeDocument/2006/relationships/chart" Target="../charts/chart46.xml"/><Relationship Id="rId54" Type="http://schemas.openxmlformats.org/officeDocument/2006/relationships/chart" Target="../charts/chart59.xml"/><Relationship Id="rId1" Type="http://schemas.openxmlformats.org/officeDocument/2006/relationships/chart" Target="../charts/chart6.xml"/><Relationship Id="rId6" Type="http://schemas.openxmlformats.org/officeDocument/2006/relationships/chart" Target="../charts/chart11.xml"/><Relationship Id="rId15" Type="http://schemas.openxmlformats.org/officeDocument/2006/relationships/chart" Target="../charts/chart20.xml"/><Relationship Id="rId23" Type="http://schemas.openxmlformats.org/officeDocument/2006/relationships/chart" Target="../charts/chart28.xml"/><Relationship Id="rId28" Type="http://schemas.openxmlformats.org/officeDocument/2006/relationships/chart" Target="../charts/chart33.xml"/><Relationship Id="rId36" Type="http://schemas.openxmlformats.org/officeDocument/2006/relationships/chart" Target="../charts/chart41.xml"/><Relationship Id="rId4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24</xdr:col>
      <xdr:colOff>152400</xdr:colOff>
      <xdr:row>4</xdr:row>
      <xdr:rowOff>28575</xdr:rowOff>
    </xdr:from>
    <xdr:to>
      <xdr:col>41</xdr:col>
      <xdr:colOff>114300</xdr:colOff>
      <xdr:row>44</xdr:row>
      <xdr:rowOff>114300</xdr:rowOff>
    </xdr:to>
    <xdr:graphicFrame macro="">
      <xdr:nvGraphicFramePr>
        <xdr:cNvPr id="1025" name="Chart 1">
          <a:extLst>
            <a:ext uri="{FF2B5EF4-FFF2-40B4-BE49-F238E27FC236}">
              <a16:creationId xmlns:a16="http://schemas.microsoft.com/office/drawing/2014/main" id="{411B0E33-E483-4AE2-9B2F-6E78D818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142875</xdr:rowOff>
    </xdr:from>
    <xdr:to>
      <xdr:col>17</xdr:col>
      <xdr:colOff>504825</xdr:colOff>
      <xdr:row>44</xdr:row>
      <xdr:rowOff>142875</xdr:rowOff>
    </xdr:to>
    <xdr:graphicFrame macro="">
      <xdr:nvGraphicFramePr>
        <xdr:cNvPr id="1025" name="Chart 1">
          <a:extLst>
            <a:ext uri="{FF2B5EF4-FFF2-40B4-BE49-F238E27FC236}">
              <a16:creationId xmlns:a16="http://schemas.microsoft.com/office/drawing/2014/main" id="{6A75B5E1-9614-4A30-88E7-13016054D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49</xdr:row>
      <xdr:rowOff>114300</xdr:rowOff>
    </xdr:from>
    <xdr:to>
      <xdr:col>17</xdr:col>
      <xdr:colOff>457200</xdr:colOff>
      <xdr:row>93</xdr:row>
      <xdr:rowOff>85725</xdr:rowOff>
    </xdr:to>
    <xdr:graphicFrame macro="">
      <xdr:nvGraphicFramePr>
        <xdr:cNvPr id="1026" name="Chart 2">
          <a:extLst>
            <a:ext uri="{FF2B5EF4-FFF2-40B4-BE49-F238E27FC236}">
              <a16:creationId xmlns:a16="http://schemas.microsoft.com/office/drawing/2014/main" id="{91BA10A6-9821-4AC5-8B29-34D857132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142875</xdr:rowOff>
    </xdr:from>
    <xdr:to>
      <xdr:col>17</xdr:col>
      <xdr:colOff>657225</xdr:colOff>
      <xdr:row>44</xdr:row>
      <xdr:rowOff>76200</xdr:rowOff>
    </xdr:to>
    <xdr:graphicFrame macro="">
      <xdr:nvGraphicFramePr>
        <xdr:cNvPr id="1025" name="Chart 1">
          <a:extLst>
            <a:ext uri="{FF2B5EF4-FFF2-40B4-BE49-F238E27FC236}">
              <a16:creationId xmlns:a16="http://schemas.microsoft.com/office/drawing/2014/main" id="{A0E31EAC-A427-425B-8F3C-8A08EB87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57150</xdr:rowOff>
    </xdr:from>
    <xdr:to>
      <xdr:col>17</xdr:col>
      <xdr:colOff>409575</xdr:colOff>
      <xdr:row>46</xdr:row>
      <xdr:rowOff>47625</xdr:rowOff>
    </xdr:to>
    <xdr:graphicFrame macro="">
      <xdr:nvGraphicFramePr>
        <xdr:cNvPr id="1025" name="Chart 1">
          <a:extLst>
            <a:ext uri="{FF2B5EF4-FFF2-40B4-BE49-F238E27FC236}">
              <a16:creationId xmlns:a16="http://schemas.microsoft.com/office/drawing/2014/main" id="{B688AAF7-5831-48B1-AEF5-063A4859E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187</xdr:row>
      <xdr:rowOff>133350</xdr:rowOff>
    </xdr:from>
    <xdr:to>
      <xdr:col>17</xdr:col>
      <xdr:colOff>581025</xdr:colOff>
      <xdr:row>232</xdr:row>
      <xdr:rowOff>133350</xdr:rowOff>
    </xdr:to>
    <xdr:graphicFrame macro="">
      <xdr:nvGraphicFramePr>
        <xdr:cNvPr id="1025" name="Chart 1">
          <a:extLst>
            <a:ext uri="{FF2B5EF4-FFF2-40B4-BE49-F238E27FC236}">
              <a16:creationId xmlns:a16="http://schemas.microsoft.com/office/drawing/2014/main" id="{19D31571-E99D-4C8B-A27D-01FFB09BC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247650</xdr:colOff>
      <xdr:row>46</xdr:row>
      <xdr:rowOff>85725</xdr:rowOff>
    </xdr:from>
    <xdr:to>
      <xdr:col>38</xdr:col>
      <xdr:colOff>523875</xdr:colOff>
      <xdr:row>91</xdr:row>
      <xdr:rowOff>133350</xdr:rowOff>
    </xdr:to>
    <xdr:graphicFrame macro="">
      <xdr:nvGraphicFramePr>
        <xdr:cNvPr id="1026" name="Chart 2">
          <a:extLst>
            <a:ext uri="{FF2B5EF4-FFF2-40B4-BE49-F238E27FC236}">
              <a16:creationId xmlns:a16="http://schemas.microsoft.com/office/drawing/2014/main" id="{ED79BC1C-9DE1-4D79-9BBF-5B183CDD4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257175</xdr:colOff>
      <xdr:row>0</xdr:row>
      <xdr:rowOff>161925</xdr:rowOff>
    </xdr:from>
    <xdr:to>
      <xdr:col>38</xdr:col>
      <xdr:colOff>523875</xdr:colOff>
      <xdr:row>45</xdr:row>
      <xdr:rowOff>142875</xdr:rowOff>
    </xdr:to>
    <xdr:graphicFrame macro="">
      <xdr:nvGraphicFramePr>
        <xdr:cNvPr id="1027" name="Chart 3">
          <a:extLst>
            <a:ext uri="{FF2B5EF4-FFF2-40B4-BE49-F238E27FC236}">
              <a16:creationId xmlns:a16="http://schemas.microsoft.com/office/drawing/2014/main" id="{669B871F-07D8-473E-8A9F-46D81EA5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200025</xdr:colOff>
      <xdr:row>93</xdr:row>
      <xdr:rowOff>114300</xdr:rowOff>
    </xdr:from>
    <xdr:to>
      <xdr:col>38</xdr:col>
      <xdr:colOff>476250</xdr:colOff>
      <xdr:row>138</xdr:row>
      <xdr:rowOff>161925</xdr:rowOff>
    </xdr:to>
    <xdr:graphicFrame macro="">
      <xdr:nvGraphicFramePr>
        <xdr:cNvPr id="1028" name="Chart 4">
          <a:extLst>
            <a:ext uri="{FF2B5EF4-FFF2-40B4-BE49-F238E27FC236}">
              <a16:creationId xmlns:a16="http://schemas.microsoft.com/office/drawing/2014/main" id="{49E21F6D-4CEB-4FFA-A521-92FCB233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0</xdr:row>
      <xdr:rowOff>104775</xdr:rowOff>
    </xdr:from>
    <xdr:to>
      <xdr:col>17</xdr:col>
      <xdr:colOff>581025</xdr:colOff>
      <xdr:row>45</xdr:row>
      <xdr:rowOff>85725</xdr:rowOff>
    </xdr:to>
    <xdr:graphicFrame macro="">
      <xdr:nvGraphicFramePr>
        <xdr:cNvPr id="1029" name="Chart 5">
          <a:extLst>
            <a:ext uri="{FF2B5EF4-FFF2-40B4-BE49-F238E27FC236}">
              <a16:creationId xmlns:a16="http://schemas.microsoft.com/office/drawing/2014/main" id="{81103FD3-2765-4EF2-A565-BD2329391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48</xdr:row>
      <xdr:rowOff>85725</xdr:rowOff>
    </xdr:from>
    <xdr:to>
      <xdr:col>17</xdr:col>
      <xdr:colOff>533400</xdr:colOff>
      <xdr:row>93</xdr:row>
      <xdr:rowOff>57150</xdr:rowOff>
    </xdr:to>
    <xdr:graphicFrame macro="">
      <xdr:nvGraphicFramePr>
        <xdr:cNvPr id="1030" name="Chart 6">
          <a:extLst>
            <a:ext uri="{FF2B5EF4-FFF2-40B4-BE49-F238E27FC236}">
              <a16:creationId xmlns:a16="http://schemas.microsoft.com/office/drawing/2014/main" id="{9A8CF800-0A8D-4750-A064-143394773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247650</xdr:colOff>
      <xdr:row>94</xdr:row>
      <xdr:rowOff>104775</xdr:rowOff>
    </xdr:from>
    <xdr:to>
      <xdr:col>17</xdr:col>
      <xdr:colOff>523875</xdr:colOff>
      <xdr:row>138</xdr:row>
      <xdr:rowOff>142875</xdr:rowOff>
    </xdr:to>
    <xdr:graphicFrame macro="">
      <xdr:nvGraphicFramePr>
        <xdr:cNvPr id="1031" name="Chart 7">
          <a:extLst>
            <a:ext uri="{FF2B5EF4-FFF2-40B4-BE49-F238E27FC236}">
              <a16:creationId xmlns:a16="http://schemas.microsoft.com/office/drawing/2014/main" id="{BC5FE661-64FB-46D5-B242-B854DB93D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200025</xdr:colOff>
      <xdr:row>140</xdr:row>
      <xdr:rowOff>104775</xdr:rowOff>
    </xdr:from>
    <xdr:to>
      <xdr:col>17</xdr:col>
      <xdr:colOff>581025</xdr:colOff>
      <xdr:row>186</xdr:row>
      <xdr:rowOff>9525</xdr:rowOff>
    </xdr:to>
    <xdr:graphicFrame macro="">
      <xdr:nvGraphicFramePr>
        <xdr:cNvPr id="1032" name="Chart 8">
          <a:extLst>
            <a:ext uri="{FF2B5EF4-FFF2-40B4-BE49-F238E27FC236}">
              <a16:creationId xmlns:a16="http://schemas.microsoft.com/office/drawing/2014/main" id="{708C50B3-A392-4B16-ABF8-01D4CEE2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200025</xdr:colOff>
      <xdr:row>234</xdr:row>
      <xdr:rowOff>85725</xdr:rowOff>
    </xdr:from>
    <xdr:to>
      <xdr:col>17</xdr:col>
      <xdr:colOff>581025</xdr:colOff>
      <xdr:row>278</xdr:row>
      <xdr:rowOff>142875</xdr:rowOff>
    </xdr:to>
    <xdr:graphicFrame macro="">
      <xdr:nvGraphicFramePr>
        <xdr:cNvPr id="1033" name="Chart 9">
          <a:extLst>
            <a:ext uri="{FF2B5EF4-FFF2-40B4-BE49-F238E27FC236}">
              <a16:creationId xmlns:a16="http://schemas.microsoft.com/office/drawing/2014/main" id="{F9EC5B06-0CB9-4D3D-8956-DDE9D8D53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180975</xdr:colOff>
      <xdr:row>280</xdr:row>
      <xdr:rowOff>114300</xdr:rowOff>
    </xdr:from>
    <xdr:to>
      <xdr:col>17</xdr:col>
      <xdr:colOff>571500</xdr:colOff>
      <xdr:row>326</xdr:row>
      <xdr:rowOff>104775</xdr:rowOff>
    </xdr:to>
    <xdr:graphicFrame macro="">
      <xdr:nvGraphicFramePr>
        <xdr:cNvPr id="1034" name="Chart 10">
          <a:extLst>
            <a:ext uri="{FF2B5EF4-FFF2-40B4-BE49-F238E27FC236}">
              <a16:creationId xmlns:a16="http://schemas.microsoft.com/office/drawing/2014/main" id="{985348E7-0C59-411C-9803-B6BAABC24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219075</xdr:colOff>
      <xdr:row>140</xdr:row>
      <xdr:rowOff>85725</xdr:rowOff>
    </xdr:from>
    <xdr:to>
      <xdr:col>38</xdr:col>
      <xdr:colOff>552450</xdr:colOff>
      <xdr:row>182</xdr:row>
      <xdr:rowOff>9525</xdr:rowOff>
    </xdr:to>
    <xdr:graphicFrame macro="">
      <xdr:nvGraphicFramePr>
        <xdr:cNvPr id="1035" name="Chart 11">
          <a:extLst>
            <a:ext uri="{FF2B5EF4-FFF2-40B4-BE49-F238E27FC236}">
              <a16:creationId xmlns:a16="http://schemas.microsoft.com/office/drawing/2014/main" id="{409F1956-A171-44DE-80BE-BED1FA08B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228600</xdr:colOff>
      <xdr:row>184</xdr:row>
      <xdr:rowOff>114300</xdr:rowOff>
    </xdr:from>
    <xdr:to>
      <xdr:col>38</xdr:col>
      <xdr:colOff>523875</xdr:colOff>
      <xdr:row>229</xdr:row>
      <xdr:rowOff>104775</xdr:rowOff>
    </xdr:to>
    <xdr:graphicFrame macro="">
      <xdr:nvGraphicFramePr>
        <xdr:cNvPr id="1036" name="Chart 12">
          <a:extLst>
            <a:ext uri="{FF2B5EF4-FFF2-40B4-BE49-F238E27FC236}">
              <a16:creationId xmlns:a16="http://schemas.microsoft.com/office/drawing/2014/main" id="{FC316115-D77C-4BCA-A8F3-59AD8F58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257175</xdr:colOff>
      <xdr:row>232</xdr:row>
      <xdr:rowOff>133350</xdr:rowOff>
    </xdr:from>
    <xdr:to>
      <xdr:col>38</xdr:col>
      <xdr:colOff>180975</xdr:colOff>
      <xdr:row>278</xdr:row>
      <xdr:rowOff>57150</xdr:rowOff>
    </xdr:to>
    <xdr:graphicFrame macro="">
      <xdr:nvGraphicFramePr>
        <xdr:cNvPr id="1037" name="Chart 13">
          <a:extLst>
            <a:ext uri="{FF2B5EF4-FFF2-40B4-BE49-F238E27FC236}">
              <a16:creationId xmlns:a16="http://schemas.microsoft.com/office/drawing/2014/main" id="{D4DF2F5F-9579-44D7-A6C5-69F907236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295275</xdr:colOff>
      <xdr:row>280</xdr:row>
      <xdr:rowOff>76200</xdr:rowOff>
    </xdr:from>
    <xdr:to>
      <xdr:col>38</xdr:col>
      <xdr:colOff>247650</xdr:colOff>
      <xdr:row>326</xdr:row>
      <xdr:rowOff>0</xdr:rowOff>
    </xdr:to>
    <xdr:graphicFrame macro="">
      <xdr:nvGraphicFramePr>
        <xdr:cNvPr id="1038" name="Chart 14">
          <a:extLst>
            <a:ext uri="{FF2B5EF4-FFF2-40B4-BE49-F238E27FC236}">
              <a16:creationId xmlns:a16="http://schemas.microsoft.com/office/drawing/2014/main" id="{CA187545-99BB-4C57-B356-02289998B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257175</xdr:colOff>
      <xdr:row>396</xdr:row>
      <xdr:rowOff>104775</xdr:rowOff>
    </xdr:from>
    <xdr:to>
      <xdr:col>17</xdr:col>
      <xdr:colOff>0</xdr:colOff>
      <xdr:row>418</xdr:row>
      <xdr:rowOff>104775</xdr:rowOff>
    </xdr:to>
    <xdr:graphicFrame macro="">
      <xdr:nvGraphicFramePr>
        <xdr:cNvPr id="1039" name="Chart 15">
          <a:extLst>
            <a:ext uri="{FF2B5EF4-FFF2-40B4-BE49-F238E27FC236}">
              <a16:creationId xmlns:a16="http://schemas.microsoft.com/office/drawing/2014/main" id="{98B66159-BE74-47C4-BAC8-2F28489C4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247650</xdr:colOff>
      <xdr:row>374</xdr:row>
      <xdr:rowOff>0</xdr:rowOff>
    </xdr:from>
    <xdr:to>
      <xdr:col>16</xdr:col>
      <xdr:colOff>771525</xdr:colOff>
      <xdr:row>395</xdr:row>
      <xdr:rowOff>114300</xdr:rowOff>
    </xdr:to>
    <xdr:graphicFrame macro="">
      <xdr:nvGraphicFramePr>
        <xdr:cNvPr id="1040" name="Chart 16">
          <a:extLst>
            <a:ext uri="{FF2B5EF4-FFF2-40B4-BE49-F238E27FC236}">
              <a16:creationId xmlns:a16="http://schemas.microsoft.com/office/drawing/2014/main" id="{885BA631-2DBB-4436-8057-A5DA56487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257175</xdr:colOff>
      <xdr:row>420</xdr:row>
      <xdr:rowOff>28575</xdr:rowOff>
    </xdr:from>
    <xdr:to>
      <xdr:col>17</xdr:col>
      <xdr:colOff>0</xdr:colOff>
      <xdr:row>442</xdr:row>
      <xdr:rowOff>9525</xdr:rowOff>
    </xdr:to>
    <xdr:graphicFrame macro="">
      <xdr:nvGraphicFramePr>
        <xdr:cNvPr id="1041" name="Chart 17">
          <a:extLst>
            <a:ext uri="{FF2B5EF4-FFF2-40B4-BE49-F238E27FC236}">
              <a16:creationId xmlns:a16="http://schemas.microsoft.com/office/drawing/2014/main" id="{EF17A3F8-D001-4C0C-9500-6CC1F1D90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276225</xdr:colOff>
      <xdr:row>445</xdr:row>
      <xdr:rowOff>9525</xdr:rowOff>
    </xdr:from>
    <xdr:to>
      <xdr:col>17</xdr:col>
      <xdr:colOff>19050</xdr:colOff>
      <xdr:row>467</xdr:row>
      <xdr:rowOff>0</xdr:rowOff>
    </xdr:to>
    <xdr:graphicFrame macro="">
      <xdr:nvGraphicFramePr>
        <xdr:cNvPr id="1042" name="Chart 18">
          <a:extLst>
            <a:ext uri="{FF2B5EF4-FFF2-40B4-BE49-F238E27FC236}">
              <a16:creationId xmlns:a16="http://schemas.microsoft.com/office/drawing/2014/main" id="{8868B6DD-4E8C-4923-8D37-7ED198429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295275</xdr:colOff>
      <xdr:row>483</xdr:row>
      <xdr:rowOff>0</xdr:rowOff>
    </xdr:from>
    <xdr:to>
      <xdr:col>17</xdr:col>
      <xdr:colOff>28575</xdr:colOff>
      <xdr:row>497</xdr:row>
      <xdr:rowOff>0</xdr:rowOff>
    </xdr:to>
    <xdr:graphicFrame macro="">
      <xdr:nvGraphicFramePr>
        <xdr:cNvPr id="1043" name="Chart 19">
          <a:extLst>
            <a:ext uri="{FF2B5EF4-FFF2-40B4-BE49-F238E27FC236}">
              <a16:creationId xmlns:a16="http://schemas.microsoft.com/office/drawing/2014/main" id="{B319A43D-9367-4C93-98FB-2C405A29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304800</xdr:colOff>
      <xdr:row>468</xdr:row>
      <xdr:rowOff>0</xdr:rowOff>
    </xdr:from>
    <xdr:to>
      <xdr:col>17</xdr:col>
      <xdr:colOff>47625</xdr:colOff>
      <xdr:row>482</xdr:row>
      <xdr:rowOff>9525</xdr:rowOff>
    </xdr:to>
    <xdr:graphicFrame macro="">
      <xdr:nvGraphicFramePr>
        <xdr:cNvPr id="1044" name="Chart 20">
          <a:extLst>
            <a:ext uri="{FF2B5EF4-FFF2-40B4-BE49-F238E27FC236}">
              <a16:creationId xmlns:a16="http://schemas.microsoft.com/office/drawing/2014/main" id="{8C1A53B8-5101-4E27-AB41-1160B5DC8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295275</xdr:colOff>
      <xdr:row>497</xdr:row>
      <xdr:rowOff>161925</xdr:rowOff>
    </xdr:from>
    <xdr:to>
      <xdr:col>17</xdr:col>
      <xdr:colOff>28575</xdr:colOff>
      <xdr:row>512</xdr:row>
      <xdr:rowOff>9525</xdr:rowOff>
    </xdr:to>
    <xdr:graphicFrame macro="">
      <xdr:nvGraphicFramePr>
        <xdr:cNvPr id="1045" name="Chart 21">
          <a:extLst>
            <a:ext uri="{FF2B5EF4-FFF2-40B4-BE49-F238E27FC236}">
              <a16:creationId xmlns:a16="http://schemas.microsoft.com/office/drawing/2014/main" id="{744D9C78-CA08-473A-9CB8-4833E097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295275</xdr:colOff>
      <xdr:row>514</xdr:row>
      <xdr:rowOff>9525</xdr:rowOff>
    </xdr:from>
    <xdr:to>
      <xdr:col>17</xdr:col>
      <xdr:colOff>28575</xdr:colOff>
      <xdr:row>536</xdr:row>
      <xdr:rowOff>0</xdr:rowOff>
    </xdr:to>
    <xdr:graphicFrame macro="">
      <xdr:nvGraphicFramePr>
        <xdr:cNvPr id="1046" name="Chart 22">
          <a:extLst>
            <a:ext uri="{FF2B5EF4-FFF2-40B4-BE49-F238E27FC236}">
              <a16:creationId xmlns:a16="http://schemas.microsoft.com/office/drawing/2014/main" id="{514193CC-202A-4767-BA01-2D0A18C2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276225</xdr:colOff>
      <xdr:row>537</xdr:row>
      <xdr:rowOff>0</xdr:rowOff>
    </xdr:from>
    <xdr:to>
      <xdr:col>17</xdr:col>
      <xdr:colOff>19050</xdr:colOff>
      <xdr:row>558</xdr:row>
      <xdr:rowOff>161925</xdr:rowOff>
    </xdr:to>
    <xdr:graphicFrame macro="">
      <xdr:nvGraphicFramePr>
        <xdr:cNvPr id="1047" name="Chart 23">
          <a:extLst>
            <a:ext uri="{FF2B5EF4-FFF2-40B4-BE49-F238E27FC236}">
              <a16:creationId xmlns:a16="http://schemas.microsoft.com/office/drawing/2014/main" id="{05E7972E-A168-4AB7-A055-44C13C04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295275</xdr:colOff>
      <xdr:row>561</xdr:row>
      <xdr:rowOff>28575</xdr:rowOff>
    </xdr:from>
    <xdr:to>
      <xdr:col>17</xdr:col>
      <xdr:colOff>28575</xdr:colOff>
      <xdr:row>605</xdr:row>
      <xdr:rowOff>9525</xdr:rowOff>
    </xdr:to>
    <xdr:graphicFrame macro="">
      <xdr:nvGraphicFramePr>
        <xdr:cNvPr id="1048" name="Chart 24">
          <a:extLst>
            <a:ext uri="{FF2B5EF4-FFF2-40B4-BE49-F238E27FC236}">
              <a16:creationId xmlns:a16="http://schemas.microsoft.com/office/drawing/2014/main" id="{794F24D2-0C00-4F29-83A2-5475C63E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276225</xdr:colOff>
      <xdr:row>607</xdr:row>
      <xdr:rowOff>9525</xdr:rowOff>
    </xdr:from>
    <xdr:to>
      <xdr:col>17</xdr:col>
      <xdr:colOff>19050</xdr:colOff>
      <xdr:row>651</xdr:row>
      <xdr:rowOff>0</xdr:rowOff>
    </xdr:to>
    <xdr:graphicFrame macro="">
      <xdr:nvGraphicFramePr>
        <xdr:cNvPr id="1049" name="Chart 25">
          <a:extLst>
            <a:ext uri="{FF2B5EF4-FFF2-40B4-BE49-F238E27FC236}">
              <a16:creationId xmlns:a16="http://schemas.microsoft.com/office/drawing/2014/main" id="{A9CC47A2-3BA2-481A-96C3-6B3A81C7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257175</xdr:colOff>
      <xdr:row>653</xdr:row>
      <xdr:rowOff>0</xdr:rowOff>
    </xdr:from>
    <xdr:to>
      <xdr:col>17</xdr:col>
      <xdr:colOff>0</xdr:colOff>
      <xdr:row>667</xdr:row>
      <xdr:rowOff>76200</xdr:rowOff>
    </xdr:to>
    <xdr:graphicFrame macro="">
      <xdr:nvGraphicFramePr>
        <xdr:cNvPr id="1050" name="Chart 26">
          <a:extLst>
            <a:ext uri="{FF2B5EF4-FFF2-40B4-BE49-F238E27FC236}">
              <a16:creationId xmlns:a16="http://schemas.microsoft.com/office/drawing/2014/main" id="{A93B0899-4305-450A-BE43-AB03F1062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304800</xdr:colOff>
      <xdr:row>668</xdr:row>
      <xdr:rowOff>85725</xdr:rowOff>
    </xdr:from>
    <xdr:to>
      <xdr:col>17</xdr:col>
      <xdr:colOff>47625</xdr:colOff>
      <xdr:row>683</xdr:row>
      <xdr:rowOff>104775</xdr:rowOff>
    </xdr:to>
    <xdr:graphicFrame macro="">
      <xdr:nvGraphicFramePr>
        <xdr:cNvPr id="1051" name="Chart 27">
          <a:extLst>
            <a:ext uri="{FF2B5EF4-FFF2-40B4-BE49-F238E27FC236}">
              <a16:creationId xmlns:a16="http://schemas.microsoft.com/office/drawing/2014/main" id="{308AC87B-714B-4913-A1D0-CA1AA35BD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304800</xdr:colOff>
      <xdr:row>683</xdr:row>
      <xdr:rowOff>161925</xdr:rowOff>
    </xdr:from>
    <xdr:to>
      <xdr:col>17</xdr:col>
      <xdr:colOff>47625</xdr:colOff>
      <xdr:row>699</xdr:row>
      <xdr:rowOff>0</xdr:rowOff>
    </xdr:to>
    <xdr:graphicFrame macro="">
      <xdr:nvGraphicFramePr>
        <xdr:cNvPr id="1052" name="Chart 28">
          <a:extLst>
            <a:ext uri="{FF2B5EF4-FFF2-40B4-BE49-F238E27FC236}">
              <a16:creationId xmlns:a16="http://schemas.microsoft.com/office/drawing/2014/main" id="{EF6104CD-E90A-4685-84B9-48A48A664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295275</xdr:colOff>
      <xdr:row>795</xdr:row>
      <xdr:rowOff>9525</xdr:rowOff>
    </xdr:from>
    <xdr:to>
      <xdr:col>17</xdr:col>
      <xdr:colOff>28575</xdr:colOff>
      <xdr:row>816</xdr:row>
      <xdr:rowOff>9525</xdr:rowOff>
    </xdr:to>
    <xdr:graphicFrame macro="">
      <xdr:nvGraphicFramePr>
        <xdr:cNvPr id="1053" name="Chart 29">
          <a:extLst>
            <a:ext uri="{FF2B5EF4-FFF2-40B4-BE49-F238E27FC236}">
              <a16:creationId xmlns:a16="http://schemas.microsoft.com/office/drawing/2014/main" id="{BAA2C7DF-1C99-4A35-8CDD-0EA074510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295275</xdr:colOff>
      <xdr:row>816</xdr:row>
      <xdr:rowOff>161925</xdr:rowOff>
    </xdr:from>
    <xdr:to>
      <xdr:col>17</xdr:col>
      <xdr:colOff>28575</xdr:colOff>
      <xdr:row>838</xdr:row>
      <xdr:rowOff>9525</xdr:rowOff>
    </xdr:to>
    <xdr:graphicFrame macro="">
      <xdr:nvGraphicFramePr>
        <xdr:cNvPr id="1054" name="Chart 30">
          <a:extLst>
            <a:ext uri="{FF2B5EF4-FFF2-40B4-BE49-F238E27FC236}">
              <a16:creationId xmlns:a16="http://schemas.microsoft.com/office/drawing/2014/main" id="{2A6F675D-2E7D-46B2-9DF3-0936DC690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276225</xdr:colOff>
      <xdr:row>701</xdr:row>
      <xdr:rowOff>0</xdr:rowOff>
    </xdr:from>
    <xdr:to>
      <xdr:col>17</xdr:col>
      <xdr:colOff>19050</xdr:colOff>
      <xdr:row>742</xdr:row>
      <xdr:rowOff>171450</xdr:rowOff>
    </xdr:to>
    <xdr:graphicFrame macro="">
      <xdr:nvGraphicFramePr>
        <xdr:cNvPr id="1055" name="Chart 31">
          <a:extLst>
            <a:ext uri="{FF2B5EF4-FFF2-40B4-BE49-F238E27FC236}">
              <a16:creationId xmlns:a16="http://schemas.microsoft.com/office/drawing/2014/main" id="{638B2DD6-B5B3-4A08-8817-80C98D969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304800</xdr:colOff>
      <xdr:row>746</xdr:row>
      <xdr:rowOff>0</xdr:rowOff>
    </xdr:from>
    <xdr:to>
      <xdr:col>17</xdr:col>
      <xdr:colOff>47625</xdr:colOff>
      <xdr:row>761</xdr:row>
      <xdr:rowOff>9525</xdr:rowOff>
    </xdr:to>
    <xdr:graphicFrame macro="">
      <xdr:nvGraphicFramePr>
        <xdr:cNvPr id="1056" name="Chart 32">
          <a:extLst>
            <a:ext uri="{FF2B5EF4-FFF2-40B4-BE49-F238E27FC236}">
              <a16:creationId xmlns:a16="http://schemas.microsoft.com/office/drawing/2014/main" id="{FFDED985-4831-4CFF-8364-B94DB2238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295275</xdr:colOff>
      <xdr:row>761</xdr:row>
      <xdr:rowOff>85725</xdr:rowOff>
    </xdr:from>
    <xdr:to>
      <xdr:col>17</xdr:col>
      <xdr:colOff>28575</xdr:colOff>
      <xdr:row>776</xdr:row>
      <xdr:rowOff>104775</xdr:rowOff>
    </xdr:to>
    <xdr:graphicFrame macro="">
      <xdr:nvGraphicFramePr>
        <xdr:cNvPr id="1057" name="Chart 33">
          <a:extLst>
            <a:ext uri="{FF2B5EF4-FFF2-40B4-BE49-F238E27FC236}">
              <a16:creationId xmlns:a16="http://schemas.microsoft.com/office/drawing/2014/main" id="{36EB0BDD-A458-4ED3-98C4-3C4C06DFB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295275</xdr:colOff>
      <xdr:row>777</xdr:row>
      <xdr:rowOff>28575</xdr:rowOff>
    </xdr:from>
    <xdr:to>
      <xdr:col>17</xdr:col>
      <xdr:colOff>28575</xdr:colOff>
      <xdr:row>792</xdr:row>
      <xdr:rowOff>57150</xdr:rowOff>
    </xdr:to>
    <xdr:graphicFrame macro="">
      <xdr:nvGraphicFramePr>
        <xdr:cNvPr id="1058" name="Chart 34">
          <a:extLst>
            <a:ext uri="{FF2B5EF4-FFF2-40B4-BE49-F238E27FC236}">
              <a16:creationId xmlns:a16="http://schemas.microsoft.com/office/drawing/2014/main" id="{C3EEBB12-153C-4B0B-9E8A-EC6F92094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276225</xdr:colOff>
      <xdr:row>840</xdr:row>
      <xdr:rowOff>28575</xdr:rowOff>
    </xdr:from>
    <xdr:to>
      <xdr:col>17</xdr:col>
      <xdr:colOff>19050</xdr:colOff>
      <xdr:row>884</xdr:row>
      <xdr:rowOff>9525</xdr:rowOff>
    </xdr:to>
    <xdr:graphicFrame macro="">
      <xdr:nvGraphicFramePr>
        <xdr:cNvPr id="1059" name="Chart 35">
          <a:extLst>
            <a:ext uri="{FF2B5EF4-FFF2-40B4-BE49-F238E27FC236}">
              <a16:creationId xmlns:a16="http://schemas.microsoft.com/office/drawing/2014/main" id="{F2AD8BE1-EC47-4250-B3A1-3147A93D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295275</xdr:colOff>
      <xdr:row>885</xdr:row>
      <xdr:rowOff>161925</xdr:rowOff>
    </xdr:from>
    <xdr:to>
      <xdr:col>17</xdr:col>
      <xdr:colOff>28575</xdr:colOff>
      <xdr:row>907</xdr:row>
      <xdr:rowOff>9525</xdr:rowOff>
    </xdr:to>
    <xdr:graphicFrame macro="">
      <xdr:nvGraphicFramePr>
        <xdr:cNvPr id="1060" name="Chart 36">
          <a:extLst>
            <a:ext uri="{FF2B5EF4-FFF2-40B4-BE49-F238E27FC236}">
              <a16:creationId xmlns:a16="http://schemas.microsoft.com/office/drawing/2014/main" id="{3F7B0C7B-3265-4451-9590-FC929A09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276225</xdr:colOff>
      <xdr:row>908</xdr:row>
      <xdr:rowOff>9525</xdr:rowOff>
    </xdr:from>
    <xdr:to>
      <xdr:col>17</xdr:col>
      <xdr:colOff>19050</xdr:colOff>
      <xdr:row>929</xdr:row>
      <xdr:rowOff>28575</xdr:rowOff>
    </xdr:to>
    <xdr:graphicFrame macro="">
      <xdr:nvGraphicFramePr>
        <xdr:cNvPr id="1061" name="Chart 37">
          <a:extLst>
            <a:ext uri="{FF2B5EF4-FFF2-40B4-BE49-F238E27FC236}">
              <a16:creationId xmlns:a16="http://schemas.microsoft.com/office/drawing/2014/main" id="{C4D6C9BA-E2D9-4C5D-9B8C-C1527763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295275</xdr:colOff>
      <xdr:row>931</xdr:row>
      <xdr:rowOff>9525</xdr:rowOff>
    </xdr:from>
    <xdr:to>
      <xdr:col>17</xdr:col>
      <xdr:colOff>28575</xdr:colOff>
      <xdr:row>975</xdr:row>
      <xdr:rowOff>0</xdr:rowOff>
    </xdr:to>
    <xdr:graphicFrame macro="">
      <xdr:nvGraphicFramePr>
        <xdr:cNvPr id="1062" name="Chart 38">
          <a:extLst>
            <a:ext uri="{FF2B5EF4-FFF2-40B4-BE49-F238E27FC236}">
              <a16:creationId xmlns:a16="http://schemas.microsoft.com/office/drawing/2014/main" id="{5957BC6E-EB62-4687-A15B-8841DFC53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276225</xdr:colOff>
      <xdr:row>977</xdr:row>
      <xdr:rowOff>0</xdr:rowOff>
    </xdr:from>
    <xdr:to>
      <xdr:col>17</xdr:col>
      <xdr:colOff>19050</xdr:colOff>
      <xdr:row>998</xdr:row>
      <xdr:rowOff>28575</xdr:rowOff>
    </xdr:to>
    <xdr:graphicFrame macro="">
      <xdr:nvGraphicFramePr>
        <xdr:cNvPr id="1063" name="Chart 39">
          <a:extLst>
            <a:ext uri="{FF2B5EF4-FFF2-40B4-BE49-F238E27FC236}">
              <a16:creationId xmlns:a16="http://schemas.microsoft.com/office/drawing/2014/main" id="{1AD7CC66-5966-44BF-B35C-306778798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295275</xdr:colOff>
      <xdr:row>999</xdr:row>
      <xdr:rowOff>0</xdr:rowOff>
    </xdr:from>
    <xdr:to>
      <xdr:col>17</xdr:col>
      <xdr:colOff>28575</xdr:colOff>
      <xdr:row>1020</xdr:row>
      <xdr:rowOff>28575</xdr:rowOff>
    </xdr:to>
    <xdr:graphicFrame macro="">
      <xdr:nvGraphicFramePr>
        <xdr:cNvPr id="1064" name="Chart 40">
          <a:extLst>
            <a:ext uri="{FF2B5EF4-FFF2-40B4-BE49-F238E27FC236}">
              <a16:creationId xmlns:a16="http://schemas.microsoft.com/office/drawing/2014/main" id="{7505724D-5D4D-4B95-9C12-BE1EFE2E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276225</xdr:colOff>
      <xdr:row>1022</xdr:row>
      <xdr:rowOff>0</xdr:rowOff>
    </xdr:from>
    <xdr:to>
      <xdr:col>17</xdr:col>
      <xdr:colOff>19050</xdr:colOff>
      <xdr:row>1043</xdr:row>
      <xdr:rowOff>28575</xdr:rowOff>
    </xdr:to>
    <xdr:graphicFrame macro="">
      <xdr:nvGraphicFramePr>
        <xdr:cNvPr id="1065" name="Chart 41">
          <a:extLst>
            <a:ext uri="{FF2B5EF4-FFF2-40B4-BE49-F238E27FC236}">
              <a16:creationId xmlns:a16="http://schemas.microsoft.com/office/drawing/2014/main" id="{AF2C6BF1-7F72-49F9-999B-A2E10688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295275</xdr:colOff>
      <xdr:row>1044</xdr:row>
      <xdr:rowOff>0</xdr:rowOff>
    </xdr:from>
    <xdr:to>
      <xdr:col>17</xdr:col>
      <xdr:colOff>28575</xdr:colOff>
      <xdr:row>1065</xdr:row>
      <xdr:rowOff>28575</xdr:rowOff>
    </xdr:to>
    <xdr:graphicFrame macro="">
      <xdr:nvGraphicFramePr>
        <xdr:cNvPr id="1066" name="Chart 42">
          <a:extLst>
            <a:ext uri="{FF2B5EF4-FFF2-40B4-BE49-F238E27FC236}">
              <a16:creationId xmlns:a16="http://schemas.microsoft.com/office/drawing/2014/main" id="{2DFC8944-A972-46CF-8ED2-9F14C4A96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295275</xdr:colOff>
      <xdr:row>1067</xdr:row>
      <xdr:rowOff>0</xdr:rowOff>
    </xdr:from>
    <xdr:to>
      <xdr:col>17</xdr:col>
      <xdr:colOff>28575</xdr:colOff>
      <xdr:row>1110</xdr:row>
      <xdr:rowOff>161925</xdr:rowOff>
    </xdr:to>
    <xdr:graphicFrame macro="">
      <xdr:nvGraphicFramePr>
        <xdr:cNvPr id="1067" name="Chart 43">
          <a:extLst>
            <a:ext uri="{FF2B5EF4-FFF2-40B4-BE49-F238E27FC236}">
              <a16:creationId xmlns:a16="http://schemas.microsoft.com/office/drawing/2014/main" id="{921235DC-3E1A-4DF7-9C0E-A6ACBDE7E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295275</xdr:colOff>
      <xdr:row>1113</xdr:row>
      <xdr:rowOff>0</xdr:rowOff>
    </xdr:from>
    <xdr:to>
      <xdr:col>17</xdr:col>
      <xdr:colOff>28575</xdr:colOff>
      <xdr:row>1136</xdr:row>
      <xdr:rowOff>9525</xdr:rowOff>
    </xdr:to>
    <xdr:graphicFrame macro="">
      <xdr:nvGraphicFramePr>
        <xdr:cNvPr id="1068" name="Chart 44">
          <a:extLst>
            <a:ext uri="{FF2B5EF4-FFF2-40B4-BE49-F238E27FC236}">
              <a16:creationId xmlns:a16="http://schemas.microsoft.com/office/drawing/2014/main" id="{9982FD40-F03A-49E8-BBE3-FBCAC5E0E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295275</xdr:colOff>
      <xdr:row>1136</xdr:row>
      <xdr:rowOff>161925</xdr:rowOff>
    </xdr:from>
    <xdr:to>
      <xdr:col>17</xdr:col>
      <xdr:colOff>28575</xdr:colOff>
      <xdr:row>1159</xdr:row>
      <xdr:rowOff>0</xdr:rowOff>
    </xdr:to>
    <xdr:graphicFrame macro="">
      <xdr:nvGraphicFramePr>
        <xdr:cNvPr id="1069" name="Chart 45">
          <a:extLst>
            <a:ext uri="{FF2B5EF4-FFF2-40B4-BE49-F238E27FC236}">
              <a16:creationId xmlns:a16="http://schemas.microsoft.com/office/drawing/2014/main" id="{548D0DC7-4C72-4BA0-AADC-6B612F42A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257175</xdr:colOff>
      <xdr:row>1161</xdr:row>
      <xdr:rowOff>28575</xdr:rowOff>
    </xdr:from>
    <xdr:to>
      <xdr:col>17</xdr:col>
      <xdr:colOff>0</xdr:colOff>
      <xdr:row>1204</xdr:row>
      <xdr:rowOff>9525</xdr:rowOff>
    </xdr:to>
    <xdr:graphicFrame macro="">
      <xdr:nvGraphicFramePr>
        <xdr:cNvPr id="1070" name="Chart 46">
          <a:extLst>
            <a:ext uri="{FF2B5EF4-FFF2-40B4-BE49-F238E27FC236}">
              <a16:creationId xmlns:a16="http://schemas.microsoft.com/office/drawing/2014/main" id="{0D5E3052-BD64-4EE3-9E82-158DCB91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295275</xdr:colOff>
      <xdr:row>1206</xdr:row>
      <xdr:rowOff>9525</xdr:rowOff>
    </xdr:from>
    <xdr:to>
      <xdr:col>17</xdr:col>
      <xdr:colOff>28575</xdr:colOff>
      <xdr:row>1221</xdr:row>
      <xdr:rowOff>28575</xdr:rowOff>
    </xdr:to>
    <xdr:graphicFrame macro="">
      <xdr:nvGraphicFramePr>
        <xdr:cNvPr id="1071" name="Chart 47">
          <a:extLst>
            <a:ext uri="{FF2B5EF4-FFF2-40B4-BE49-F238E27FC236}">
              <a16:creationId xmlns:a16="http://schemas.microsoft.com/office/drawing/2014/main" id="{583E1F1F-7A6F-44F8-9CA6-0A1A8CAD5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304800</xdr:colOff>
      <xdr:row>1221</xdr:row>
      <xdr:rowOff>114300</xdr:rowOff>
    </xdr:from>
    <xdr:to>
      <xdr:col>17</xdr:col>
      <xdr:colOff>47625</xdr:colOff>
      <xdr:row>1236</xdr:row>
      <xdr:rowOff>114300</xdr:rowOff>
    </xdr:to>
    <xdr:graphicFrame macro="">
      <xdr:nvGraphicFramePr>
        <xdr:cNvPr id="1072" name="Chart 48">
          <a:extLst>
            <a:ext uri="{FF2B5EF4-FFF2-40B4-BE49-F238E27FC236}">
              <a16:creationId xmlns:a16="http://schemas.microsoft.com/office/drawing/2014/main" id="{4A560928-DFEC-4297-B820-41136A03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295275</xdr:colOff>
      <xdr:row>1237</xdr:row>
      <xdr:rowOff>28575</xdr:rowOff>
    </xdr:from>
    <xdr:to>
      <xdr:col>17</xdr:col>
      <xdr:colOff>28575</xdr:colOff>
      <xdr:row>1252</xdr:row>
      <xdr:rowOff>57150</xdr:rowOff>
    </xdr:to>
    <xdr:graphicFrame macro="">
      <xdr:nvGraphicFramePr>
        <xdr:cNvPr id="1073" name="Chart 49">
          <a:extLst>
            <a:ext uri="{FF2B5EF4-FFF2-40B4-BE49-F238E27FC236}">
              <a16:creationId xmlns:a16="http://schemas.microsoft.com/office/drawing/2014/main" id="{54751B77-398A-498E-A6F9-A5619326E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323850</xdr:colOff>
      <xdr:row>1255</xdr:row>
      <xdr:rowOff>9525</xdr:rowOff>
    </xdr:from>
    <xdr:to>
      <xdr:col>17</xdr:col>
      <xdr:colOff>57150</xdr:colOff>
      <xdr:row>1276</xdr:row>
      <xdr:rowOff>28575</xdr:rowOff>
    </xdr:to>
    <xdr:graphicFrame macro="">
      <xdr:nvGraphicFramePr>
        <xdr:cNvPr id="1074" name="Chart 50">
          <a:extLst>
            <a:ext uri="{FF2B5EF4-FFF2-40B4-BE49-F238E27FC236}">
              <a16:creationId xmlns:a16="http://schemas.microsoft.com/office/drawing/2014/main" id="{05C8193D-8D38-40FE-A40B-DF98438E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152400</xdr:colOff>
      <xdr:row>327</xdr:row>
      <xdr:rowOff>85725</xdr:rowOff>
    </xdr:from>
    <xdr:to>
      <xdr:col>17</xdr:col>
      <xdr:colOff>533400</xdr:colOff>
      <xdr:row>372</xdr:row>
      <xdr:rowOff>104775</xdr:rowOff>
    </xdr:to>
    <xdr:graphicFrame macro="">
      <xdr:nvGraphicFramePr>
        <xdr:cNvPr id="1075" name="Chart 51">
          <a:extLst>
            <a:ext uri="{FF2B5EF4-FFF2-40B4-BE49-F238E27FC236}">
              <a16:creationId xmlns:a16="http://schemas.microsoft.com/office/drawing/2014/main" id="{A05A4F57-304A-4F11-B3F3-3C2240E6A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18</xdr:col>
      <xdr:colOff>0</xdr:colOff>
      <xdr:row>1138</xdr:row>
      <xdr:rowOff>0</xdr:rowOff>
    </xdr:from>
    <xdr:to>
      <xdr:col>34</xdr:col>
      <xdr:colOff>571500</xdr:colOff>
      <xdr:row>1182</xdr:row>
      <xdr:rowOff>28575</xdr:rowOff>
    </xdr:to>
    <xdr:graphicFrame macro="">
      <xdr:nvGraphicFramePr>
        <xdr:cNvPr id="1076" name="Chart 52">
          <a:extLst>
            <a:ext uri="{FF2B5EF4-FFF2-40B4-BE49-F238E27FC236}">
              <a16:creationId xmlns:a16="http://schemas.microsoft.com/office/drawing/2014/main" id="{B5F7E471-589A-4052-BE7E-3E827C7DB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21</xdr:col>
      <xdr:colOff>276225</xdr:colOff>
      <xdr:row>328</xdr:row>
      <xdr:rowOff>85725</xdr:rowOff>
    </xdr:from>
    <xdr:to>
      <xdr:col>38</xdr:col>
      <xdr:colOff>276225</xdr:colOff>
      <xdr:row>372</xdr:row>
      <xdr:rowOff>9525</xdr:rowOff>
    </xdr:to>
    <xdr:graphicFrame macro="">
      <xdr:nvGraphicFramePr>
        <xdr:cNvPr id="1077" name="Chart 53">
          <a:extLst>
            <a:ext uri="{FF2B5EF4-FFF2-40B4-BE49-F238E27FC236}">
              <a16:creationId xmlns:a16="http://schemas.microsoft.com/office/drawing/2014/main" id="{49661E1D-4E7A-48C6-B3F3-A9FE25AD8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21</xdr:col>
      <xdr:colOff>276225</xdr:colOff>
      <xdr:row>375</xdr:row>
      <xdr:rowOff>9525</xdr:rowOff>
    </xdr:from>
    <xdr:to>
      <xdr:col>38</xdr:col>
      <xdr:colOff>276225</xdr:colOff>
      <xdr:row>418</xdr:row>
      <xdr:rowOff>133350</xdr:rowOff>
    </xdr:to>
    <xdr:graphicFrame macro="">
      <xdr:nvGraphicFramePr>
        <xdr:cNvPr id="1078" name="Chart 54">
          <a:extLst>
            <a:ext uri="{FF2B5EF4-FFF2-40B4-BE49-F238E27FC236}">
              <a16:creationId xmlns:a16="http://schemas.microsoft.com/office/drawing/2014/main" id="{60DC8C3D-EADB-4AB2-9F94-5022A2DDC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V358"/>
  <sheetViews>
    <sheetView tabSelected="1" topLeftCell="A5" zoomScale="87" zoomScaleNormal="87" workbookViewId="0">
      <pane xSplit="3" ySplit="7" topLeftCell="S52" activePane="bottomRight" state="frozen"/>
      <selection pane="topRight" activeCell="A5" sqref="A5"/>
      <selection pane="bottomLeft" activeCell="A5" sqref="A5"/>
      <selection pane="bottomRight" activeCell="A41" sqref="A41:XFD41"/>
    </sheetView>
  </sheetViews>
  <sheetFormatPr baseColWidth="10" defaultColWidth="10.7109375" defaultRowHeight="16"/>
  <cols>
    <col min="1" max="1" width="23.7109375" style="1" customWidth="1"/>
    <col min="2" max="2" width="11.7109375" style="1" customWidth="1"/>
    <col min="3" max="3" width="7.7109375" style="1" customWidth="1"/>
    <col min="4" max="4" width="6.7109375" style="1" customWidth="1"/>
    <col min="5" max="22" width="10.7109375" style="1"/>
    <col min="23" max="23" width="13.7109375" style="1" customWidth="1"/>
    <col min="24" max="56" width="10.7109375" style="1"/>
    <col min="57" max="57" width="6.7109375" style="1" customWidth="1"/>
    <col min="58" max="58" width="42.7109375" style="1" customWidth="1"/>
    <col min="59" max="59" width="8.7109375" style="1" customWidth="1"/>
    <col min="60" max="60" width="10.7109375" style="1"/>
    <col min="61" max="72" width="7.7109375" style="1" customWidth="1"/>
    <col min="73" max="73" width="6.7109375" style="1" customWidth="1"/>
    <col min="74" max="74" width="20.7109375" style="1" customWidth="1"/>
    <col min="75" max="75" width="11.7109375" style="1" customWidth="1"/>
    <col min="76" max="256" width="10.7109375" style="1"/>
  </cols>
  <sheetData>
    <row r="4" spans="1:88">
      <c r="D4" s="293"/>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3"/>
    </row>
    <row r="5" spans="1:88">
      <c r="A5" s="2" t="s">
        <v>0</v>
      </c>
      <c r="D5" s="293"/>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294"/>
      <c r="BC5" s="294"/>
      <c r="BD5" s="294"/>
      <c r="BE5" s="293"/>
    </row>
    <row r="6" spans="1:88">
      <c r="A6" s="3" t="s">
        <v>1</v>
      </c>
      <c r="B6" s="295" t="s">
        <v>2</v>
      </c>
      <c r="C6" s="295"/>
      <c r="D6" s="293"/>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294"/>
      <c r="AO6" s="294"/>
      <c r="AP6" s="294"/>
      <c r="AQ6" s="294"/>
      <c r="AR6" s="294"/>
      <c r="AS6" s="294"/>
      <c r="AT6" s="294"/>
      <c r="AU6" s="294"/>
      <c r="AV6" s="294"/>
      <c r="AW6" s="294"/>
      <c r="AX6" s="294"/>
      <c r="AY6" s="294"/>
      <c r="AZ6" s="294"/>
      <c r="BA6" s="294"/>
      <c r="BB6" s="294"/>
      <c r="BC6" s="294"/>
      <c r="BD6" s="294"/>
      <c r="BE6" s="293"/>
      <c r="BX6" s="294"/>
      <c r="BY6" s="294"/>
      <c r="BZ6" s="294"/>
      <c r="CA6" s="294"/>
      <c r="CB6" s="294"/>
      <c r="CC6" s="294"/>
      <c r="CD6" s="294"/>
      <c r="CE6" s="294"/>
      <c r="CF6" s="294"/>
      <c r="CG6" s="294"/>
      <c r="CH6" s="294"/>
      <c r="CI6" s="294"/>
      <c r="CJ6" s="296"/>
    </row>
    <row r="7" spans="1:88">
      <c r="D7" s="293"/>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294"/>
      <c r="AO7" s="294"/>
      <c r="AP7" s="294"/>
      <c r="AQ7" s="294"/>
      <c r="AR7" s="294"/>
      <c r="AS7" s="294"/>
      <c r="AT7" s="294"/>
      <c r="AU7" s="294"/>
      <c r="AV7" s="294"/>
      <c r="AW7" s="294"/>
      <c r="AX7" s="294"/>
      <c r="AY7" s="294"/>
      <c r="AZ7" s="294"/>
      <c r="BA7" s="294"/>
      <c r="BB7" s="294"/>
      <c r="BC7" s="294"/>
      <c r="BD7" s="294"/>
      <c r="BE7" s="293"/>
    </row>
    <row r="8" spans="1:88">
      <c r="A8" s="4" t="s">
        <v>3</v>
      </c>
      <c r="B8" s="5" t="s">
        <v>4</v>
      </c>
      <c r="C8" s="5"/>
      <c r="D8" s="297"/>
      <c r="E8" s="6">
        <v>36892</v>
      </c>
      <c r="F8" s="6">
        <f>JANWK1+7</f>
        <v>36899</v>
      </c>
      <c r="G8" s="6">
        <f t="shared" ref="G8:AL8" si="0">F8+7</f>
        <v>36906</v>
      </c>
      <c r="H8" s="6">
        <f t="shared" si="0"/>
        <v>36913</v>
      </c>
      <c r="I8" s="6">
        <f t="shared" si="0"/>
        <v>36920</v>
      </c>
      <c r="J8" s="6">
        <f t="shared" si="0"/>
        <v>36927</v>
      </c>
      <c r="K8" s="6">
        <f t="shared" si="0"/>
        <v>36934</v>
      </c>
      <c r="L8" s="6">
        <f t="shared" si="0"/>
        <v>36941</v>
      </c>
      <c r="M8" s="6">
        <f t="shared" si="0"/>
        <v>36948</v>
      </c>
      <c r="N8" s="6">
        <f t="shared" si="0"/>
        <v>36955</v>
      </c>
      <c r="O8" s="6">
        <f t="shared" si="0"/>
        <v>36962</v>
      </c>
      <c r="P8" s="6">
        <f t="shared" si="0"/>
        <v>36969</v>
      </c>
      <c r="Q8" s="6">
        <f t="shared" si="0"/>
        <v>36976</v>
      </c>
      <c r="R8" s="6">
        <f t="shared" si="0"/>
        <v>36983</v>
      </c>
      <c r="S8" s="6">
        <f t="shared" si="0"/>
        <v>36990</v>
      </c>
      <c r="T8" s="6">
        <f t="shared" si="0"/>
        <v>36997</v>
      </c>
      <c r="U8" s="6">
        <f t="shared" si="0"/>
        <v>37004</v>
      </c>
      <c r="V8" s="6">
        <f t="shared" si="0"/>
        <v>37011</v>
      </c>
      <c r="W8" s="6">
        <f t="shared" si="0"/>
        <v>37018</v>
      </c>
      <c r="X8" s="6">
        <f t="shared" si="0"/>
        <v>37025</v>
      </c>
      <c r="Y8" s="6">
        <f t="shared" si="0"/>
        <v>37032</v>
      </c>
      <c r="Z8" s="6">
        <f t="shared" si="0"/>
        <v>37039</v>
      </c>
      <c r="AA8" s="6">
        <f t="shared" si="0"/>
        <v>37046</v>
      </c>
      <c r="AB8" s="6">
        <f t="shared" si="0"/>
        <v>37053</v>
      </c>
      <c r="AC8" s="6">
        <f t="shared" si="0"/>
        <v>37060</v>
      </c>
      <c r="AD8" s="6">
        <f t="shared" si="0"/>
        <v>37067</v>
      </c>
      <c r="AE8" s="6">
        <f t="shared" si="0"/>
        <v>37074</v>
      </c>
      <c r="AF8" s="6">
        <f t="shared" si="0"/>
        <v>37081</v>
      </c>
      <c r="AG8" s="6">
        <f t="shared" si="0"/>
        <v>37088</v>
      </c>
      <c r="AH8" s="6">
        <f t="shared" si="0"/>
        <v>37095</v>
      </c>
      <c r="AI8" s="6">
        <f t="shared" si="0"/>
        <v>37102</v>
      </c>
      <c r="AJ8" s="6">
        <f t="shared" si="0"/>
        <v>37109</v>
      </c>
      <c r="AK8" s="6">
        <f t="shared" si="0"/>
        <v>37116</v>
      </c>
      <c r="AL8" s="6">
        <f t="shared" si="0"/>
        <v>37123</v>
      </c>
      <c r="AM8" s="6">
        <f t="shared" ref="AM8:BD8" si="1">AL8+7</f>
        <v>37130</v>
      </c>
      <c r="AN8" s="6">
        <f t="shared" si="1"/>
        <v>37137</v>
      </c>
      <c r="AO8" s="6">
        <f t="shared" si="1"/>
        <v>37144</v>
      </c>
      <c r="AP8" s="6">
        <f t="shared" si="1"/>
        <v>37151</v>
      </c>
      <c r="AQ8" s="6">
        <f t="shared" si="1"/>
        <v>37158</v>
      </c>
      <c r="AR8" s="6">
        <f t="shared" si="1"/>
        <v>37165</v>
      </c>
      <c r="AS8" s="6">
        <f t="shared" si="1"/>
        <v>37172</v>
      </c>
      <c r="AT8" s="6">
        <f t="shared" si="1"/>
        <v>37179</v>
      </c>
      <c r="AU8" s="6">
        <f t="shared" si="1"/>
        <v>37186</v>
      </c>
      <c r="AV8" s="6">
        <f t="shared" si="1"/>
        <v>37193</v>
      </c>
      <c r="AW8" s="6">
        <f t="shared" si="1"/>
        <v>37200</v>
      </c>
      <c r="AX8" s="6">
        <f t="shared" si="1"/>
        <v>37207</v>
      </c>
      <c r="AY8" s="6">
        <f t="shared" si="1"/>
        <v>37214</v>
      </c>
      <c r="AZ8" s="6">
        <f t="shared" si="1"/>
        <v>37221</v>
      </c>
      <c r="BA8" s="6">
        <f t="shared" si="1"/>
        <v>37228</v>
      </c>
      <c r="BB8" s="6">
        <f t="shared" si="1"/>
        <v>37235</v>
      </c>
      <c r="BC8" s="6">
        <f t="shared" si="1"/>
        <v>37242</v>
      </c>
      <c r="BD8" s="6">
        <f t="shared" si="1"/>
        <v>37249</v>
      </c>
      <c r="BE8" s="293"/>
    </row>
    <row r="9" spans="1:88">
      <c r="D9" s="293"/>
      <c r="E9" s="298" t="s">
        <v>5</v>
      </c>
      <c r="F9" s="298" t="s">
        <v>5</v>
      </c>
      <c r="G9" s="298" t="s">
        <v>5</v>
      </c>
      <c r="H9" s="298" t="s">
        <v>5</v>
      </c>
      <c r="I9" s="298" t="s">
        <v>5</v>
      </c>
      <c r="J9" s="298" t="s">
        <v>5</v>
      </c>
      <c r="K9" s="298" t="s">
        <v>5</v>
      </c>
      <c r="L9" s="298" t="s">
        <v>5</v>
      </c>
      <c r="M9" s="298" t="s">
        <v>5</v>
      </c>
      <c r="N9" s="298" t="s">
        <v>5</v>
      </c>
      <c r="O9" s="298" t="s">
        <v>5</v>
      </c>
      <c r="P9" s="298" t="s">
        <v>5</v>
      </c>
      <c r="Q9" s="298" t="s">
        <v>5</v>
      </c>
      <c r="R9" s="298" t="s">
        <v>5</v>
      </c>
      <c r="S9" s="298" t="s">
        <v>5</v>
      </c>
      <c r="T9" s="298" t="s">
        <v>5</v>
      </c>
      <c r="U9" s="298" t="s">
        <v>5</v>
      </c>
      <c r="V9" s="298" t="s">
        <v>5</v>
      </c>
      <c r="W9" s="298" t="s">
        <v>5</v>
      </c>
      <c r="X9" s="298" t="s">
        <v>5</v>
      </c>
      <c r="Y9" s="298" t="s">
        <v>5</v>
      </c>
      <c r="Z9" s="298" t="s">
        <v>5</v>
      </c>
      <c r="AA9" s="298" t="s">
        <v>5</v>
      </c>
      <c r="AB9" s="298" t="s">
        <v>5</v>
      </c>
      <c r="AC9" s="298" t="s">
        <v>5</v>
      </c>
      <c r="AD9" s="298" t="s">
        <v>5</v>
      </c>
      <c r="AE9" s="298" t="s">
        <v>5</v>
      </c>
      <c r="AF9" s="298" t="s">
        <v>5</v>
      </c>
      <c r="AG9" s="298" t="s">
        <v>5</v>
      </c>
      <c r="AH9" s="298" t="s">
        <v>5</v>
      </c>
      <c r="AI9" s="298" t="s">
        <v>5</v>
      </c>
      <c r="AJ9" s="298" t="s">
        <v>5</v>
      </c>
      <c r="AK9" s="298" t="s">
        <v>5</v>
      </c>
      <c r="AL9" s="298" t="s">
        <v>5</v>
      </c>
      <c r="AM9" s="298" t="s">
        <v>5</v>
      </c>
      <c r="AN9" s="298" t="s">
        <v>5</v>
      </c>
      <c r="AO9" s="298" t="s">
        <v>5</v>
      </c>
      <c r="AP9" s="298" t="s">
        <v>5</v>
      </c>
      <c r="AQ9" s="298" t="s">
        <v>5</v>
      </c>
      <c r="AR9" s="298" t="s">
        <v>5</v>
      </c>
      <c r="AS9" s="298" t="s">
        <v>5</v>
      </c>
      <c r="AT9" s="298" t="s">
        <v>5</v>
      </c>
      <c r="AU9" s="298" t="s">
        <v>5</v>
      </c>
      <c r="AV9" s="298" t="s">
        <v>5</v>
      </c>
      <c r="AW9" s="298" t="s">
        <v>5</v>
      </c>
      <c r="AX9" s="298" t="s">
        <v>5</v>
      </c>
      <c r="AY9" s="298" t="s">
        <v>5</v>
      </c>
      <c r="AZ9" s="298" t="s">
        <v>5</v>
      </c>
      <c r="BA9" s="298" t="s">
        <v>5</v>
      </c>
      <c r="BB9" s="298" t="s">
        <v>5</v>
      </c>
      <c r="BC9" s="298" t="s">
        <v>5</v>
      </c>
      <c r="BD9" s="298" t="s">
        <v>5</v>
      </c>
      <c r="BE9" s="293"/>
    </row>
    <row r="10" spans="1:88">
      <c r="D10" s="293"/>
      <c r="E10" s="298">
        <f>JANWK1+4</f>
        <v>36896</v>
      </c>
      <c r="F10" s="298">
        <f t="shared" ref="F10:AK10" si="2">F8+4</f>
        <v>36903</v>
      </c>
      <c r="G10" s="298">
        <f t="shared" si="2"/>
        <v>36910</v>
      </c>
      <c r="H10" s="298">
        <f t="shared" si="2"/>
        <v>36917</v>
      </c>
      <c r="I10" s="298">
        <f t="shared" si="2"/>
        <v>36924</v>
      </c>
      <c r="J10" s="298">
        <f t="shared" si="2"/>
        <v>36931</v>
      </c>
      <c r="K10" s="298">
        <f t="shared" si="2"/>
        <v>36938</v>
      </c>
      <c r="L10" s="298">
        <f t="shared" si="2"/>
        <v>36945</v>
      </c>
      <c r="M10" s="298">
        <f t="shared" si="2"/>
        <v>36952</v>
      </c>
      <c r="N10" s="298">
        <f t="shared" si="2"/>
        <v>36959</v>
      </c>
      <c r="O10" s="298">
        <f t="shared" si="2"/>
        <v>36966</v>
      </c>
      <c r="P10" s="298">
        <f t="shared" si="2"/>
        <v>36973</v>
      </c>
      <c r="Q10" s="298">
        <f t="shared" si="2"/>
        <v>36980</v>
      </c>
      <c r="R10" s="298">
        <f t="shared" si="2"/>
        <v>36987</v>
      </c>
      <c r="S10" s="298">
        <f t="shared" si="2"/>
        <v>36994</v>
      </c>
      <c r="T10" s="298">
        <f t="shared" si="2"/>
        <v>37001</v>
      </c>
      <c r="U10" s="298">
        <f t="shared" si="2"/>
        <v>37008</v>
      </c>
      <c r="V10" s="298">
        <f t="shared" si="2"/>
        <v>37015</v>
      </c>
      <c r="W10" s="298">
        <f t="shared" si="2"/>
        <v>37022</v>
      </c>
      <c r="X10" s="298">
        <f t="shared" si="2"/>
        <v>37029</v>
      </c>
      <c r="Y10" s="298">
        <f t="shared" si="2"/>
        <v>37036</v>
      </c>
      <c r="Z10" s="298">
        <f t="shared" si="2"/>
        <v>37043</v>
      </c>
      <c r="AA10" s="298">
        <f t="shared" si="2"/>
        <v>37050</v>
      </c>
      <c r="AB10" s="298">
        <f t="shared" si="2"/>
        <v>37057</v>
      </c>
      <c r="AC10" s="298">
        <f t="shared" si="2"/>
        <v>37064</v>
      </c>
      <c r="AD10" s="298">
        <f t="shared" si="2"/>
        <v>37071</v>
      </c>
      <c r="AE10" s="298">
        <f t="shared" si="2"/>
        <v>37078</v>
      </c>
      <c r="AF10" s="298">
        <f t="shared" si="2"/>
        <v>37085</v>
      </c>
      <c r="AG10" s="298">
        <f t="shared" si="2"/>
        <v>37092</v>
      </c>
      <c r="AH10" s="298">
        <f t="shared" si="2"/>
        <v>37099</v>
      </c>
      <c r="AI10" s="298">
        <f t="shared" si="2"/>
        <v>37106</v>
      </c>
      <c r="AJ10" s="298">
        <f t="shared" si="2"/>
        <v>37113</v>
      </c>
      <c r="AK10" s="298">
        <f t="shared" si="2"/>
        <v>37120</v>
      </c>
      <c r="AL10" s="298">
        <f t="shared" ref="AL10:BD10" si="3">AL8+4</f>
        <v>37127</v>
      </c>
      <c r="AM10" s="298">
        <f t="shared" si="3"/>
        <v>37134</v>
      </c>
      <c r="AN10" s="298">
        <f t="shared" si="3"/>
        <v>37141</v>
      </c>
      <c r="AO10" s="298">
        <f t="shared" si="3"/>
        <v>37148</v>
      </c>
      <c r="AP10" s="298">
        <f t="shared" si="3"/>
        <v>37155</v>
      </c>
      <c r="AQ10" s="298">
        <f t="shared" si="3"/>
        <v>37162</v>
      </c>
      <c r="AR10" s="298">
        <f t="shared" si="3"/>
        <v>37169</v>
      </c>
      <c r="AS10" s="298">
        <f t="shared" si="3"/>
        <v>37176</v>
      </c>
      <c r="AT10" s="298">
        <f t="shared" si="3"/>
        <v>37183</v>
      </c>
      <c r="AU10" s="298">
        <f t="shared" si="3"/>
        <v>37190</v>
      </c>
      <c r="AV10" s="298">
        <f t="shared" si="3"/>
        <v>37197</v>
      </c>
      <c r="AW10" s="298">
        <f t="shared" si="3"/>
        <v>37204</v>
      </c>
      <c r="AX10" s="298">
        <f t="shared" si="3"/>
        <v>37211</v>
      </c>
      <c r="AY10" s="298">
        <f t="shared" si="3"/>
        <v>37218</v>
      </c>
      <c r="AZ10" s="298">
        <f t="shared" si="3"/>
        <v>37225</v>
      </c>
      <c r="BA10" s="298">
        <f t="shared" si="3"/>
        <v>37232</v>
      </c>
      <c r="BB10" s="298">
        <f t="shared" si="3"/>
        <v>37239</v>
      </c>
      <c r="BC10" s="298">
        <f t="shared" si="3"/>
        <v>37246</v>
      </c>
      <c r="BD10" s="298">
        <f t="shared" si="3"/>
        <v>37253</v>
      </c>
      <c r="BE10" s="293"/>
    </row>
    <row r="11" spans="1:88" ht="51">
      <c r="C11" s="299" t="s">
        <v>6</v>
      </c>
      <c r="D11" s="293"/>
      <c r="E11" s="294">
        <v>1</v>
      </c>
      <c r="F11" s="294">
        <v>2</v>
      </c>
      <c r="G11" s="294">
        <v>3</v>
      </c>
      <c r="H11" s="294">
        <v>4</v>
      </c>
      <c r="I11" s="294">
        <v>5</v>
      </c>
      <c r="J11" s="294">
        <v>6</v>
      </c>
      <c r="K11" s="294">
        <v>7</v>
      </c>
      <c r="L11" s="294">
        <v>8</v>
      </c>
      <c r="M11" s="294">
        <v>9</v>
      </c>
      <c r="N11" s="294">
        <v>10</v>
      </c>
      <c r="O11" s="294">
        <v>11</v>
      </c>
      <c r="P11" s="294">
        <v>12</v>
      </c>
      <c r="Q11" s="294">
        <v>13</v>
      </c>
      <c r="R11" s="294">
        <v>14</v>
      </c>
      <c r="S11" s="294">
        <v>15</v>
      </c>
      <c r="T11" s="294">
        <v>16</v>
      </c>
      <c r="U11" s="294">
        <v>17</v>
      </c>
      <c r="V11" s="294">
        <v>18</v>
      </c>
      <c r="W11" s="294">
        <v>19</v>
      </c>
      <c r="X11" s="294">
        <v>20</v>
      </c>
      <c r="Y11" s="294">
        <v>21</v>
      </c>
      <c r="Z11" s="294">
        <v>22</v>
      </c>
      <c r="AA11" s="294">
        <v>23</v>
      </c>
      <c r="AB11" s="294">
        <v>24</v>
      </c>
      <c r="AC11" s="294">
        <v>25</v>
      </c>
      <c r="AD11" s="294">
        <v>26</v>
      </c>
      <c r="AE11" s="294">
        <v>27</v>
      </c>
      <c r="AF11" s="294">
        <v>28</v>
      </c>
      <c r="AG11" s="294">
        <v>29</v>
      </c>
      <c r="AH11" s="294">
        <v>30</v>
      </c>
      <c r="AI11" s="294">
        <v>31</v>
      </c>
      <c r="AJ11" s="294">
        <v>32</v>
      </c>
      <c r="AK11" s="294">
        <v>33</v>
      </c>
      <c r="AL11" s="294">
        <v>34</v>
      </c>
      <c r="AM11" s="294">
        <v>35</v>
      </c>
      <c r="AN11" s="294">
        <v>36</v>
      </c>
      <c r="AO11" s="294">
        <v>37</v>
      </c>
      <c r="AP11" s="294">
        <v>38</v>
      </c>
      <c r="AQ11" s="294">
        <v>39</v>
      </c>
      <c r="AR11" s="294">
        <v>40</v>
      </c>
      <c r="AS11" s="294">
        <v>41</v>
      </c>
      <c r="AT11" s="294">
        <v>42</v>
      </c>
      <c r="AU11" s="294">
        <v>43</v>
      </c>
      <c r="AV11" s="294">
        <v>44</v>
      </c>
      <c r="AW11" s="294">
        <v>45</v>
      </c>
      <c r="AX11" s="294">
        <v>46</v>
      </c>
      <c r="AY11" s="294">
        <v>47</v>
      </c>
      <c r="AZ11" s="294">
        <v>48</v>
      </c>
      <c r="BA11" s="294">
        <v>49</v>
      </c>
      <c r="BB11" s="294">
        <v>50</v>
      </c>
      <c r="BC11" s="294">
        <v>51</v>
      </c>
      <c r="BD11" s="294">
        <v>52</v>
      </c>
      <c r="BE11" s="293"/>
      <c r="BF11" s="300" t="s">
        <v>7</v>
      </c>
    </row>
    <row r="12" spans="1:88">
      <c r="A12" s="4" t="s">
        <v>8</v>
      </c>
      <c r="D12" s="293"/>
      <c r="E12" s="301"/>
      <c r="F12" s="301"/>
      <c r="G12" s="301"/>
      <c r="H12" s="301"/>
      <c r="I12" s="301"/>
      <c r="J12" s="301"/>
      <c r="K12" s="301"/>
      <c r="L12" s="301"/>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293"/>
    </row>
    <row r="13" spans="1:88">
      <c r="D13" s="293"/>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293"/>
    </row>
    <row r="14" spans="1:88">
      <c r="A14" s="1" t="s">
        <v>9</v>
      </c>
      <c r="B14" s="1" t="s">
        <v>10</v>
      </c>
      <c r="C14" s="7"/>
      <c r="D14" s="293"/>
      <c r="E14" s="302">
        <v>15</v>
      </c>
      <c r="F14" s="302">
        <v>15</v>
      </c>
      <c r="G14" s="302">
        <v>15</v>
      </c>
      <c r="H14" s="302">
        <v>15</v>
      </c>
      <c r="I14" s="302">
        <v>15</v>
      </c>
      <c r="J14" s="302">
        <v>15</v>
      </c>
      <c r="K14" s="302">
        <v>15</v>
      </c>
      <c r="L14" s="302">
        <v>15</v>
      </c>
      <c r="M14" s="302"/>
      <c r="N14" s="302">
        <v>15</v>
      </c>
      <c r="O14" s="302">
        <v>15</v>
      </c>
      <c r="P14" s="302">
        <v>15</v>
      </c>
      <c r="Q14" s="302">
        <v>20</v>
      </c>
      <c r="R14" s="302">
        <v>40</v>
      </c>
      <c r="S14" s="302">
        <v>30</v>
      </c>
      <c r="T14" s="302"/>
      <c r="U14" s="302">
        <v>35</v>
      </c>
      <c r="V14" s="302">
        <v>25</v>
      </c>
      <c r="W14" s="302">
        <v>50</v>
      </c>
      <c r="X14" s="302">
        <v>30</v>
      </c>
      <c r="Y14" s="302">
        <v>40</v>
      </c>
      <c r="Z14" s="302">
        <v>40</v>
      </c>
      <c r="AA14" s="302">
        <v>30</v>
      </c>
      <c r="AB14" s="302">
        <v>30</v>
      </c>
      <c r="AC14" s="302">
        <v>50</v>
      </c>
      <c r="AD14" s="302">
        <v>30</v>
      </c>
      <c r="AE14" s="302">
        <v>50</v>
      </c>
      <c r="AF14" s="302">
        <v>50</v>
      </c>
      <c r="AG14" s="302">
        <v>50</v>
      </c>
      <c r="AH14" s="302">
        <v>60</v>
      </c>
      <c r="AI14" s="302">
        <v>30</v>
      </c>
      <c r="AJ14" s="302">
        <v>70</v>
      </c>
      <c r="AK14" s="302">
        <v>50</v>
      </c>
      <c r="AL14" s="301">
        <v>20</v>
      </c>
      <c r="AM14" s="302">
        <v>60</v>
      </c>
      <c r="AN14" s="302">
        <v>60</v>
      </c>
      <c r="AO14" s="302">
        <v>50</v>
      </c>
      <c r="AP14" s="302">
        <v>50</v>
      </c>
      <c r="AQ14" s="302">
        <v>60</v>
      </c>
      <c r="AR14" s="302">
        <v>50</v>
      </c>
      <c r="AS14" s="302">
        <v>60</v>
      </c>
      <c r="AT14" s="302">
        <v>80</v>
      </c>
      <c r="AU14" s="302">
        <v>35</v>
      </c>
      <c r="AV14" s="302">
        <v>30</v>
      </c>
      <c r="AW14" s="302">
        <v>80</v>
      </c>
      <c r="AX14" s="302">
        <v>30</v>
      </c>
      <c r="AY14" s="301">
        <v>25</v>
      </c>
      <c r="AZ14" s="302">
        <v>20</v>
      </c>
      <c r="BA14" s="302">
        <v>15</v>
      </c>
      <c r="BB14" s="302">
        <v>10</v>
      </c>
      <c r="BC14" s="302">
        <v>20</v>
      </c>
      <c r="BD14" s="302"/>
      <c r="BE14" s="303"/>
      <c r="BF14" s="8">
        <f t="shared" ref="BF14:BF28" si="4">COUNT(E14:BD14)</f>
        <v>49</v>
      </c>
    </row>
    <row r="15" spans="1:88">
      <c r="A15" s="1" t="s">
        <v>11</v>
      </c>
      <c r="B15" s="1" t="s">
        <v>12</v>
      </c>
      <c r="C15" s="7"/>
      <c r="D15" s="293"/>
      <c r="E15" s="302">
        <v>702</v>
      </c>
      <c r="F15" s="302">
        <v>710</v>
      </c>
      <c r="G15" s="302">
        <v>707</v>
      </c>
      <c r="H15" s="302">
        <v>713</v>
      </c>
      <c r="I15" s="302">
        <v>718</v>
      </c>
      <c r="J15" s="302">
        <v>719</v>
      </c>
      <c r="K15" s="302">
        <v>726</v>
      </c>
      <c r="L15" s="302">
        <v>739</v>
      </c>
      <c r="M15" s="302"/>
      <c r="N15" s="302">
        <v>745</v>
      </c>
      <c r="O15" s="302">
        <v>749</v>
      </c>
      <c r="P15" s="302">
        <v>741</v>
      </c>
      <c r="Q15" s="302">
        <v>728</v>
      </c>
      <c r="R15" s="302">
        <v>720</v>
      </c>
      <c r="S15" s="302">
        <v>707</v>
      </c>
      <c r="T15" s="302"/>
      <c r="U15" s="302">
        <v>739</v>
      </c>
      <c r="V15" s="302">
        <v>563</v>
      </c>
      <c r="W15" s="302">
        <v>574</v>
      </c>
      <c r="X15" s="302">
        <v>587</v>
      </c>
      <c r="Y15" s="302">
        <v>584</v>
      </c>
      <c r="Z15" s="302">
        <v>590</v>
      </c>
      <c r="AA15" s="302">
        <v>599</v>
      </c>
      <c r="AB15" s="302">
        <v>605</v>
      </c>
      <c r="AC15" s="302">
        <v>586</v>
      </c>
      <c r="AD15" s="302">
        <v>576</v>
      </c>
      <c r="AE15" s="302">
        <v>575</v>
      </c>
      <c r="AF15" s="302">
        <v>582</v>
      </c>
      <c r="AG15" s="302">
        <v>564</v>
      </c>
      <c r="AH15" s="302">
        <v>543</v>
      </c>
      <c r="AI15" s="302">
        <v>543</v>
      </c>
      <c r="AJ15" s="302">
        <v>529</v>
      </c>
      <c r="AK15" s="302">
        <v>509</v>
      </c>
      <c r="AL15" s="301">
        <v>523</v>
      </c>
      <c r="AM15" s="302">
        <v>524</v>
      </c>
      <c r="AN15" s="302">
        <v>524</v>
      </c>
      <c r="AO15" s="302">
        <v>530</v>
      </c>
      <c r="AP15" s="302">
        <v>522</v>
      </c>
      <c r="AQ15" s="302">
        <v>519</v>
      </c>
      <c r="AR15" s="302">
        <v>525</v>
      </c>
      <c r="AS15" s="302">
        <v>532</v>
      </c>
      <c r="AT15" s="302">
        <v>539</v>
      </c>
      <c r="AU15" s="302">
        <v>542</v>
      </c>
      <c r="AV15" s="302">
        <v>548</v>
      </c>
      <c r="AW15" s="302">
        <v>547</v>
      </c>
      <c r="AX15" s="302">
        <v>547</v>
      </c>
      <c r="AY15" s="301">
        <v>550</v>
      </c>
      <c r="AZ15" s="302">
        <v>557</v>
      </c>
      <c r="BA15" s="302">
        <v>577</v>
      </c>
      <c r="BB15" s="302">
        <v>598</v>
      </c>
      <c r="BC15" s="302">
        <v>610</v>
      </c>
      <c r="BD15" s="302"/>
      <c r="BE15" s="303"/>
      <c r="BF15" s="8">
        <f t="shared" si="4"/>
        <v>49</v>
      </c>
    </row>
    <row r="16" spans="1:88">
      <c r="A16" s="304" t="s">
        <v>13</v>
      </c>
      <c r="B16" s="304" t="s">
        <v>14</v>
      </c>
      <c r="C16" s="9"/>
      <c r="D16" s="293"/>
      <c r="E16" s="305">
        <v>9.8000000000000007</v>
      </c>
      <c r="F16" s="305">
        <v>8.8000000000000007</v>
      </c>
      <c r="G16" s="305">
        <v>8.1</v>
      </c>
      <c r="H16" s="305">
        <v>7.4</v>
      </c>
      <c r="I16" s="305">
        <v>7.7</v>
      </c>
      <c r="J16" s="305">
        <v>6.7</v>
      </c>
      <c r="K16" s="305">
        <v>6.3</v>
      </c>
      <c r="L16" s="305">
        <v>6.3</v>
      </c>
      <c r="M16" s="305"/>
      <c r="N16" s="305">
        <v>5.9</v>
      </c>
      <c r="O16" s="305">
        <v>3.7</v>
      </c>
      <c r="P16" s="305">
        <v>4.2</v>
      </c>
      <c r="Q16" s="305">
        <v>5.8</v>
      </c>
      <c r="R16" s="305">
        <v>7</v>
      </c>
      <c r="S16" s="305">
        <v>7</v>
      </c>
      <c r="T16" s="305">
        <v>11.2</v>
      </c>
      <c r="U16" s="305">
        <v>8.3000000000000007</v>
      </c>
      <c r="V16" s="305">
        <v>10.3</v>
      </c>
      <c r="W16" s="305">
        <v>9.8000000000000007</v>
      </c>
      <c r="X16" s="305">
        <v>9.1</v>
      </c>
      <c r="Y16" s="305">
        <v>9.3000000000000007</v>
      </c>
      <c r="Z16" s="305">
        <v>8.6999999999999993</v>
      </c>
      <c r="AA16" s="305">
        <v>8.6999999999999993</v>
      </c>
      <c r="AB16" s="305">
        <v>8.9</v>
      </c>
      <c r="AC16" s="305">
        <v>9.1999999999999993</v>
      </c>
      <c r="AD16" s="305">
        <v>9.1</v>
      </c>
      <c r="AE16" s="305">
        <v>8</v>
      </c>
      <c r="AF16" s="305">
        <v>6.5</v>
      </c>
      <c r="AG16" s="305">
        <v>7.8</v>
      </c>
      <c r="AH16" s="305">
        <v>7</v>
      </c>
      <c r="AI16" s="305">
        <v>6.7</v>
      </c>
      <c r="AJ16" s="305">
        <v>7.1</v>
      </c>
      <c r="AK16" s="305">
        <v>6.4</v>
      </c>
      <c r="AL16" s="305">
        <v>7.1</v>
      </c>
      <c r="AM16" s="305">
        <v>8</v>
      </c>
      <c r="AN16" s="305">
        <v>8.6</v>
      </c>
      <c r="AO16" s="305">
        <v>7.9</v>
      </c>
      <c r="AP16" s="305">
        <v>8.9</v>
      </c>
      <c r="AQ16" s="305">
        <v>9.3000000000000007</v>
      </c>
      <c r="AR16" s="305">
        <v>10.199999999999999</v>
      </c>
      <c r="AS16" s="305">
        <v>10.199999999999999</v>
      </c>
      <c r="AT16" s="305">
        <v>10.4</v>
      </c>
      <c r="AU16" s="305">
        <v>11.2</v>
      </c>
      <c r="AV16" s="305">
        <v>11.7</v>
      </c>
      <c r="AW16" s="305">
        <v>11.7</v>
      </c>
      <c r="AX16" s="305">
        <v>11.7</v>
      </c>
      <c r="AY16" s="301">
        <v>12.4</v>
      </c>
      <c r="AZ16" s="305">
        <v>12.4</v>
      </c>
      <c r="BA16" s="305">
        <v>10.4</v>
      </c>
      <c r="BB16" s="305">
        <v>11.4</v>
      </c>
      <c r="BC16" s="305">
        <v>10.5</v>
      </c>
      <c r="BD16" s="305">
        <v>11.3</v>
      </c>
      <c r="BE16" s="306"/>
      <c r="BF16" s="8">
        <f t="shared" si="4"/>
        <v>51</v>
      </c>
    </row>
    <row r="17" spans="1:256">
      <c r="A17" s="307" t="s">
        <v>13</v>
      </c>
      <c r="B17" s="307" t="s">
        <v>15</v>
      </c>
      <c r="C17" s="10" t="s">
        <v>16</v>
      </c>
      <c r="D17" s="308"/>
      <c r="E17" s="309">
        <f t="shared" ref="E17:AJ17" si="5">IF(OR(ISBLANK(E25),ISBLANK(E16)),"uncalcuable",((E16/VLOOKUP(E25,_86TABLE_OXYGEN,2))*100))</f>
        <v>72.646404744255008</v>
      </c>
      <c r="F17" s="309">
        <f t="shared" si="5"/>
        <v>65.088757396449708</v>
      </c>
      <c r="G17" s="309">
        <f t="shared" si="5"/>
        <v>60.538116591928251</v>
      </c>
      <c r="H17" s="309">
        <f t="shared" si="5"/>
        <v>55.639097744360896</v>
      </c>
      <c r="I17" s="309">
        <f t="shared" si="5"/>
        <v>57.419835943325879</v>
      </c>
      <c r="J17" s="309">
        <f t="shared" si="5"/>
        <v>50.224887556221887</v>
      </c>
      <c r="K17" s="309">
        <f t="shared" si="5"/>
        <v>47.619047619047613</v>
      </c>
      <c r="L17" s="309">
        <f t="shared" si="5"/>
        <v>47.2263868065967</v>
      </c>
      <c r="M17" s="309" t="str">
        <f t="shared" si="5"/>
        <v>uncalcuable</v>
      </c>
      <c r="N17" s="309">
        <f t="shared" si="5"/>
        <v>44.461190655614168</v>
      </c>
      <c r="O17" s="309">
        <f t="shared" si="5"/>
        <v>28.201219512195124</v>
      </c>
      <c r="P17" s="309">
        <f t="shared" si="5"/>
        <v>31.578947368421051</v>
      </c>
      <c r="Q17" s="309">
        <f t="shared" si="5"/>
        <v>44.891640866873061</v>
      </c>
      <c r="R17" s="309">
        <f t="shared" si="5"/>
        <v>54.773082942097027</v>
      </c>
      <c r="S17" s="309">
        <f t="shared" si="5"/>
        <v>55.643879173290934</v>
      </c>
      <c r="T17" s="309">
        <f t="shared" si="5"/>
        <v>90.909090909090907</v>
      </c>
      <c r="U17" s="309">
        <f t="shared" si="5"/>
        <v>68.708609271523187</v>
      </c>
      <c r="V17" s="309">
        <f t="shared" si="5"/>
        <v>87.214225232853522</v>
      </c>
      <c r="W17" s="309">
        <f t="shared" si="5"/>
        <v>88.929219600725958</v>
      </c>
      <c r="X17" s="309">
        <f t="shared" si="5"/>
        <v>88.954056695992165</v>
      </c>
      <c r="Y17" s="309">
        <f t="shared" si="5"/>
        <v>87.160262417994389</v>
      </c>
      <c r="Z17" s="309">
        <f t="shared" si="5"/>
        <v>87.967644084934264</v>
      </c>
      <c r="AA17" s="309">
        <f t="shared" si="5"/>
        <v>87.087087087087085</v>
      </c>
      <c r="AB17" s="309">
        <f t="shared" si="5"/>
        <v>92.51559251559253</v>
      </c>
      <c r="AC17" s="309">
        <f t="shared" si="5"/>
        <v>96.033402922755727</v>
      </c>
      <c r="AD17" s="309">
        <f t="shared" si="5"/>
        <v>100.88691796008868</v>
      </c>
      <c r="AE17" s="309">
        <f t="shared" si="5"/>
        <v>86.767895878524939</v>
      </c>
      <c r="AF17" s="309">
        <f t="shared" si="5"/>
        <v>72.869955156950667</v>
      </c>
      <c r="AG17" s="309">
        <f t="shared" si="5"/>
        <v>88.135593220338976</v>
      </c>
      <c r="AH17" s="309">
        <f t="shared" si="5"/>
        <v>80.924855491329467</v>
      </c>
      <c r="AI17" s="309">
        <f t="shared" si="5"/>
        <v>76.13636363636364</v>
      </c>
      <c r="AJ17" s="309">
        <f t="shared" si="5"/>
        <v>83.52941176470587</v>
      </c>
      <c r="AK17" s="309">
        <f t="shared" ref="AK17:BD17" si="6">IF(OR(ISBLANK(AK25),ISBLANK(AK16)),"uncalcuable",((AK16/VLOOKUP(AK25,_86TABLE_OXYGEN,2))*100))</f>
        <v>71.910112359550567</v>
      </c>
      <c r="AL17" s="309">
        <f t="shared" si="6"/>
        <v>79.775280898876403</v>
      </c>
      <c r="AM17" s="309">
        <f t="shared" si="6"/>
        <v>88.300220750551873</v>
      </c>
      <c r="AN17" s="309">
        <f t="shared" si="6"/>
        <v>91.198303287380696</v>
      </c>
      <c r="AO17" s="309">
        <f t="shared" si="6"/>
        <v>80.203045685279193</v>
      </c>
      <c r="AP17" s="309">
        <f t="shared" si="6"/>
        <v>88.645418326693232</v>
      </c>
      <c r="AQ17" s="309">
        <f t="shared" si="6"/>
        <v>89.509143407122238</v>
      </c>
      <c r="AR17" s="309">
        <f t="shared" si="6"/>
        <v>100.79051383399209</v>
      </c>
      <c r="AS17" s="309">
        <f t="shared" si="6"/>
        <v>90.425531914893625</v>
      </c>
      <c r="AT17" s="309">
        <f t="shared" si="6"/>
        <v>84.415584415584419</v>
      </c>
      <c r="AU17" s="309">
        <f t="shared" si="6"/>
        <v>89.743589743589737</v>
      </c>
      <c r="AV17" s="309">
        <f t="shared" si="6"/>
        <v>88.63636363636364</v>
      </c>
      <c r="AW17" s="309">
        <f t="shared" si="6"/>
        <v>89.381207028265848</v>
      </c>
      <c r="AX17" s="309">
        <f t="shared" si="6"/>
        <v>87.24832214765101</v>
      </c>
      <c r="AY17" s="309">
        <f t="shared" si="6"/>
        <v>91.176470588235304</v>
      </c>
      <c r="AZ17" s="309">
        <f t="shared" si="6"/>
        <v>85.93208593208594</v>
      </c>
      <c r="BA17" s="309">
        <f t="shared" si="6"/>
        <v>73.758865248226954</v>
      </c>
      <c r="BB17" s="309">
        <f t="shared" si="6"/>
        <v>81.72043010752688</v>
      </c>
      <c r="BC17" s="309">
        <f t="shared" si="6"/>
        <v>76.586433260393875</v>
      </c>
      <c r="BD17" s="309">
        <f t="shared" si="6"/>
        <v>83.088235294117652</v>
      </c>
      <c r="BE17" s="306"/>
      <c r="BF17" s="8">
        <f t="shared" si="4"/>
        <v>51</v>
      </c>
    </row>
    <row r="18" spans="1:256">
      <c r="A18" s="304" t="s">
        <v>17</v>
      </c>
      <c r="B18" s="304" t="s">
        <v>15</v>
      </c>
      <c r="C18" s="11" t="s">
        <v>16</v>
      </c>
      <c r="D18" s="293"/>
      <c r="E18" s="305">
        <v>99</v>
      </c>
      <c r="F18" s="305">
        <v>89</v>
      </c>
      <c r="G18" s="305"/>
      <c r="H18" s="305">
        <v>61</v>
      </c>
      <c r="I18" s="305">
        <v>57</v>
      </c>
      <c r="J18" s="305">
        <v>53</v>
      </c>
      <c r="K18" s="305">
        <v>49</v>
      </c>
      <c r="L18" s="305">
        <v>45</v>
      </c>
      <c r="M18" s="305"/>
      <c r="N18" s="305">
        <v>35</v>
      </c>
      <c r="O18" s="305">
        <v>27</v>
      </c>
      <c r="P18" s="305">
        <v>39</v>
      </c>
      <c r="Q18" s="305">
        <v>66</v>
      </c>
      <c r="R18" s="305">
        <v>54</v>
      </c>
      <c r="S18" s="305">
        <v>61</v>
      </c>
      <c r="T18" s="305">
        <v>102</v>
      </c>
      <c r="U18" s="305">
        <v>91</v>
      </c>
      <c r="V18" s="305">
        <v>93.5</v>
      </c>
      <c r="W18" s="305">
        <v>88.1</v>
      </c>
      <c r="X18" s="305">
        <v>88.6</v>
      </c>
      <c r="Y18" s="305">
        <v>88</v>
      </c>
      <c r="Z18" s="305">
        <v>87.3</v>
      </c>
      <c r="AA18" s="305">
        <v>88.7</v>
      </c>
      <c r="AB18" s="305">
        <v>84.4</v>
      </c>
      <c r="AC18" s="305">
        <v>94.6</v>
      </c>
      <c r="AD18" s="305">
        <v>102</v>
      </c>
      <c r="AE18" s="305">
        <v>100.5</v>
      </c>
      <c r="AF18" s="305">
        <v>99</v>
      </c>
      <c r="AG18" s="305">
        <v>89.2</v>
      </c>
      <c r="AH18" s="305">
        <v>80.599999999999994</v>
      </c>
      <c r="AI18" s="305">
        <v>69.099999999999994</v>
      </c>
      <c r="AJ18" s="305">
        <v>84.7</v>
      </c>
      <c r="AK18" s="305">
        <v>65</v>
      </c>
      <c r="AL18" s="305">
        <v>77</v>
      </c>
      <c r="AM18" s="305">
        <v>86.1</v>
      </c>
      <c r="AN18" s="305">
        <v>87.8</v>
      </c>
      <c r="AO18" s="305">
        <v>73.8</v>
      </c>
      <c r="AP18" s="305">
        <v>98</v>
      </c>
      <c r="AQ18" s="305">
        <v>97.1</v>
      </c>
      <c r="AR18" s="305">
        <v>111.4</v>
      </c>
      <c r="AS18" s="305">
        <v>97.8</v>
      </c>
      <c r="AT18" s="305">
        <v>97.8</v>
      </c>
      <c r="AU18" s="305">
        <v>94.5</v>
      </c>
      <c r="AV18" s="305">
        <v>88.6</v>
      </c>
      <c r="AW18" s="305">
        <v>80.400000000000006</v>
      </c>
      <c r="AX18" s="305">
        <v>97.4</v>
      </c>
      <c r="AY18" s="301">
        <v>95</v>
      </c>
      <c r="AZ18" s="305">
        <v>98</v>
      </c>
      <c r="BA18" s="305"/>
      <c r="BB18" s="305">
        <v>92</v>
      </c>
      <c r="BC18" s="305">
        <v>81.400000000000006</v>
      </c>
      <c r="BD18" s="305">
        <v>89.8</v>
      </c>
      <c r="BE18" s="306"/>
      <c r="BF18" s="8">
        <f t="shared" si="4"/>
        <v>49</v>
      </c>
    </row>
    <row r="19" spans="1:256">
      <c r="A19" s="310" t="s">
        <v>18</v>
      </c>
      <c r="B19" s="310" t="s">
        <v>19</v>
      </c>
      <c r="C19" s="11" t="s">
        <v>16</v>
      </c>
      <c r="D19" s="293"/>
      <c r="E19" s="302">
        <v>12</v>
      </c>
      <c r="F19" s="302">
        <v>16</v>
      </c>
      <c r="G19" s="302">
        <v>12</v>
      </c>
      <c r="H19" s="302">
        <v>14</v>
      </c>
      <c r="I19" s="302"/>
      <c r="J19" s="302">
        <v>10</v>
      </c>
      <c r="K19" s="302"/>
      <c r="L19" s="302">
        <v>18</v>
      </c>
      <c r="M19" s="302"/>
      <c r="N19" s="302">
        <v>10</v>
      </c>
      <c r="O19" s="302"/>
      <c r="P19" s="302">
        <v>14</v>
      </c>
      <c r="Q19" s="302">
        <v>35</v>
      </c>
      <c r="R19" s="302">
        <v>55</v>
      </c>
      <c r="S19" s="302">
        <v>190</v>
      </c>
      <c r="T19" s="302">
        <v>100</v>
      </c>
      <c r="U19" s="302">
        <v>200</v>
      </c>
      <c r="V19" s="302">
        <v>130</v>
      </c>
      <c r="W19" s="302">
        <v>85</v>
      </c>
      <c r="X19" s="302">
        <v>90</v>
      </c>
      <c r="Y19" s="302">
        <v>80</v>
      </c>
      <c r="Z19" s="302">
        <v>100</v>
      </c>
      <c r="AA19" s="302">
        <v>85</v>
      </c>
      <c r="AB19" s="302">
        <v>150</v>
      </c>
      <c r="AC19" s="302">
        <v>200</v>
      </c>
      <c r="AD19" s="302">
        <v>325</v>
      </c>
      <c r="AE19" s="302">
        <v>166</v>
      </c>
      <c r="AF19" s="302">
        <v>200</v>
      </c>
      <c r="AG19" s="302">
        <v>87</v>
      </c>
      <c r="AH19" s="302">
        <v>93</v>
      </c>
      <c r="AI19" s="302">
        <v>125</v>
      </c>
      <c r="AJ19" s="302">
        <v>95</v>
      </c>
      <c r="AK19" s="302">
        <v>112</v>
      </c>
      <c r="AL19" s="301">
        <v>95</v>
      </c>
      <c r="AM19" s="302">
        <v>150</v>
      </c>
      <c r="AN19" s="302">
        <v>144</v>
      </c>
      <c r="AO19" s="302">
        <v>122</v>
      </c>
      <c r="AP19" s="302">
        <v>80</v>
      </c>
      <c r="AQ19" s="302">
        <v>60</v>
      </c>
      <c r="AR19" s="302">
        <v>80</v>
      </c>
      <c r="AS19" s="302">
        <v>43</v>
      </c>
      <c r="AT19" s="302">
        <v>50</v>
      </c>
      <c r="AU19" s="302">
        <v>30</v>
      </c>
      <c r="AV19" s="302">
        <v>16</v>
      </c>
      <c r="AW19" s="302">
        <v>19</v>
      </c>
      <c r="AX19" s="302">
        <v>22</v>
      </c>
      <c r="AY19" s="301">
        <v>17</v>
      </c>
      <c r="AZ19" s="302">
        <v>27</v>
      </c>
      <c r="BA19" s="302">
        <v>16</v>
      </c>
      <c r="BB19" s="302">
        <v>27</v>
      </c>
      <c r="BC19" s="302">
        <v>30</v>
      </c>
      <c r="BD19" s="302"/>
      <c r="BE19" s="303"/>
      <c r="BF19" s="8">
        <f t="shared" si="4"/>
        <v>47</v>
      </c>
    </row>
    <row r="20" spans="1:256">
      <c r="A20" s="310" t="s">
        <v>20</v>
      </c>
      <c r="B20" s="310" t="s">
        <v>21</v>
      </c>
      <c r="C20" s="12"/>
      <c r="D20" s="303"/>
      <c r="E20" s="311">
        <v>10932</v>
      </c>
      <c r="F20" s="311">
        <v>11262</v>
      </c>
      <c r="G20" s="311">
        <v>8839</v>
      </c>
      <c r="H20" s="311">
        <v>9703</v>
      </c>
      <c r="I20" s="311">
        <v>10059</v>
      </c>
      <c r="J20" s="311"/>
      <c r="K20" s="311"/>
      <c r="L20" s="311">
        <v>13878</v>
      </c>
      <c r="M20" s="311"/>
      <c r="N20" s="311">
        <v>13723.6</v>
      </c>
      <c r="O20" s="311">
        <v>17958</v>
      </c>
      <c r="P20" s="311"/>
      <c r="Q20" s="311">
        <v>48513</v>
      </c>
      <c r="R20" s="311"/>
      <c r="S20" s="311">
        <v>57509</v>
      </c>
      <c r="T20" s="311"/>
      <c r="U20" s="311">
        <v>44213</v>
      </c>
      <c r="V20" s="311">
        <v>41369</v>
      </c>
      <c r="W20" s="311">
        <v>58066</v>
      </c>
      <c r="X20" s="311">
        <v>55021</v>
      </c>
      <c r="Y20" s="311">
        <v>55514</v>
      </c>
      <c r="Z20" s="311">
        <v>58341.66</v>
      </c>
      <c r="AA20" s="311">
        <v>41881.64</v>
      </c>
      <c r="AB20" s="311">
        <v>52029</v>
      </c>
      <c r="AC20" s="311">
        <v>50880</v>
      </c>
      <c r="AD20" s="311">
        <v>55272.06</v>
      </c>
      <c r="AE20" s="311">
        <v>63356</v>
      </c>
      <c r="AF20" s="311">
        <v>34418</v>
      </c>
      <c r="AG20" s="311">
        <v>48895</v>
      </c>
      <c r="AH20" s="312">
        <v>58388</v>
      </c>
      <c r="AI20" s="311">
        <v>68738</v>
      </c>
      <c r="AJ20" s="311">
        <v>54115</v>
      </c>
      <c r="AK20" s="311">
        <v>42652</v>
      </c>
      <c r="AL20" s="311">
        <v>40529</v>
      </c>
      <c r="AM20" s="311">
        <v>33701</v>
      </c>
      <c r="AN20" s="311">
        <v>37629</v>
      </c>
      <c r="AO20" s="311">
        <v>30012</v>
      </c>
      <c r="AP20" s="311">
        <v>50392</v>
      </c>
      <c r="AQ20" s="311">
        <v>39781</v>
      </c>
      <c r="AR20" s="311">
        <v>45469</v>
      </c>
      <c r="AS20" s="311">
        <v>75906</v>
      </c>
      <c r="AT20" s="311"/>
      <c r="AU20" s="311">
        <v>29166</v>
      </c>
      <c r="AV20" s="311">
        <v>40910</v>
      </c>
      <c r="AW20" s="311">
        <v>53712</v>
      </c>
      <c r="AX20" s="311">
        <v>37036</v>
      </c>
      <c r="AY20" s="311">
        <v>29650</v>
      </c>
      <c r="AZ20" s="311"/>
      <c r="BA20" s="311">
        <v>13489</v>
      </c>
      <c r="BB20" s="311">
        <v>14572</v>
      </c>
      <c r="BC20" s="311">
        <v>16550</v>
      </c>
      <c r="BD20" s="311"/>
      <c r="BE20" s="303"/>
      <c r="BF20" s="8">
        <f t="shared" si="4"/>
        <v>43</v>
      </c>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313" t="s">
        <v>22</v>
      </c>
      <c r="B21" s="313" t="s">
        <v>23</v>
      </c>
      <c r="C21" s="13"/>
      <c r="D21" s="293"/>
      <c r="E21" s="314">
        <v>7.99</v>
      </c>
      <c r="F21" s="314">
        <v>7.81</v>
      </c>
      <c r="G21" s="314">
        <v>7.73</v>
      </c>
      <c r="H21" s="314">
        <v>7.85</v>
      </c>
      <c r="I21" s="314">
        <v>7.7</v>
      </c>
      <c r="J21" s="314">
        <v>7.62</v>
      </c>
      <c r="K21" s="314">
        <v>7.71</v>
      </c>
      <c r="L21" s="314">
        <v>7.74</v>
      </c>
      <c r="M21" s="314"/>
      <c r="N21" s="314">
        <v>7.54</v>
      </c>
      <c r="O21" s="314">
        <v>7.49</v>
      </c>
      <c r="P21" s="314">
        <v>7.63</v>
      </c>
      <c r="Q21" s="314">
        <v>7.59</v>
      </c>
      <c r="R21" s="314">
        <v>7.59</v>
      </c>
      <c r="S21" s="314">
        <v>7.56</v>
      </c>
      <c r="T21" s="314">
        <v>7.84</v>
      </c>
      <c r="U21" s="314">
        <v>7.7</v>
      </c>
      <c r="V21" s="314">
        <v>8.08</v>
      </c>
      <c r="W21" s="314">
        <v>8.2100000000000009</v>
      </c>
      <c r="X21" s="314">
        <v>8.24</v>
      </c>
      <c r="Y21" s="314">
        <v>8.2899999999999991</v>
      </c>
      <c r="Z21" s="314">
        <v>8.27</v>
      </c>
      <c r="AA21" s="314">
        <v>8.2899999999999991</v>
      </c>
      <c r="AB21" s="314">
        <v>8.31</v>
      </c>
      <c r="AC21" s="314">
        <v>8.42</v>
      </c>
      <c r="AD21" s="314">
        <v>8.4600000000000009</v>
      </c>
      <c r="AE21" s="314">
        <v>8.43</v>
      </c>
      <c r="AF21" s="314">
        <v>8.11</v>
      </c>
      <c r="AG21" s="314">
        <v>8.41</v>
      </c>
      <c r="AH21" s="314">
        <v>8.23</v>
      </c>
      <c r="AI21" s="314">
        <v>8.3800000000000008</v>
      </c>
      <c r="AJ21" s="314">
        <v>8.5</v>
      </c>
      <c r="AK21" s="314">
        <v>8.58</v>
      </c>
      <c r="AL21" s="301">
        <v>8.42</v>
      </c>
      <c r="AM21" s="314">
        <v>8.5500000000000007</v>
      </c>
      <c r="AN21" s="314">
        <v>8.44</v>
      </c>
      <c r="AO21" s="314">
        <v>8.35</v>
      </c>
      <c r="AP21" s="314">
        <v>8.36</v>
      </c>
      <c r="AQ21" s="314">
        <v>8.4</v>
      </c>
      <c r="AR21" s="314">
        <v>8.61</v>
      </c>
      <c r="AS21" s="314">
        <v>8.5500000000000007</v>
      </c>
      <c r="AT21" s="314">
        <v>8.4499999999999993</v>
      </c>
      <c r="AU21" s="314">
        <v>8.34</v>
      </c>
      <c r="AV21" s="314">
        <v>8.2200000000000006</v>
      </c>
      <c r="AW21" s="314">
        <v>8.1199999999999992</v>
      </c>
      <c r="AX21" s="314">
        <v>8.08</v>
      </c>
      <c r="AY21" s="301">
        <v>8.27</v>
      </c>
      <c r="AZ21" s="314">
        <v>8.2200000000000006</v>
      </c>
      <c r="BA21" s="314">
        <v>7.92</v>
      </c>
      <c r="BB21" s="314">
        <v>8.11</v>
      </c>
      <c r="BC21" s="314">
        <v>8.0299999999999994</v>
      </c>
      <c r="BD21" s="314">
        <v>7.93</v>
      </c>
      <c r="BE21" s="315"/>
      <c r="BF21" s="8">
        <f t="shared" si="4"/>
        <v>51</v>
      </c>
    </row>
    <row r="22" spans="1:256">
      <c r="A22" s="304" t="s">
        <v>24</v>
      </c>
      <c r="B22" s="304" t="s">
        <v>14</v>
      </c>
      <c r="C22" s="14"/>
      <c r="D22" s="293"/>
      <c r="E22" s="305"/>
      <c r="F22" s="305">
        <v>2.4</v>
      </c>
      <c r="G22" s="305">
        <v>2.5</v>
      </c>
      <c r="H22" s="305">
        <v>2.1</v>
      </c>
      <c r="I22" s="305"/>
      <c r="J22" s="305">
        <v>2.5</v>
      </c>
      <c r="K22" s="305"/>
      <c r="L22" s="305">
        <v>2.2000000000000002</v>
      </c>
      <c r="M22" s="305"/>
      <c r="N22" s="305">
        <v>1.9</v>
      </c>
      <c r="O22" s="305"/>
      <c r="P22" s="305">
        <v>2.1</v>
      </c>
      <c r="Q22" s="305">
        <v>4</v>
      </c>
      <c r="R22" s="305"/>
      <c r="S22" s="305">
        <v>9</v>
      </c>
      <c r="T22" s="305"/>
      <c r="U22" s="305">
        <v>8.8000000000000007</v>
      </c>
      <c r="V22" s="305">
        <v>6.2</v>
      </c>
      <c r="W22" s="305">
        <v>19.8</v>
      </c>
      <c r="X22" s="305">
        <v>7.2</v>
      </c>
      <c r="Y22" s="305">
        <v>6</v>
      </c>
      <c r="Z22" s="305">
        <v>9</v>
      </c>
      <c r="AA22" s="305">
        <v>16</v>
      </c>
      <c r="AB22" s="305">
        <v>15.4</v>
      </c>
      <c r="AC22" s="305">
        <v>16.600000000000001</v>
      </c>
      <c r="AD22" s="305">
        <v>10</v>
      </c>
      <c r="AE22" s="305">
        <v>16</v>
      </c>
      <c r="AF22" s="305">
        <v>10.6</v>
      </c>
      <c r="AG22" s="305">
        <v>12.2</v>
      </c>
      <c r="AH22" s="305">
        <v>15.8</v>
      </c>
      <c r="AI22" s="305">
        <v>18.2</v>
      </c>
      <c r="AJ22" s="305">
        <v>14.8</v>
      </c>
      <c r="AK22" s="305">
        <v>11</v>
      </c>
      <c r="AL22" s="305">
        <v>13</v>
      </c>
      <c r="AM22" s="305">
        <v>13.4</v>
      </c>
      <c r="AN22" s="305">
        <v>16.399999999999999</v>
      </c>
      <c r="AO22" s="305">
        <v>12.8</v>
      </c>
      <c r="AP22" s="305">
        <v>12.6</v>
      </c>
      <c r="AQ22" s="305">
        <v>16.8</v>
      </c>
      <c r="AR22" s="305">
        <v>19.399999999999999</v>
      </c>
      <c r="AS22" s="305">
        <v>19.2</v>
      </c>
      <c r="AT22" s="305">
        <v>45.6</v>
      </c>
      <c r="AU22" s="305">
        <v>12.2</v>
      </c>
      <c r="AV22" s="305">
        <v>14.2</v>
      </c>
      <c r="AW22" s="305">
        <v>16.600000000000001</v>
      </c>
      <c r="AX22" s="305">
        <v>11.6</v>
      </c>
      <c r="AY22" s="301">
        <v>10.199999999999999</v>
      </c>
      <c r="AZ22" s="305">
        <v>5.2</v>
      </c>
      <c r="BA22" s="305">
        <v>4.8</v>
      </c>
      <c r="BB22" s="305">
        <v>2.8</v>
      </c>
      <c r="BC22" s="305">
        <v>4.5999999999999996</v>
      </c>
      <c r="BD22" s="305"/>
      <c r="BE22" s="306"/>
      <c r="BF22" s="8">
        <f t="shared" si="4"/>
        <v>44</v>
      </c>
    </row>
    <row r="23" spans="1:256">
      <c r="A23" s="1" t="s">
        <v>25</v>
      </c>
      <c r="B23" s="304" t="s">
        <v>14</v>
      </c>
      <c r="C23" s="14"/>
      <c r="D23" s="293"/>
      <c r="E23" s="305"/>
      <c r="F23" s="305">
        <v>1.2</v>
      </c>
      <c r="G23" s="305">
        <v>1.2</v>
      </c>
      <c r="H23" s="305">
        <v>0.8</v>
      </c>
      <c r="I23" s="305"/>
      <c r="J23" s="305">
        <v>0.9</v>
      </c>
      <c r="K23" s="305"/>
      <c r="L23" s="305">
        <v>0.9</v>
      </c>
      <c r="M23" s="305"/>
      <c r="N23" s="305">
        <v>0.7</v>
      </c>
      <c r="O23" s="305"/>
      <c r="P23" s="305">
        <v>1.3</v>
      </c>
      <c r="Q23" s="305">
        <v>2.4</v>
      </c>
      <c r="R23" s="305"/>
      <c r="S23" s="305">
        <v>4.8</v>
      </c>
      <c r="T23" s="305"/>
      <c r="U23" s="305">
        <v>5.4</v>
      </c>
      <c r="V23" s="305">
        <v>3.2</v>
      </c>
      <c r="W23" s="305">
        <v>5.3</v>
      </c>
      <c r="X23" s="305">
        <v>3.3</v>
      </c>
      <c r="Y23" s="305">
        <v>2</v>
      </c>
      <c r="Z23" s="305">
        <v>3</v>
      </c>
      <c r="AA23" s="305">
        <v>4.5999999999999996</v>
      </c>
      <c r="AB23" s="305">
        <v>5.4</v>
      </c>
      <c r="AC23" s="305">
        <v>7.2</v>
      </c>
      <c r="AD23" s="305">
        <v>6.6</v>
      </c>
      <c r="AE23" s="305">
        <v>3.6</v>
      </c>
      <c r="AF23" s="305">
        <v>5</v>
      </c>
      <c r="AG23" s="305">
        <v>5.6</v>
      </c>
      <c r="AH23" s="305">
        <v>6.5</v>
      </c>
      <c r="AI23" s="305">
        <v>8.1999999999999993</v>
      </c>
      <c r="AJ23" s="305">
        <v>8.1999999999999993</v>
      </c>
      <c r="AK23" s="305">
        <v>6.8</v>
      </c>
      <c r="AL23" s="305">
        <v>8.6</v>
      </c>
      <c r="AM23" s="305">
        <v>9.8000000000000007</v>
      </c>
      <c r="AN23" s="305">
        <v>12.4</v>
      </c>
      <c r="AO23" s="305">
        <v>9.4</v>
      </c>
      <c r="AP23" s="305">
        <v>9.4</v>
      </c>
      <c r="AQ23" s="305">
        <v>11.4</v>
      </c>
      <c r="AR23" s="305">
        <v>15.2</v>
      </c>
      <c r="AS23" s="305">
        <v>13.4</v>
      </c>
      <c r="AT23" s="305">
        <v>20.8</v>
      </c>
      <c r="AU23" s="305">
        <v>6.8</v>
      </c>
      <c r="AV23" s="305">
        <v>2.4</v>
      </c>
      <c r="AW23" s="305">
        <v>3</v>
      </c>
      <c r="AX23" s="305">
        <v>2.8</v>
      </c>
      <c r="AY23" s="301">
        <v>2.4</v>
      </c>
      <c r="AZ23" s="305">
        <v>1.6</v>
      </c>
      <c r="BA23" s="305">
        <v>2.2999999999999998</v>
      </c>
      <c r="BB23" s="305">
        <v>1.6</v>
      </c>
      <c r="BC23" s="305">
        <v>2.2999999999999998</v>
      </c>
      <c r="BD23" s="305"/>
      <c r="BE23" s="306"/>
      <c r="BF23" s="8">
        <f t="shared" si="4"/>
        <v>44</v>
      </c>
    </row>
    <row r="24" spans="1:256">
      <c r="A24" s="1" t="s">
        <v>26</v>
      </c>
      <c r="B24" s="304" t="s">
        <v>14</v>
      </c>
      <c r="C24" s="14"/>
      <c r="D24" s="293"/>
      <c r="E24" s="305"/>
      <c r="F24" s="305">
        <v>1.2</v>
      </c>
      <c r="G24" s="305">
        <v>1.3</v>
      </c>
      <c r="H24" s="305">
        <v>1.3</v>
      </c>
      <c r="I24" s="305"/>
      <c r="J24" s="305">
        <v>1.6</v>
      </c>
      <c r="K24" s="305"/>
      <c r="L24" s="305">
        <v>1.3</v>
      </c>
      <c r="M24" s="305"/>
      <c r="N24" s="305">
        <v>1.2</v>
      </c>
      <c r="O24" s="305"/>
      <c r="P24" s="305">
        <v>0.8</v>
      </c>
      <c r="Q24" s="305">
        <v>1.6</v>
      </c>
      <c r="R24" s="305"/>
      <c r="S24" s="305">
        <v>4.2</v>
      </c>
      <c r="T24" s="305"/>
      <c r="U24" s="305">
        <v>3.4</v>
      </c>
      <c r="V24" s="305">
        <v>3</v>
      </c>
      <c r="W24" s="305">
        <v>14.5</v>
      </c>
      <c r="X24" s="305">
        <v>3.9</v>
      </c>
      <c r="Y24" s="305">
        <v>4</v>
      </c>
      <c r="Z24" s="305">
        <v>6</v>
      </c>
      <c r="AA24" s="305">
        <v>11.4</v>
      </c>
      <c r="AB24" s="305">
        <v>10</v>
      </c>
      <c r="AC24" s="305">
        <v>9.4</v>
      </c>
      <c r="AD24" s="305">
        <v>3.4</v>
      </c>
      <c r="AE24" s="305">
        <v>8.8000000000000007</v>
      </c>
      <c r="AF24" s="305">
        <v>5.6</v>
      </c>
      <c r="AG24" s="305">
        <v>6.6</v>
      </c>
      <c r="AH24" s="305">
        <v>9.3000000000000007</v>
      </c>
      <c r="AI24" s="305">
        <v>10</v>
      </c>
      <c r="AJ24" s="305">
        <v>6.6</v>
      </c>
      <c r="AK24" s="305">
        <v>4.2</v>
      </c>
      <c r="AL24" s="305">
        <v>4.4000000000000004</v>
      </c>
      <c r="AM24" s="305">
        <v>3.6</v>
      </c>
      <c r="AN24" s="305">
        <v>4</v>
      </c>
      <c r="AO24" s="305">
        <v>3.4</v>
      </c>
      <c r="AP24" s="305">
        <v>3.2</v>
      </c>
      <c r="AQ24" s="305">
        <v>5.4</v>
      </c>
      <c r="AR24" s="305">
        <v>4.2</v>
      </c>
      <c r="AS24" s="305">
        <v>5.8</v>
      </c>
      <c r="AT24" s="305">
        <v>24.8</v>
      </c>
      <c r="AU24" s="305">
        <v>5.4</v>
      </c>
      <c r="AV24" s="305">
        <v>11.8</v>
      </c>
      <c r="AW24" s="305">
        <v>13.6</v>
      </c>
      <c r="AX24" s="305">
        <v>8.8000000000000007</v>
      </c>
      <c r="AY24" s="301">
        <v>7.8</v>
      </c>
      <c r="AZ24" s="305">
        <v>3.6</v>
      </c>
      <c r="BA24" s="305">
        <v>2.5</v>
      </c>
      <c r="BB24" s="305">
        <v>1.2</v>
      </c>
      <c r="BC24" s="305">
        <v>2.2999999999999998</v>
      </c>
      <c r="BD24" s="305"/>
      <c r="BE24" s="306"/>
      <c r="BF24" s="8">
        <f t="shared" si="4"/>
        <v>44</v>
      </c>
    </row>
    <row r="25" spans="1:256">
      <c r="A25" s="1" t="s">
        <v>27</v>
      </c>
      <c r="B25" s="316" t="s">
        <v>28</v>
      </c>
      <c r="C25" s="15"/>
      <c r="D25" s="293"/>
      <c r="E25" s="305">
        <v>2.9</v>
      </c>
      <c r="F25" s="305">
        <v>2.8</v>
      </c>
      <c r="G25" s="305">
        <v>3.2</v>
      </c>
      <c r="H25" s="305">
        <v>3.4</v>
      </c>
      <c r="I25" s="305">
        <v>3.1</v>
      </c>
      <c r="J25" s="305">
        <v>3.3</v>
      </c>
      <c r="K25" s="305">
        <v>3.6</v>
      </c>
      <c r="L25" s="305">
        <v>3.3</v>
      </c>
      <c r="M25" s="305"/>
      <c r="N25" s="305">
        <v>3.5</v>
      </c>
      <c r="O25" s="305">
        <v>3.9</v>
      </c>
      <c r="P25" s="305">
        <v>3.4</v>
      </c>
      <c r="Q25" s="305">
        <v>4.5</v>
      </c>
      <c r="R25" s="305">
        <v>4.9000000000000004</v>
      </c>
      <c r="S25" s="305">
        <v>5.5</v>
      </c>
      <c r="T25" s="305">
        <v>6.3</v>
      </c>
      <c r="U25" s="305">
        <v>7.1</v>
      </c>
      <c r="V25" s="305">
        <v>8</v>
      </c>
      <c r="W25" s="305">
        <v>10.9</v>
      </c>
      <c r="X25" s="305">
        <v>14.2</v>
      </c>
      <c r="Y25" s="305">
        <v>12.3</v>
      </c>
      <c r="Z25" s="305">
        <v>15.8</v>
      </c>
      <c r="AA25" s="305">
        <v>15.3</v>
      </c>
      <c r="AB25" s="305">
        <v>17.100000000000001</v>
      </c>
      <c r="AC25" s="305">
        <v>17.3</v>
      </c>
      <c r="AD25" s="305">
        <v>20.3</v>
      </c>
      <c r="AE25" s="305">
        <v>19.2</v>
      </c>
      <c r="AF25" s="305">
        <v>20.9</v>
      </c>
      <c r="AG25" s="305">
        <v>21.3</v>
      </c>
      <c r="AH25" s="305">
        <v>22.5</v>
      </c>
      <c r="AI25" s="305">
        <v>21.6</v>
      </c>
      <c r="AJ25" s="305">
        <v>23.4</v>
      </c>
      <c r="AK25" s="305">
        <v>21</v>
      </c>
      <c r="AL25" s="301">
        <v>21</v>
      </c>
      <c r="AM25" s="305">
        <v>20.100000000000001</v>
      </c>
      <c r="AN25" s="305">
        <v>18.100000000000001</v>
      </c>
      <c r="AO25" s="305">
        <v>16</v>
      </c>
      <c r="AP25" s="305">
        <v>15.1</v>
      </c>
      <c r="AQ25" s="305">
        <v>13.5</v>
      </c>
      <c r="AR25" s="305">
        <v>14.7</v>
      </c>
      <c r="AS25" s="305">
        <v>9.9</v>
      </c>
      <c r="AT25" s="305">
        <v>6.3</v>
      </c>
      <c r="AU25" s="305">
        <v>5.8</v>
      </c>
      <c r="AV25" s="305">
        <v>3.7</v>
      </c>
      <c r="AW25" s="305">
        <v>4</v>
      </c>
      <c r="AX25" s="305">
        <v>3.1</v>
      </c>
      <c r="AY25" s="301">
        <v>2.6</v>
      </c>
      <c r="AZ25" s="305">
        <v>0.5</v>
      </c>
      <c r="BA25" s="305">
        <v>1.3</v>
      </c>
      <c r="BB25" s="305">
        <v>1.7</v>
      </c>
      <c r="BC25" s="305">
        <v>2.2999999999999998</v>
      </c>
      <c r="BD25" s="305">
        <v>2.6</v>
      </c>
      <c r="BE25" s="306"/>
      <c r="BF25" s="8">
        <f t="shared" si="4"/>
        <v>51</v>
      </c>
    </row>
    <row r="26" spans="1:256">
      <c r="A26" s="313" t="s">
        <v>29</v>
      </c>
      <c r="B26" s="313" t="s">
        <v>30</v>
      </c>
      <c r="C26" s="13"/>
      <c r="D26" s="293"/>
      <c r="E26" s="314">
        <v>2.37</v>
      </c>
      <c r="F26" s="314">
        <v>2.36</v>
      </c>
      <c r="G26" s="314">
        <v>2.04</v>
      </c>
      <c r="H26" s="314">
        <v>1.88</v>
      </c>
      <c r="I26" s="314">
        <v>2.0099999999999998</v>
      </c>
      <c r="J26" s="314">
        <v>2.27</v>
      </c>
      <c r="K26" s="314">
        <v>1.97</v>
      </c>
      <c r="L26" s="314">
        <v>2.21</v>
      </c>
      <c r="M26" s="314"/>
      <c r="N26" s="314">
        <v>2</v>
      </c>
      <c r="O26" s="314">
        <v>2.0699999999999998</v>
      </c>
      <c r="P26" s="314">
        <v>1.69</v>
      </c>
      <c r="Q26" s="314">
        <v>2.37</v>
      </c>
      <c r="R26" s="314">
        <v>4.0999999999999996</v>
      </c>
      <c r="S26" s="314">
        <v>3.9</v>
      </c>
      <c r="T26" s="314">
        <v>4.72</v>
      </c>
      <c r="U26" s="314">
        <v>5.59</v>
      </c>
      <c r="V26" s="314">
        <v>5.5</v>
      </c>
      <c r="W26" s="314">
        <v>13.4</v>
      </c>
      <c r="X26" s="314">
        <v>4.7</v>
      </c>
      <c r="Y26" s="314">
        <v>9.75</v>
      </c>
      <c r="Z26" s="314">
        <v>5.54</v>
      </c>
      <c r="AA26" s="314">
        <v>10.1</v>
      </c>
      <c r="AB26" s="314">
        <v>10.9</v>
      </c>
      <c r="AC26" s="314">
        <v>15.7</v>
      </c>
      <c r="AD26" s="314">
        <v>13.3</v>
      </c>
      <c r="AE26" s="314">
        <v>9.2799999999999994</v>
      </c>
      <c r="AF26" s="314">
        <v>8.85</v>
      </c>
      <c r="AG26" s="314">
        <v>8.31</v>
      </c>
      <c r="AH26" s="314">
        <v>13.3</v>
      </c>
      <c r="AI26" s="314">
        <v>14.3</v>
      </c>
      <c r="AJ26" s="314">
        <v>12.3</v>
      </c>
      <c r="AK26" s="314">
        <v>10.3</v>
      </c>
      <c r="AL26" s="314">
        <v>7.07</v>
      </c>
      <c r="AM26" s="314">
        <v>15.4</v>
      </c>
      <c r="AN26" s="314">
        <v>16</v>
      </c>
      <c r="AO26" s="314">
        <v>6.2</v>
      </c>
      <c r="AP26" s="314">
        <v>5.25</v>
      </c>
      <c r="AQ26" s="314">
        <v>7.9</v>
      </c>
      <c r="AR26" s="314">
        <v>8.2100000000000009</v>
      </c>
      <c r="AS26" s="314">
        <v>9.58</v>
      </c>
      <c r="AT26" s="314">
        <v>19.100000000000001</v>
      </c>
      <c r="AU26" s="314">
        <v>5.95</v>
      </c>
      <c r="AV26" s="314">
        <v>6.04</v>
      </c>
      <c r="AW26" s="314">
        <v>19.2</v>
      </c>
      <c r="AX26" s="314">
        <v>8.1999999999999993</v>
      </c>
      <c r="AY26" s="301">
        <v>6.1</v>
      </c>
      <c r="AZ26" s="314">
        <v>3.19</v>
      </c>
      <c r="BA26" s="314">
        <v>3.23</v>
      </c>
      <c r="BB26" s="314">
        <v>1.84</v>
      </c>
      <c r="BC26" s="314">
        <v>2.87</v>
      </c>
      <c r="BD26" s="314">
        <v>5.16</v>
      </c>
      <c r="BE26" s="315"/>
      <c r="BF26" s="8">
        <f t="shared" si="4"/>
        <v>51</v>
      </c>
    </row>
    <row r="27" spans="1:256">
      <c r="A27" s="317" t="s">
        <v>31</v>
      </c>
      <c r="B27" s="318" t="s">
        <v>32</v>
      </c>
      <c r="C27" s="16"/>
      <c r="D27" s="308"/>
      <c r="E27" s="309" t="str">
        <f t="shared" ref="E27:AJ27" si="7">IF(AND(AND(AND(AND(AND(AND(AND(E34&gt;0,E36&gt;0),E37&gt;0),E39&gt;0),E40&gt;0),E41&gt;0),E42&gt;0),E66&gt;0),(E34+E35+E36+E37+E39+E40+E41+E42+E66),"uncalcuable")</f>
        <v>uncalcuable</v>
      </c>
      <c r="F27" s="309">
        <f t="shared" si="7"/>
        <v>566.19999999999993</v>
      </c>
      <c r="G27" s="309">
        <f t="shared" si="7"/>
        <v>567.59999999999991</v>
      </c>
      <c r="H27" s="309">
        <f t="shared" si="7"/>
        <v>568.13</v>
      </c>
      <c r="I27" s="309">
        <f t="shared" si="7"/>
        <v>577.1400000000001</v>
      </c>
      <c r="J27" s="309">
        <f t="shared" si="7"/>
        <v>577.04</v>
      </c>
      <c r="K27" s="309" t="str">
        <f t="shared" si="7"/>
        <v>uncalcuable</v>
      </c>
      <c r="L27" s="309">
        <f t="shared" si="7"/>
        <v>584.9899999999999</v>
      </c>
      <c r="M27" s="309" t="str">
        <f t="shared" si="7"/>
        <v>uncalcuable</v>
      </c>
      <c r="N27" s="309">
        <f t="shared" si="7"/>
        <v>597.80000000000007</v>
      </c>
      <c r="O27" s="309">
        <f t="shared" si="7"/>
        <v>601.25</v>
      </c>
      <c r="P27" s="309">
        <f t="shared" si="7"/>
        <v>594.09</v>
      </c>
      <c r="Q27" s="309">
        <f t="shared" si="7"/>
        <v>590.56999999999994</v>
      </c>
      <c r="R27" s="309">
        <f t="shared" si="7"/>
        <v>576.36</v>
      </c>
      <c r="S27" s="309">
        <f t="shared" si="7"/>
        <v>570.98</v>
      </c>
      <c r="T27" s="309">
        <f t="shared" si="7"/>
        <v>568.4</v>
      </c>
      <c r="U27" s="309">
        <f t="shared" si="7"/>
        <v>597.36</v>
      </c>
      <c r="V27" s="309">
        <f t="shared" si="7"/>
        <v>446.28</v>
      </c>
      <c r="W27" s="309">
        <f t="shared" si="7"/>
        <v>449.7</v>
      </c>
      <c r="X27" s="309">
        <f t="shared" si="7"/>
        <v>463.84000000000003</v>
      </c>
      <c r="Y27" s="309">
        <f t="shared" si="7"/>
        <v>467.86</v>
      </c>
      <c r="Z27" s="309">
        <f t="shared" si="7"/>
        <v>476.64</v>
      </c>
      <c r="AA27" s="309">
        <f t="shared" si="7"/>
        <v>480.90000000000003</v>
      </c>
      <c r="AB27" s="309">
        <f t="shared" si="7"/>
        <v>483.32000000000005</v>
      </c>
      <c r="AC27" s="309">
        <f t="shared" si="7"/>
        <v>467.84000000000003</v>
      </c>
      <c r="AD27" s="309">
        <f t="shared" si="7"/>
        <v>455.44000000000005</v>
      </c>
      <c r="AE27" s="309" t="str">
        <f t="shared" si="7"/>
        <v>uncalcuable</v>
      </c>
      <c r="AF27" s="309">
        <f t="shared" si="7"/>
        <v>454.59</v>
      </c>
      <c r="AG27" s="309">
        <f t="shared" si="7"/>
        <v>451.9</v>
      </c>
      <c r="AH27" s="309">
        <f t="shared" si="7"/>
        <v>408.69</v>
      </c>
      <c r="AI27" s="309">
        <f t="shared" si="7"/>
        <v>423.56</v>
      </c>
      <c r="AJ27" s="309">
        <f t="shared" si="7"/>
        <v>407.2</v>
      </c>
      <c r="AK27" s="309">
        <f t="shared" ref="AK27:BD27" si="8">IF(AND(AND(AND(AND(AND(AND(AND(AK34&gt;0,AK36&gt;0),AK37&gt;0),AK39&gt;0),AK40&gt;0),AK41&gt;0),AK42&gt;0),AK66&gt;0),(AK34+AK35+AK36+AK37+AK39+AK40+AK41+AK42+AK66),"uncalcuable")</f>
        <v>405.95</v>
      </c>
      <c r="AL27" s="309">
        <f t="shared" si="8"/>
        <v>411.1</v>
      </c>
      <c r="AM27" s="309">
        <f t="shared" si="8"/>
        <v>411.46000000000004</v>
      </c>
      <c r="AN27" s="309">
        <f t="shared" si="8"/>
        <v>412.03999999999996</v>
      </c>
      <c r="AO27" s="309">
        <f t="shared" si="8"/>
        <v>417.52</v>
      </c>
      <c r="AP27" s="309">
        <f t="shared" si="8"/>
        <v>409.49</v>
      </c>
      <c r="AQ27" s="309">
        <f t="shared" si="8"/>
        <v>411.42</v>
      </c>
      <c r="AR27" s="309">
        <f t="shared" si="8"/>
        <v>413.00000000000006</v>
      </c>
      <c r="AS27" s="309">
        <f t="shared" si="8"/>
        <v>412.09</v>
      </c>
      <c r="AT27" s="309">
        <f t="shared" si="8"/>
        <v>427.2</v>
      </c>
      <c r="AU27" s="309">
        <f t="shared" si="8"/>
        <v>428.73</v>
      </c>
      <c r="AV27" s="309">
        <f t="shared" si="8"/>
        <v>426.71999999999997</v>
      </c>
      <c r="AW27" s="309">
        <f t="shared" si="8"/>
        <v>433.91</v>
      </c>
      <c r="AX27" s="309">
        <f t="shared" si="8"/>
        <v>431</v>
      </c>
      <c r="AY27" s="309">
        <f t="shared" si="8"/>
        <v>438</v>
      </c>
      <c r="AZ27" s="309">
        <f t="shared" si="8"/>
        <v>437.65</v>
      </c>
      <c r="BA27" s="309">
        <f t="shared" si="8"/>
        <v>459.14</v>
      </c>
      <c r="BB27" s="309">
        <f t="shared" si="8"/>
        <v>472.02</v>
      </c>
      <c r="BC27" s="309">
        <f t="shared" si="8"/>
        <v>482.32</v>
      </c>
      <c r="BD27" s="309" t="str">
        <f t="shared" si="8"/>
        <v>uncalcuable</v>
      </c>
      <c r="BE27" s="303"/>
      <c r="BF27" s="8">
        <f t="shared" si="4"/>
        <v>47</v>
      </c>
    </row>
    <row r="28" spans="1:256">
      <c r="A28" s="319" t="s">
        <v>33</v>
      </c>
      <c r="B28" s="319" t="s">
        <v>34</v>
      </c>
      <c r="C28" s="17" t="s">
        <v>16</v>
      </c>
      <c r="D28" s="320"/>
      <c r="E28" s="321"/>
      <c r="F28" s="322">
        <v>0.15842073866836603</v>
      </c>
      <c r="G28" s="322">
        <v>8.4963242027403574E-2</v>
      </c>
      <c r="H28" s="322">
        <v>0.2125312058646065</v>
      </c>
      <c r="I28" s="322">
        <v>7.4195308619490419E-2</v>
      </c>
      <c r="J28" s="322">
        <v>-1.3592106381832281E-2</v>
      </c>
      <c r="K28" s="321"/>
      <c r="L28" s="322">
        <v>0.12939129088237511</v>
      </c>
      <c r="M28" s="321"/>
      <c r="N28" s="322">
        <v>-4.3679842030972971E-2</v>
      </c>
      <c r="O28" s="322">
        <v>-8.5499826070019935E-2</v>
      </c>
      <c r="P28" s="322">
        <v>4.3214679123386723E-2</v>
      </c>
      <c r="Q28" s="322">
        <v>2.4264291411333794E-2</v>
      </c>
      <c r="R28" s="322">
        <v>1.2274954367734736E-2</v>
      </c>
      <c r="S28" s="322">
        <v>-1.8374388904196515E-2</v>
      </c>
      <c r="T28" s="322">
        <v>0.25987396963571197</v>
      </c>
      <c r="U28" s="322">
        <v>0.18194099338735104</v>
      </c>
      <c r="V28" s="322">
        <v>0.36575024790642718</v>
      </c>
      <c r="W28" s="322">
        <v>0.53313926887217633</v>
      </c>
      <c r="X28" s="322">
        <v>0.64092382588232244</v>
      </c>
      <c r="Y28" s="322">
        <v>0.67436294153977272</v>
      </c>
      <c r="Z28" s="322">
        <v>0.71857795892173382</v>
      </c>
      <c r="AA28" s="322">
        <v>0.74878447950241878</v>
      </c>
      <c r="AB28" s="322">
        <v>0.78726780713755318</v>
      </c>
      <c r="AC28" s="322">
        <v>0.85826229389383446</v>
      </c>
      <c r="AD28" s="322">
        <v>0.89719478402400199</v>
      </c>
      <c r="AE28" s="322"/>
      <c r="AF28" s="322">
        <v>0.55057136410152374</v>
      </c>
      <c r="AG28" s="322">
        <v>0.88277722542068116</v>
      </c>
      <c r="AH28" s="322">
        <v>0.60672469601574441</v>
      </c>
      <c r="AI28" s="322">
        <v>0.76884385715193204</v>
      </c>
      <c r="AJ28" s="322">
        <v>0.88610757994363532</v>
      </c>
      <c r="AK28" s="322">
        <v>0.9796077944783681</v>
      </c>
      <c r="AL28" s="322">
        <v>0.78318889903959299</v>
      </c>
      <c r="AM28" s="322">
        <v>0.89586109915321366</v>
      </c>
      <c r="AN28" s="322">
        <v>0.76069714451326398</v>
      </c>
      <c r="AO28" s="322">
        <v>0.64126784243560842</v>
      </c>
      <c r="AP28" s="322">
        <v>0.63944902992565922</v>
      </c>
      <c r="AQ28" s="322">
        <v>0.67936208355202243</v>
      </c>
      <c r="AR28" s="322">
        <v>0.91021703606094917</v>
      </c>
      <c r="AS28" s="322">
        <v>0.80380832934364399</v>
      </c>
      <c r="AT28" s="322">
        <v>0.65089954007971595</v>
      </c>
      <c r="AU28" s="322">
        <v>0.5508329413695785</v>
      </c>
      <c r="AV28" s="322">
        <v>0.38706958165391381</v>
      </c>
      <c r="AW28" s="322">
        <v>0.30799983040656542</v>
      </c>
      <c r="AX28" s="322">
        <v>0.26234992368499732</v>
      </c>
      <c r="AY28" s="322">
        <v>0.44151968900619831</v>
      </c>
      <c r="AZ28" s="322">
        <v>0.37573451924063406</v>
      </c>
      <c r="BA28" s="322">
        <v>0.11209621540813153</v>
      </c>
      <c r="BB28" s="322">
        <v>0.34383218914340219</v>
      </c>
      <c r="BC28" s="322">
        <v>0.28191634129333032</v>
      </c>
      <c r="BD28" s="321"/>
      <c r="BE28" s="293"/>
      <c r="BF28" s="8">
        <f t="shared" si="4"/>
        <v>47</v>
      </c>
    </row>
    <row r="29" spans="1:256">
      <c r="C29" s="7"/>
      <c r="D29" s="293"/>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c r="AY29" s="301"/>
      <c r="AZ29" s="301"/>
      <c r="BA29" s="301"/>
      <c r="BB29" s="301"/>
      <c r="BC29" s="301"/>
      <c r="BD29" s="301"/>
      <c r="BE29" s="293"/>
    </row>
    <row r="30" spans="1:256">
      <c r="A30" s="4" t="s">
        <v>35</v>
      </c>
      <c r="C30" s="7"/>
      <c r="D30" s="293"/>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c r="AY30" s="301"/>
      <c r="AZ30" s="301"/>
      <c r="BA30" s="301"/>
      <c r="BB30" s="301"/>
      <c r="BC30" s="301"/>
      <c r="BD30" s="301"/>
      <c r="BE30" s="293"/>
    </row>
    <row r="31" spans="1:256">
      <c r="C31" s="7"/>
      <c r="D31" s="293"/>
      <c r="E31" s="301"/>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c r="AY31" s="301"/>
      <c r="AZ31" s="301"/>
      <c r="BA31" s="301"/>
      <c r="BB31" s="301"/>
      <c r="BC31" s="301"/>
      <c r="BD31" s="301"/>
      <c r="BE31" s="293"/>
    </row>
    <row r="32" spans="1:256">
      <c r="A32" s="1" t="s">
        <v>36</v>
      </c>
      <c r="B32" s="1" t="s">
        <v>37</v>
      </c>
      <c r="C32" s="18" t="s">
        <v>16</v>
      </c>
      <c r="D32" s="293"/>
      <c r="E32" s="302">
        <v>0</v>
      </c>
      <c r="F32" s="302">
        <v>0</v>
      </c>
      <c r="G32" s="302">
        <v>0</v>
      </c>
      <c r="H32" s="302">
        <v>0</v>
      </c>
      <c r="I32" s="302">
        <v>0</v>
      </c>
      <c r="J32" s="302">
        <v>0</v>
      </c>
      <c r="K32" s="302">
        <v>0</v>
      </c>
      <c r="L32" s="302">
        <v>0</v>
      </c>
      <c r="M32" s="302"/>
      <c r="N32" s="302">
        <v>0</v>
      </c>
      <c r="O32" s="302">
        <v>0</v>
      </c>
      <c r="P32" s="302">
        <v>0</v>
      </c>
      <c r="Q32" s="302">
        <v>0</v>
      </c>
      <c r="R32" s="302">
        <v>0</v>
      </c>
      <c r="S32" s="302">
        <v>0</v>
      </c>
      <c r="T32" s="302">
        <v>0</v>
      </c>
      <c r="U32" s="302">
        <v>0</v>
      </c>
      <c r="V32" s="302">
        <v>0</v>
      </c>
      <c r="W32" s="302">
        <v>0</v>
      </c>
      <c r="X32" s="302">
        <v>0</v>
      </c>
      <c r="Y32" s="302">
        <v>0</v>
      </c>
      <c r="Z32" s="302">
        <v>0</v>
      </c>
      <c r="AA32" s="302">
        <v>0</v>
      </c>
      <c r="AB32" s="302">
        <v>2</v>
      </c>
      <c r="AC32" s="302">
        <v>4</v>
      </c>
      <c r="AD32" s="302">
        <v>2</v>
      </c>
      <c r="AE32" s="302">
        <v>3</v>
      </c>
      <c r="AF32" s="302">
        <v>0</v>
      </c>
      <c r="AG32" s="302">
        <v>1</v>
      </c>
      <c r="AH32" s="302">
        <v>5</v>
      </c>
      <c r="AI32" s="302">
        <v>2</v>
      </c>
      <c r="AJ32" s="302">
        <v>3</v>
      </c>
      <c r="AK32" s="302">
        <v>5</v>
      </c>
      <c r="AL32" s="301">
        <v>2</v>
      </c>
      <c r="AM32" s="302">
        <v>5</v>
      </c>
      <c r="AN32" s="302">
        <v>5</v>
      </c>
      <c r="AO32" s="302">
        <v>0</v>
      </c>
      <c r="AP32" s="302">
        <v>2</v>
      </c>
      <c r="AQ32" s="302">
        <v>4</v>
      </c>
      <c r="AR32" s="302">
        <v>7</v>
      </c>
      <c r="AS32" s="302">
        <v>5</v>
      </c>
      <c r="AT32" s="302">
        <v>4</v>
      </c>
      <c r="AU32" s="302">
        <v>3</v>
      </c>
      <c r="AV32" s="302">
        <v>1</v>
      </c>
      <c r="AW32" s="302">
        <v>0</v>
      </c>
      <c r="AX32" s="302">
        <v>0</v>
      </c>
      <c r="AY32" s="301">
        <v>0</v>
      </c>
      <c r="AZ32" s="302">
        <v>0</v>
      </c>
      <c r="BA32" s="302">
        <v>0</v>
      </c>
      <c r="BB32" s="302">
        <v>0</v>
      </c>
      <c r="BC32" s="302">
        <v>0</v>
      </c>
      <c r="BD32" s="302"/>
      <c r="BE32" s="303"/>
      <c r="BF32" s="8">
        <f t="shared" ref="BF32:BF42" si="9">COUNT(E32:BD32)</f>
        <v>50</v>
      </c>
    </row>
    <row r="33" spans="1:58">
      <c r="A33" s="310" t="s">
        <v>38</v>
      </c>
      <c r="B33" s="310" t="s">
        <v>37</v>
      </c>
      <c r="C33" s="11" t="s">
        <v>16</v>
      </c>
      <c r="D33" s="293"/>
      <c r="E33" s="302">
        <v>204</v>
      </c>
      <c r="F33" s="302">
        <v>202</v>
      </c>
      <c r="G33" s="302">
        <v>202</v>
      </c>
      <c r="H33" s="302">
        <v>204</v>
      </c>
      <c r="I33" s="302">
        <v>206</v>
      </c>
      <c r="J33" s="302">
        <v>204</v>
      </c>
      <c r="K33" s="302">
        <v>206</v>
      </c>
      <c r="L33" s="302">
        <v>209</v>
      </c>
      <c r="M33" s="302"/>
      <c r="N33" s="302">
        <v>215</v>
      </c>
      <c r="O33" s="302">
        <v>216</v>
      </c>
      <c r="P33" s="302">
        <v>214</v>
      </c>
      <c r="Q33" s="302">
        <v>215</v>
      </c>
      <c r="R33" s="302">
        <v>208</v>
      </c>
      <c r="S33" s="302">
        <v>209</v>
      </c>
      <c r="T33" s="302">
        <v>205</v>
      </c>
      <c r="U33" s="302">
        <v>218</v>
      </c>
      <c r="V33" s="302">
        <v>163</v>
      </c>
      <c r="W33" s="302">
        <v>170</v>
      </c>
      <c r="X33" s="302">
        <v>168</v>
      </c>
      <c r="Y33" s="302">
        <v>170</v>
      </c>
      <c r="Z33" s="302">
        <v>175</v>
      </c>
      <c r="AA33" s="302">
        <v>176</v>
      </c>
      <c r="AB33" s="302">
        <v>176</v>
      </c>
      <c r="AC33" s="302">
        <v>168</v>
      </c>
      <c r="AD33" s="302">
        <v>160</v>
      </c>
      <c r="AE33" s="302">
        <v>155</v>
      </c>
      <c r="AF33" s="302">
        <v>158</v>
      </c>
      <c r="AG33" s="302">
        <v>161</v>
      </c>
      <c r="AH33" s="302">
        <v>138</v>
      </c>
      <c r="AI33" s="302">
        <v>144</v>
      </c>
      <c r="AJ33" s="302">
        <v>140</v>
      </c>
      <c r="AK33" s="302">
        <v>146</v>
      </c>
      <c r="AL33" s="301">
        <v>144</v>
      </c>
      <c r="AM33" s="302">
        <v>146</v>
      </c>
      <c r="AN33" s="302">
        <v>144</v>
      </c>
      <c r="AO33" s="302">
        <v>145</v>
      </c>
      <c r="AP33" s="302">
        <v>145</v>
      </c>
      <c r="AQ33" s="302">
        <v>150</v>
      </c>
      <c r="AR33" s="302">
        <v>151</v>
      </c>
      <c r="AS33" s="302">
        <v>154</v>
      </c>
      <c r="AT33" s="302">
        <v>157</v>
      </c>
      <c r="AU33" s="302">
        <v>157</v>
      </c>
      <c r="AV33" s="302">
        <v>157</v>
      </c>
      <c r="AW33" s="302">
        <v>160</v>
      </c>
      <c r="AX33" s="302">
        <v>160</v>
      </c>
      <c r="AY33" s="301">
        <v>163</v>
      </c>
      <c r="AZ33" s="302">
        <v>164</v>
      </c>
      <c r="BA33" s="302">
        <v>171</v>
      </c>
      <c r="BB33" s="302">
        <v>176</v>
      </c>
      <c r="BC33" s="302">
        <v>180</v>
      </c>
      <c r="BD33" s="302"/>
      <c r="BE33" s="303"/>
      <c r="BF33" s="8">
        <f t="shared" si="9"/>
        <v>50</v>
      </c>
    </row>
    <row r="34" spans="1:58">
      <c r="A34" s="1" t="s">
        <v>39</v>
      </c>
      <c r="B34" s="1" t="s">
        <v>14</v>
      </c>
      <c r="C34" s="18" t="s">
        <v>16</v>
      </c>
      <c r="D34" s="293"/>
      <c r="E34" s="302">
        <v>249</v>
      </c>
      <c r="F34" s="302">
        <v>246</v>
      </c>
      <c r="G34" s="302">
        <v>246</v>
      </c>
      <c r="H34" s="302">
        <v>249</v>
      </c>
      <c r="I34" s="302">
        <v>251</v>
      </c>
      <c r="J34" s="302">
        <v>249</v>
      </c>
      <c r="K34" s="302">
        <v>251</v>
      </c>
      <c r="L34" s="302">
        <v>255</v>
      </c>
      <c r="M34" s="302"/>
      <c r="N34" s="302">
        <v>262</v>
      </c>
      <c r="O34" s="302">
        <v>263</v>
      </c>
      <c r="P34" s="302">
        <v>261</v>
      </c>
      <c r="Q34" s="302">
        <v>262</v>
      </c>
      <c r="R34" s="302">
        <v>254</v>
      </c>
      <c r="S34" s="302">
        <v>255</v>
      </c>
      <c r="T34" s="302">
        <v>250</v>
      </c>
      <c r="U34" s="302">
        <v>266</v>
      </c>
      <c r="V34" s="302">
        <v>199</v>
      </c>
      <c r="W34" s="302">
        <v>207</v>
      </c>
      <c r="X34" s="302">
        <v>205</v>
      </c>
      <c r="Y34" s="302">
        <v>207</v>
      </c>
      <c r="Z34" s="302">
        <v>213</v>
      </c>
      <c r="AA34" s="302">
        <v>214</v>
      </c>
      <c r="AB34" s="302">
        <v>210</v>
      </c>
      <c r="AC34" s="302">
        <v>195</v>
      </c>
      <c r="AD34" s="302">
        <v>190</v>
      </c>
      <c r="AE34" s="302">
        <v>181</v>
      </c>
      <c r="AF34" s="302">
        <v>193</v>
      </c>
      <c r="AG34" s="302">
        <v>194</v>
      </c>
      <c r="AH34" s="302">
        <v>156</v>
      </c>
      <c r="AI34" s="302">
        <v>170</v>
      </c>
      <c r="AJ34" s="302">
        <v>163</v>
      </c>
      <c r="AK34" s="302">
        <v>166</v>
      </c>
      <c r="AL34" s="301">
        <v>170</v>
      </c>
      <c r="AM34" s="302">
        <v>166</v>
      </c>
      <c r="AN34" s="302">
        <v>163</v>
      </c>
      <c r="AO34" s="302">
        <v>177</v>
      </c>
      <c r="AP34" s="302">
        <v>172</v>
      </c>
      <c r="AQ34" s="302">
        <v>173</v>
      </c>
      <c r="AR34" s="302">
        <v>167</v>
      </c>
      <c r="AS34" s="302">
        <v>171</v>
      </c>
      <c r="AT34" s="302">
        <v>182</v>
      </c>
      <c r="AU34" s="302">
        <v>184</v>
      </c>
      <c r="AV34" s="302">
        <v>189</v>
      </c>
      <c r="AW34" s="302">
        <v>195</v>
      </c>
      <c r="AX34" s="302">
        <v>195</v>
      </c>
      <c r="AY34" s="301">
        <v>199</v>
      </c>
      <c r="AZ34" s="302">
        <v>200</v>
      </c>
      <c r="BA34" s="302">
        <v>208</v>
      </c>
      <c r="BB34" s="302">
        <v>214</v>
      </c>
      <c r="BC34" s="302">
        <v>219</v>
      </c>
      <c r="BD34" s="302"/>
      <c r="BE34" s="303"/>
      <c r="BF34" s="8">
        <f t="shared" si="9"/>
        <v>50</v>
      </c>
    </row>
    <row r="35" spans="1:58">
      <c r="A35" s="310" t="s">
        <v>40</v>
      </c>
      <c r="B35" s="310" t="s">
        <v>14</v>
      </c>
      <c r="C35" s="11" t="s">
        <v>16</v>
      </c>
      <c r="D35" s="293"/>
      <c r="E35" s="302">
        <v>0</v>
      </c>
      <c r="F35" s="302">
        <v>0</v>
      </c>
      <c r="G35" s="302">
        <v>0</v>
      </c>
      <c r="H35" s="302">
        <v>0</v>
      </c>
      <c r="I35" s="302">
        <v>0</v>
      </c>
      <c r="J35" s="302">
        <v>0</v>
      </c>
      <c r="K35" s="302">
        <v>0</v>
      </c>
      <c r="L35" s="302">
        <v>0</v>
      </c>
      <c r="M35" s="302"/>
      <c r="N35" s="302">
        <v>0</v>
      </c>
      <c r="O35" s="302">
        <v>0</v>
      </c>
      <c r="P35" s="302">
        <v>0</v>
      </c>
      <c r="Q35" s="302">
        <v>0</v>
      </c>
      <c r="R35" s="302">
        <v>0</v>
      </c>
      <c r="S35" s="302">
        <v>0</v>
      </c>
      <c r="T35" s="302">
        <v>0</v>
      </c>
      <c r="U35" s="302">
        <v>0</v>
      </c>
      <c r="V35" s="302">
        <v>0</v>
      </c>
      <c r="W35" s="302">
        <v>0</v>
      </c>
      <c r="X35" s="302">
        <v>0</v>
      </c>
      <c r="Y35" s="302">
        <v>0</v>
      </c>
      <c r="Z35" s="302">
        <v>0</v>
      </c>
      <c r="AA35" s="302">
        <v>0</v>
      </c>
      <c r="AB35" s="302">
        <v>2</v>
      </c>
      <c r="AC35" s="302">
        <v>5</v>
      </c>
      <c r="AD35" s="302">
        <v>2</v>
      </c>
      <c r="AE35" s="302">
        <v>4</v>
      </c>
      <c r="AF35" s="302">
        <v>0</v>
      </c>
      <c r="AG35" s="302">
        <v>1</v>
      </c>
      <c r="AH35" s="302">
        <v>6</v>
      </c>
      <c r="AI35" s="302">
        <v>2</v>
      </c>
      <c r="AJ35" s="302">
        <v>4</v>
      </c>
      <c r="AK35" s="302">
        <v>6</v>
      </c>
      <c r="AL35" s="301">
        <v>2</v>
      </c>
      <c r="AM35" s="302">
        <v>6</v>
      </c>
      <c r="AN35" s="302">
        <v>6</v>
      </c>
      <c r="AO35" s="302">
        <v>0</v>
      </c>
      <c r="AP35" s="302">
        <v>2</v>
      </c>
      <c r="AQ35" s="302">
        <v>5</v>
      </c>
      <c r="AR35" s="302">
        <v>8</v>
      </c>
      <c r="AS35" s="302">
        <v>6</v>
      </c>
      <c r="AT35" s="302">
        <v>5</v>
      </c>
      <c r="AU35" s="302">
        <v>4</v>
      </c>
      <c r="AV35" s="302">
        <v>1</v>
      </c>
      <c r="AW35" s="302">
        <v>0</v>
      </c>
      <c r="AX35" s="302">
        <v>0</v>
      </c>
      <c r="AY35" s="301">
        <v>0</v>
      </c>
      <c r="AZ35" s="302">
        <v>0</v>
      </c>
      <c r="BA35" s="302">
        <v>0</v>
      </c>
      <c r="BB35" s="302">
        <v>0</v>
      </c>
      <c r="BC35" s="302">
        <v>0</v>
      </c>
      <c r="BD35" s="302"/>
      <c r="BE35" s="303"/>
      <c r="BF35" s="8">
        <f t="shared" si="9"/>
        <v>50</v>
      </c>
    </row>
    <row r="36" spans="1:58">
      <c r="A36" s="1" t="s">
        <v>41</v>
      </c>
      <c r="B36" s="1" t="s">
        <v>14</v>
      </c>
      <c r="C36" s="18" t="s">
        <v>16</v>
      </c>
      <c r="D36" s="293"/>
      <c r="E36" s="302"/>
      <c r="F36" s="302">
        <v>61</v>
      </c>
      <c r="G36" s="302">
        <v>61</v>
      </c>
      <c r="H36" s="302">
        <v>61</v>
      </c>
      <c r="I36" s="302">
        <v>63</v>
      </c>
      <c r="J36" s="302">
        <v>62</v>
      </c>
      <c r="K36" s="302"/>
      <c r="L36" s="302">
        <v>64</v>
      </c>
      <c r="M36" s="302"/>
      <c r="N36" s="302">
        <v>66</v>
      </c>
      <c r="O36" s="302">
        <v>66</v>
      </c>
      <c r="P36" s="302">
        <v>66</v>
      </c>
      <c r="Q36" s="302">
        <v>66</v>
      </c>
      <c r="R36" s="302">
        <v>65</v>
      </c>
      <c r="S36" s="302">
        <v>63</v>
      </c>
      <c r="T36" s="302">
        <v>62</v>
      </c>
      <c r="U36" s="302">
        <v>66</v>
      </c>
      <c r="V36" s="302">
        <v>51</v>
      </c>
      <c r="W36" s="302">
        <v>48</v>
      </c>
      <c r="X36" s="302">
        <v>52</v>
      </c>
      <c r="Y36" s="302">
        <v>53</v>
      </c>
      <c r="Z36" s="302">
        <v>53</v>
      </c>
      <c r="AA36" s="302">
        <v>55</v>
      </c>
      <c r="AB36" s="302">
        <v>54</v>
      </c>
      <c r="AC36" s="302">
        <v>51</v>
      </c>
      <c r="AD36" s="302">
        <v>48</v>
      </c>
      <c r="AE36" s="302">
        <v>52</v>
      </c>
      <c r="AF36" s="302">
        <v>48</v>
      </c>
      <c r="AG36" s="302">
        <v>50</v>
      </c>
      <c r="AH36" s="302">
        <v>44</v>
      </c>
      <c r="AI36" s="302">
        <v>45</v>
      </c>
      <c r="AJ36" s="302">
        <v>43</v>
      </c>
      <c r="AK36" s="302">
        <v>46</v>
      </c>
      <c r="AL36" s="301">
        <v>43</v>
      </c>
      <c r="AM36" s="302">
        <v>42</v>
      </c>
      <c r="AN36" s="302">
        <v>43</v>
      </c>
      <c r="AO36" s="302">
        <v>43</v>
      </c>
      <c r="AP36" s="302">
        <v>43</v>
      </c>
      <c r="AQ36" s="302">
        <v>44</v>
      </c>
      <c r="AR36" s="302">
        <v>44</v>
      </c>
      <c r="AS36" s="302">
        <v>46</v>
      </c>
      <c r="AT36" s="302">
        <v>46</v>
      </c>
      <c r="AU36" s="302">
        <v>48</v>
      </c>
      <c r="AV36" s="302">
        <v>47</v>
      </c>
      <c r="AW36" s="302">
        <v>48</v>
      </c>
      <c r="AX36" s="302">
        <v>49</v>
      </c>
      <c r="AY36" s="301">
        <v>48</v>
      </c>
      <c r="AZ36" s="302">
        <v>50</v>
      </c>
      <c r="BA36" s="302">
        <v>51</v>
      </c>
      <c r="BB36" s="302">
        <v>54</v>
      </c>
      <c r="BC36" s="302">
        <v>54</v>
      </c>
      <c r="BD36" s="302"/>
      <c r="BE36" s="303"/>
      <c r="BF36" s="8">
        <f t="shared" si="9"/>
        <v>48</v>
      </c>
    </row>
    <row r="37" spans="1:58">
      <c r="A37" s="310" t="s">
        <v>42</v>
      </c>
      <c r="B37" s="310" t="s">
        <v>14</v>
      </c>
      <c r="C37" s="11" t="s">
        <v>16</v>
      </c>
      <c r="D37" s="293"/>
      <c r="E37" s="302"/>
      <c r="F37" s="302">
        <v>27</v>
      </c>
      <c r="G37" s="302">
        <v>27</v>
      </c>
      <c r="H37" s="302">
        <v>26</v>
      </c>
      <c r="I37" s="302">
        <v>26</v>
      </c>
      <c r="J37" s="302">
        <v>27</v>
      </c>
      <c r="K37" s="302"/>
      <c r="L37" s="302">
        <v>27</v>
      </c>
      <c r="M37" s="302"/>
      <c r="N37" s="302">
        <v>27</v>
      </c>
      <c r="O37" s="302">
        <v>28</v>
      </c>
      <c r="P37" s="302">
        <v>27</v>
      </c>
      <c r="Q37" s="302">
        <v>26</v>
      </c>
      <c r="R37" s="302">
        <v>26</v>
      </c>
      <c r="S37" s="302">
        <v>26</v>
      </c>
      <c r="T37" s="302">
        <v>28</v>
      </c>
      <c r="U37" s="302">
        <v>28</v>
      </c>
      <c r="V37" s="302">
        <v>20</v>
      </c>
      <c r="W37" s="302">
        <v>19</v>
      </c>
      <c r="X37" s="302">
        <v>22</v>
      </c>
      <c r="Y37" s="302">
        <v>20</v>
      </c>
      <c r="Z37" s="302">
        <v>21</v>
      </c>
      <c r="AA37" s="302">
        <v>20</v>
      </c>
      <c r="AB37" s="302">
        <v>21</v>
      </c>
      <c r="AC37" s="302">
        <v>21</v>
      </c>
      <c r="AD37" s="302">
        <v>20</v>
      </c>
      <c r="AE37" s="302">
        <v>18</v>
      </c>
      <c r="AF37" s="302">
        <v>20</v>
      </c>
      <c r="AG37" s="302">
        <v>17</v>
      </c>
      <c r="AH37" s="302">
        <v>18</v>
      </c>
      <c r="AI37" s="302">
        <v>21</v>
      </c>
      <c r="AJ37" s="302">
        <v>19</v>
      </c>
      <c r="AK37" s="302">
        <v>17</v>
      </c>
      <c r="AL37" s="301">
        <v>19</v>
      </c>
      <c r="AM37" s="302">
        <v>20</v>
      </c>
      <c r="AN37" s="302">
        <v>19</v>
      </c>
      <c r="AO37" s="302">
        <v>19</v>
      </c>
      <c r="AP37" s="302">
        <v>19</v>
      </c>
      <c r="AQ37" s="302">
        <v>20</v>
      </c>
      <c r="AR37" s="302">
        <v>20</v>
      </c>
      <c r="AS37" s="302">
        <v>19</v>
      </c>
      <c r="AT37" s="302">
        <v>20</v>
      </c>
      <c r="AU37" s="302">
        <v>19</v>
      </c>
      <c r="AV37" s="302">
        <v>20</v>
      </c>
      <c r="AW37" s="302">
        <v>20</v>
      </c>
      <c r="AX37" s="302">
        <v>19</v>
      </c>
      <c r="AY37" s="301">
        <v>20</v>
      </c>
      <c r="AZ37" s="302">
        <v>19</v>
      </c>
      <c r="BA37" s="302">
        <v>22</v>
      </c>
      <c r="BB37" s="302">
        <v>21</v>
      </c>
      <c r="BC37" s="302">
        <v>23</v>
      </c>
      <c r="BD37" s="302"/>
      <c r="BE37" s="303"/>
      <c r="BF37" s="8">
        <f t="shared" si="9"/>
        <v>48</v>
      </c>
    </row>
    <row r="38" spans="1:58">
      <c r="A38" s="1" t="s">
        <v>43</v>
      </c>
      <c r="B38" s="1" t="s">
        <v>37</v>
      </c>
      <c r="C38" s="18" t="s">
        <v>16</v>
      </c>
      <c r="D38" s="293"/>
      <c r="E38" s="302"/>
      <c r="F38" s="302">
        <v>265</v>
      </c>
      <c r="G38" s="302">
        <v>262</v>
      </c>
      <c r="H38" s="302">
        <v>261</v>
      </c>
      <c r="I38" s="302">
        <v>266</v>
      </c>
      <c r="J38" s="302">
        <v>266</v>
      </c>
      <c r="K38" s="302"/>
      <c r="L38" s="302">
        <v>272</v>
      </c>
      <c r="M38" s="302"/>
      <c r="N38" s="302">
        <v>276</v>
      </c>
      <c r="O38" s="302">
        <v>280</v>
      </c>
      <c r="P38" s="302">
        <v>276</v>
      </c>
      <c r="Q38" s="302">
        <v>273</v>
      </c>
      <c r="R38" s="302">
        <v>270</v>
      </c>
      <c r="S38" s="302">
        <v>265</v>
      </c>
      <c r="T38" s="302">
        <v>270</v>
      </c>
      <c r="U38" s="302">
        <v>279</v>
      </c>
      <c r="V38" s="302">
        <v>209</v>
      </c>
      <c r="W38" s="302">
        <v>200</v>
      </c>
      <c r="X38" s="302">
        <v>222</v>
      </c>
      <c r="Y38" s="302">
        <v>216</v>
      </c>
      <c r="Z38" s="302">
        <v>220</v>
      </c>
      <c r="AA38" s="302">
        <v>221</v>
      </c>
      <c r="AB38" s="302">
        <v>222</v>
      </c>
      <c r="AC38" s="302">
        <v>212</v>
      </c>
      <c r="AD38" s="302">
        <v>202</v>
      </c>
      <c r="AE38" s="302">
        <v>204</v>
      </c>
      <c r="AF38" s="302">
        <v>205</v>
      </c>
      <c r="AG38" s="302">
        <v>199</v>
      </c>
      <c r="AH38" s="302">
        <v>185</v>
      </c>
      <c r="AI38" s="302">
        <v>199</v>
      </c>
      <c r="AJ38" s="302">
        <v>185</v>
      </c>
      <c r="AK38" s="302">
        <v>185</v>
      </c>
      <c r="AL38" s="301">
        <v>186</v>
      </c>
      <c r="AM38" s="302">
        <v>186</v>
      </c>
      <c r="AN38" s="302">
        <v>186</v>
      </c>
      <c r="AO38" s="302">
        <v>187</v>
      </c>
      <c r="AP38" s="302">
        <v>188</v>
      </c>
      <c r="AQ38" s="302">
        <v>190</v>
      </c>
      <c r="AR38" s="302">
        <v>192</v>
      </c>
      <c r="AS38" s="302">
        <v>194</v>
      </c>
      <c r="AT38" s="302">
        <v>197</v>
      </c>
      <c r="AU38" s="302">
        <v>198</v>
      </c>
      <c r="AV38" s="302">
        <v>200</v>
      </c>
      <c r="AW38" s="302">
        <v>201</v>
      </c>
      <c r="AX38" s="302">
        <v>202</v>
      </c>
      <c r="AY38" s="301">
        <v>204</v>
      </c>
      <c r="AZ38" s="302">
        <v>204</v>
      </c>
      <c r="BA38" s="302">
        <v>217</v>
      </c>
      <c r="BB38" s="302">
        <v>223</v>
      </c>
      <c r="BC38" s="302">
        <v>229</v>
      </c>
      <c r="BD38" s="302"/>
      <c r="BE38" s="303"/>
      <c r="BF38" s="8">
        <f t="shared" si="9"/>
        <v>48</v>
      </c>
    </row>
    <row r="39" spans="1:58">
      <c r="A39" s="310" t="s">
        <v>44</v>
      </c>
      <c r="B39" s="310" t="s">
        <v>14</v>
      </c>
      <c r="C39" s="11" t="s">
        <v>16</v>
      </c>
      <c r="D39" s="293"/>
      <c r="E39" s="302"/>
      <c r="F39" s="302">
        <v>53</v>
      </c>
      <c r="G39" s="302">
        <v>54</v>
      </c>
      <c r="H39" s="302">
        <v>54</v>
      </c>
      <c r="I39" s="302">
        <v>54</v>
      </c>
      <c r="J39" s="302">
        <v>54</v>
      </c>
      <c r="K39" s="302"/>
      <c r="L39" s="302">
        <v>54</v>
      </c>
      <c r="M39" s="302"/>
      <c r="N39" s="302">
        <v>55</v>
      </c>
      <c r="O39" s="302">
        <v>56</v>
      </c>
      <c r="P39" s="302">
        <v>54</v>
      </c>
      <c r="Q39" s="302">
        <v>53</v>
      </c>
      <c r="R39" s="302">
        <v>54</v>
      </c>
      <c r="S39" s="302">
        <v>53</v>
      </c>
      <c r="T39" s="302">
        <v>52</v>
      </c>
      <c r="U39" s="302">
        <v>56</v>
      </c>
      <c r="V39" s="302">
        <v>41</v>
      </c>
      <c r="W39" s="302">
        <v>42</v>
      </c>
      <c r="X39" s="302">
        <v>44</v>
      </c>
      <c r="Y39" s="302">
        <v>44</v>
      </c>
      <c r="Z39" s="302">
        <v>44</v>
      </c>
      <c r="AA39" s="302">
        <v>45</v>
      </c>
      <c r="AB39" s="302">
        <v>46</v>
      </c>
      <c r="AC39" s="302">
        <v>46</v>
      </c>
      <c r="AD39" s="302">
        <v>46</v>
      </c>
      <c r="AE39" s="302"/>
      <c r="AF39" s="302">
        <v>45</v>
      </c>
      <c r="AG39" s="302">
        <v>45</v>
      </c>
      <c r="AH39" s="302">
        <v>43</v>
      </c>
      <c r="AI39" s="302">
        <v>42</v>
      </c>
      <c r="AJ39" s="302">
        <v>41</v>
      </c>
      <c r="AK39" s="302">
        <v>40</v>
      </c>
      <c r="AL39" s="301">
        <v>41</v>
      </c>
      <c r="AM39" s="302">
        <v>40</v>
      </c>
      <c r="AN39" s="302">
        <v>42</v>
      </c>
      <c r="AO39" s="302">
        <v>40</v>
      </c>
      <c r="AP39" s="302">
        <v>39</v>
      </c>
      <c r="AQ39" s="302">
        <v>37</v>
      </c>
      <c r="AR39" s="302">
        <v>39</v>
      </c>
      <c r="AS39" s="302">
        <v>38</v>
      </c>
      <c r="AT39" s="302">
        <v>39</v>
      </c>
      <c r="AU39" s="302">
        <v>39</v>
      </c>
      <c r="AV39" s="302">
        <v>38</v>
      </c>
      <c r="AW39" s="302">
        <v>39</v>
      </c>
      <c r="AX39" s="302">
        <v>38</v>
      </c>
      <c r="AY39" s="301">
        <v>38</v>
      </c>
      <c r="AZ39" s="302">
        <v>38</v>
      </c>
      <c r="BA39" s="302">
        <v>40</v>
      </c>
      <c r="BB39" s="302">
        <v>41</v>
      </c>
      <c r="BC39" s="302">
        <v>42</v>
      </c>
      <c r="BD39" s="302"/>
      <c r="BE39" s="303"/>
      <c r="BF39" s="8">
        <f t="shared" si="9"/>
        <v>47</v>
      </c>
    </row>
    <row r="40" spans="1:58">
      <c r="A40" s="304" t="s">
        <v>45</v>
      </c>
      <c r="B40" s="304" t="s">
        <v>14</v>
      </c>
      <c r="C40" s="19" t="s">
        <v>16</v>
      </c>
      <c r="D40" s="293"/>
      <c r="E40" s="305"/>
      <c r="F40" s="305">
        <v>6.4</v>
      </c>
      <c r="G40" s="305">
        <v>6</v>
      </c>
      <c r="H40" s="305">
        <v>6.1</v>
      </c>
      <c r="I40" s="305">
        <v>7.2</v>
      </c>
      <c r="J40" s="305">
        <v>7.8</v>
      </c>
      <c r="K40" s="305"/>
      <c r="L40" s="305">
        <v>6.4</v>
      </c>
      <c r="M40" s="305"/>
      <c r="N40" s="305">
        <v>5.5</v>
      </c>
      <c r="O40" s="305">
        <v>5.5</v>
      </c>
      <c r="P40" s="305">
        <v>5.7</v>
      </c>
      <c r="Q40" s="305">
        <v>5.5</v>
      </c>
      <c r="R40" s="305">
        <v>5.7</v>
      </c>
      <c r="S40" s="305">
        <v>5.3</v>
      </c>
      <c r="T40" s="305">
        <v>5.3</v>
      </c>
      <c r="U40" s="305">
        <v>5.7</v>
      </c>
      <c r="V40" s="305">
        <v>4.3</v>
      </c>
      <c r="W40" s="305">
        <v>4.4000000000000004</v>
      </c>
      <c r="X40" s="305">
        <v>4.5999999999999996</v>
      </c>
      <c r="Y40" s="305">
        <v>5</v>
      </c>
      <c r="Z40" s="305">
        <v>4.8</v>
      </c>
      <c r="AA40" s="305">
        <v>4.8</v>
      </c>
      <c r="AB40" s="305">
        <v>5</v>
      </c>
      <c r="AC40" s="305">
        <v>5.0999999999999996</v>
      </c>
      <c r="AD40" s="305">
        <v>5.0999999999999996</v>
      </c>
      <c r="AE40" s="305"/>
      <c r="AF40" s="305">
        <v>5</v>
      </c>
      <c r="AG40" s="305">
        <v>4.9000000000000004</v>
      </c>
      <c r="AH40" s="305">
        <v>4.8</v>
      </c>
      <c r="AI40" s="305">
        <v>4.9000000000000004</v>
      </c>
      <c r="AJ40" s="305">
        <v>4.5999999999999996</v>
      </c>
      <c r="AK40" s="305">
        <v>4.5</v>
      </c>
      <c r="AL40" s="301">
        <v>4.5</v>
      </c>
      <c r="AM40" s="305">
        <v>4.5999999999999996</v>
      </c>
      <c r="AN40" s="305">
        <v>4.4000000000000004</v>
      </c>
      <c r="AO40" s="305">
        <v>4.4000000000000004</v>
      </c>
      <c r="AP40" s="305">
        <v>4.3</v>
      </c>
      <c r="AQ40" s="305">
        <v>4.2</v>
      </c>
      <c r="AR40" s="305">
        <v>4.3</v>
      </c>
      <c r="AS40" s="305">
        <v>4.2</v>
      </c>
      <c r="AT40" s="305">
        <v>4.2</v>
      </c>
      <c r="AU40" s="305">
        <v>4.2</v>
      </c>
      <c r="AV40" s="305">
        <v>4</v>
      </c>
      <c r="AW40" s="305">
        <v>4</v>
      </c>
      <c r="AX40" s="305">
        <v>4</v>
      </c>
      <c r="AY40" s="301">
        <v>4</v>
      </c>
      <c r="AZ40" s="305">
        <v>4</v>
      </c>
      <c r="BA40" s="305">
        <v>4.2</v>
      </c>
      <c r="BB40" s="305">
        <v>4.2</v>
      </c>
      <c r="BC40" s="305">
        <v>4.2</v>
      </c>
      <c r="BD40" s="305"/>
      <c r="BE40" s="306"/>
      <c r="BF40" s="8">
        <f t="shared" si="9"/>
        <v>47</v>
      </c>
    </row>
    <row r="41" spans="1:58">
      <c r="A41" s="310" t="s">
        <v>46</v>
      </c>
      <c r="B41" s="310" t="s">
        <v>14</v>
      </c>
      <c r="C41" s="11" t="s">
        <v>16</v>
      </c>
      <c r="D41" s="293"/>
      <c r="E41" s="302"/>
      <c r="F41" s="302">
        <v>151</v>
      </c>
      <c r="G41" s="302">
        <v>151</v>
      </c>
      <c r="H41" s="302">
        <v>150</v>
      </c>
      <c r="I41" s="302">
        <v>153</v>
      </c>
      <c r="J41" s="302">
        <v>154</v>
      </c>
      <c r="K41" s="302"/>
      <c r="L41" s="302">
        <v>155</v>
      </c>
      <c r="M41" s="302"/>
      <c r="N41" s="302">
        <v>158</v>
      </c>
      <c r="O41" s="302">
        <v>158</v>
      </c>
      <c r="P41" s="302">
        <v>156</v>
      </c>
      <c r="Q41" s="302">
        <v>154</v>
      </c>
      <c r="R41" s="302">
        <v>149</v>
      </c>
      <c r="S41" s="302">
        <v>146</v>
      </c>
      <c r="T41" s="302">
        <v>148</v>
      </c>
      <c r="U41" s="302">
        <v>152</v>
      </c>
      <c r="V41" s="302">
        <v>114</v>
      </c>
      <c r="W41" s="302">
        <v>112</v>
      </c>
      <c r="X41" s="302">
        <v>118</v>
      </c>
      <c r="Y41" s="302">
        <v>121</v>
      </c>
      <c r="Z41" s="302">
        <v>122</v>
      </c>
      <c r="AA41" s="302">
        <v>123</v>
      </c>
      <c r="AB41" s="302">
        <v>126</v>
      </c>
      <c r="AC41" s="302">
        <v>125</v>
      </c>
      <c r="AD41" s="302">
        <v>124</v>
      </c>
      <c r="AE41" s="302"/>
      <c r="AF41" s="302">
        <v>122</v>
      </c>
      <c r="AG41" s="302">
        <v>119</v>
      </c>
      <c r="AH41" s="302">
        <v>116</v>
      </c>
      <c r="AI41" s="302">
        <v>117</v>
      </c>
      <c r="AJ41" s="302">
        <v>111</v>
      </c>
      <c r="AK41" s="302">
        <v>105</v>
      </c>
      <c r="AL41" s="301">
        <v>109</v>
      </c>
      <c r="AM41" s="302">
        <v>110</v>
      </c>
      <c r="AN41" s="302">
        <v>111</v>
      </c>
      <c r="AO41" s="302">
        <v>111</v>
      </c>
      <c r="AP41" s="302">
        <v>108</v>
      </c>
      <c r="AQ41" s="302">
        <v>106</v>
      </c>
      <c r="AR41" s="302">
        <v>108</v>
      </c>
      <c r="AS41" s="302">
        <v>105</v>
      </c>
      <c r="AT41" s="302">
        <v>108</v>
      </c>
      <c r="AU41" s="302">
        <v>108</v>
      </c>
      <c r="AV41" s="302">
        <v>106</v>
      </c>
      <c r="AW41" s="302">
        <v>107</v>
      </c>
      <c r="AX41" s="302">
        <v>105</v>
      </c>
      <c r="AY41" s="301">
        <v>107</v>
      </c>
      <c r="AZ41" s="302">
        <v>106</v>
      </c>
      <c r="BA41" s="302">
        <v>112</v>
      </c>
      <c r="BB41" s="302">
        <v>115</v>
      </c>
      <c r="BC41" s="302">
        <v>117</v>
      </c>
      <c r="BD41" s="302"/>
      <c r="BE41" s="303"/>
      <c r="BF41" s="8">
        <f t="shared" si="9"/>
        <v>47</v>
      </c>
    </row>
    <row r="42" spans="1:58">
      <c r="A42" s="304" t="s">
        <v>47</v>
      </c>
      <c r="B42" s="304" t="s">
        <v>14</v>
      </c>
      <c r="C42" s="19" t="s">
        <v>16</v>
      </c>
      <c r="D42" s="293"/>
      <c r="E42" s="305"/>
      <c r="F42" s="305">
        <v>14.4</v>
      </c>
      <c r="G42" s="305">
        <v>14.3</v>
      </c>
      <c r="H42" s="305">
        <v>14.3</v>
      </c>
      <c r="I42" s="305">
        <v>14.6</v>
      </c>
      <c r="J42" s="305">
        <v>14.7</v>
      </c>
      <c r="K42" s="305"/>
      <c r="L42" s="305">
        <v>14.8</v>
      </c>
      <c r="M42" s="305"/>
      <c r="N42" s="305">
        <v>15.1</v>
      </c>
      <c r="O42" s="305">
        <v>15.2</v>
      </c>
      <c r="P42" s="305">
        <v>15</v>
      </c>
      <c r="Q42" s="305">
        <v>14.9</v>
      </c>
      <c r="R42" s="305">
        <v>14.3</v>
      </c>
      <c r="S42" s="305">
        <v>14.2</v>
      </c>
      <c r="T42" s="305">
        <v>14.6</v>
      </c>
      <c r="U42" s="305">
        <v>14.9</v>
      </c>
      <c r="V42" s="305">
        <v>11.2</v>
      </c>
      <c r="W42" s="305">
        <v>11.1</v>
      </c>
      <c r="X42" s="305">
        <v>11.7</v>
      </c>
      <c r="Y42" s="305">
        <v>12</v>
      </c>
      <c r="Z42" s="305">
        <v>12.2</v>
      </c>
      <c r="AA42" s="305">
        <v>12.5</v>
      </c>
      <c r="AB42" s="305">
        <v>12.6</v>
      </c>
      <c r="AC42" s="305">
        <v>12.6</v>
      </c>
      <c r="AD42" s="305">
        <v>12.3</v>
      </c>
      <c r="AE42" s="305"/>
      <c r="AF42" s="305">
        <v>12.4</v>
      </c>
      <c r="AG42" s="305">
        <v>12</v>
      </c>
      <c r="AH42" s="305">
        <v>11.7</v>
      </c>
      <c r="AI42" s="305">
        <v>12</v>
      </c>
      <c r="AJ42" s="305">
        <v>11.2</v>
      </c>
      <c r="AK42" s="305">
        <v>10.8</v>
      </c>
      <c r="AL42" s="301">
        <v>11.1</v>
      </c>
      <c r="AM42" s="305">
        <v>11.2</v>
      </c>
      <c r="AN42" s="305">
        <v>11.3</v>
      </c>
      <c r="AO42" s="305">
        <v>11.5</v>
      </c>
      <c r="AP42" s="305">
        <v>11.1</v>
      </c>
      <c r="AQ42" s="305">
        <v>10.8</v>
      </c>
      <c r="AR42" s="305">
        <v>11.1</v>
      </c>
      <c r="AS42" s="305">
        <v>10.8</v>
      </c>
      <c r="AT42" s="305">
        <v>11.5</v>
      </c>
      <c r="AU42" s="305">
        <v>11.1</v>
      </c>
      <c r="AV42" s="305">
        <v>10.9</v>
      </c>
      <c r="AW42" s="305">
        <v>11</v>
      </c>
      <c r="AX42" s="305">
        <v>10.8</v>
      </c>
      <c r="AY42" s="301">
        <v>11.1</v>
      </c>
      <c r="AZ42" s="305">
        <v>11</v>
      </c>
      <c r="BA42" s="305">
        <v>11.5</v>
      </c>
      <c r="BB42" s="305">
        <v>11.8</v>
      </c>
      <c r="BC42" s="305">
        <v>12</v>
      </c>
      <c r="BD42" s="305"/>
      <c r="BE42" s="306"/>
      <c r="BF42" s="8">
        <f t="shared" si="9"/>
        <v>47</v>
      </c>
    </row>
    <row r="43" spans="1:58">
      <c r="C43" s="7"/>
      <c r="D43" s="293"/>
      <c r="E43" s="301"/>
      <c r="F43" s="301"/>
      <c r="G43" s="301"/>
      <c r="H43" s="301"/>
      <c r="I43" s="301"/>
      <c r="J43" s="301"/>
      <c r="K43" s="301"/>
      <c r="L43" s="301"/>
      <c r="M43" s="301"/>
      <c r="N43" s="301"/>
      <c r="O43" s="301"/>
      <c r="P43" s="301"/>
      <c r="Q43" s="301"/>
      <c r="R43" s="323"/>
      <c r="S43" s="323"/>
      <c r="T43" s="301"/>
      <c r="U43" s="301"/>
      <c r="V43" s="301"/>
      <c r="W43" s="301"/>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c r="AY43" s="301"/>
      <c r="AZ43" s="301"/>
      <c r="BA43" s="301"/>
      <c r="BB43" s="301"/>
      <c r="BC43" s="301"/>
      <c r="BD43" s="301"/>
      <c r="BE43" s="293"/>
    </row>
    <row r="44" spans="1:58">
      <c r="A44" s="4" t="s">
        <v>48</v>
      </c>
      <c r="C44" s="7"/>
      <c r="D44" s="293"/>
      <c r="E44" s="301"/>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E44" s="301"/>
      <c r="AF44" s="301"/>
      <c r="AG44" s="301"/>
      <c r="AH44" s="301"/>
      <c r="AI44" s="301"/>
      <c r="AJ44" s="301"/>
      <c r="AK44" s="301"/>
      <c r="AL44" s="301"/>
      <c r="AM44" s="301"/>
      <c r="AN44" s="301"/>
      <c r="AO44" s="324"/>
      <c r="AP44" s="324"/>
      <c r="AQ44" s="324"/>
      <c r="AR44" s="324"/>
      <c r="AS44" s="324"/>
      <c r="AT44" s="324"/>
      <c r="AU44" s="324"/>
      <c r="AV44" s="324"/>
      <c r="AW44" s="324"/>
      <c r="AX44" s="324"/>
      <c r="AY44" s="324"/>
      <c r="AZ44" s="324"/>
      <c r="BA44" s="324"/>
      <c r="BB44" s="324"/>
      <c r="BC44" s="324"/>
      <c r="BD44" s="324"/>
      <c r="BE44" s="293"/>
    </row>
    <row r="45" spans="1:58">
      <c r="C45" s="7"/>
      <c r="D45" s="293"/>
      <c r="E45" s="20"/>
      <c r="F45" s="20"/>
      <c r="G45" s="20"/>
      <c r="H45" s="20"/>
      <c r="I45" s="20"/>
      <c r="J45" s="20"/>
      <c r="K45" s="20"/>
      <c r="L45" s="20"/>
      <c r="M45" s="20"/>
      <c r="N45" s="20"/>
      <c r="O45" s="20"/>
      <c r="P45" s="20"/>
      <c r="Q45" s="20"/>
      <c r="R45" s="20"/>
      <c r="S45" s="20"/>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c r="AY45" s="301"/>
      <c r="AZ45" s="301"/>
      <c r="BA45" s="301"/>
      <c r="BB45" s="301"/>
      <c r="BC45" s="301"/>
      <c r="BD45" s="301"/>
      <c r="BE45" s="293"/>
    </row>
    <row r="46" spans="1:58">
      <c r="A46" s="313" t="s">
        <v>49</v>
      </c>
      <c r="B46" s="21" t="s">
        <v>50</v>
      </c>
      <c r="C46" s="11" t="s">
        <v>16</v>
      </c>
      <c r="D46" s="293"/>
      <c r="E46" s="302">
        <v>13</v>
      </c>
      <c r="F46" s="302">
        <v>59</v>
      </c>
      <c r="G46" s="302">
        <v>36</v>
      </c>
      <c r="H46" s="302">
        <v>12</v>
      </c>
      <c r="I46" s="302">
        <v>8</v>
      </c>
      <c r="J46" s="302">
        <v>17</v>
      </c>
      <c r="K46" s="302"/>
      <c r="L46" s="302">
        <v>7</v>
      </c>
      <c r="M46" s="302"/>
      <c r="N46" s="302">
        <v>0</v>
      </c>
      <c r="O46" s="302">
        <v>6</v>
      </c>
      <c r="P46" s="302">
        <v>0</v>
      </c>
      <c r="Q46" s="302">
        <v>0</v>
      </c>
      <c r="R46" s="302">
        <v>0</v>
      </c>
      <c r="S46" s="302">
        <v>0</v>
      </c>
      <c r="T46" s="302"/>
      <c r="U46" s="302">
        <v>0</v>
      </c>
      <c r="V46" s="302">
        <v>0</v>
      </c>
      <c r="W46" s="302">
        <v>0</v>
      </c>
      <c r="X46" s="302">
        <v>11</v>
      </c>
      <c r="Y46" s="302">
        <v>16</v>
      </c>
      <c r="Z46" s="302">
        <v>8</v>
      </c>
      <c r="AA46" s="302">
        <v>0</v>
      </c>
      <c r="AB46" s="302">
        <v>28</v>
      </c>
      <c r="AC46" s="302">
        <v>30</v>
      </c>
      <c r="AD46" s="302">
        <v>29</v>
      </c>
      <c r="AE46" s="302"/>
      <c r="AF46" s="302">
        <v>46</v>
      </c>
      <c r="AG46" s="302">
        <v>13</v>
      </c>
      <c r="AH46" s="302">
        <v>10</v>
      </c>
      <c r="AI46" s="302">
        <v>12</v>
      </c>
      <c r="AJ46" s="302">
        <v>11</v>
      </c>
      <c r="AK46" s="302">
        <v>0</v>
      </c>
      <c r="AL46" s="302">
        <v>11</v>
      </c>
      <c r="AM46" s="302">
        <v>8</v>
      </c>
      <c r="AN46" s="302">
        <v>15</v>
      </c>
      <c r="AO46" s="302">
        <v>42</v>
      </c>
      <c r="AP46" s="302">
        <v>13</v>
      </c>
      <c r="AQ46" s="302">
        <v>12</v>
      </c>
      <c r="AR46" s="302">
        <v>20</v>
      </c>
      <c r="AS46" s="302">
        <v>13</v>
      </c>
      <c r="AT46" s="302">
        <v>9</v>
      </c>
      <c r="AU46" s="302">
        <v>0</v>
      </c>
      <c r="AV46" s="302">
        <v>0</v>
      </c>
      <c r="AW46" s="302">
        <v>10</v>
      </c>
      <c r="AX46" s="302">
        <v>0</v>
      </c>
      <c r="AY46" s="302">
        <v>8</v>
      </c>
      <c r="AZ46" s="302">
        <v>18</v>
      </c>
      <c r="BA46" s="302">
        <v>0</v>
      </c>
      <c r="BB46" s="302">
        <v>15</v>
      </c>
      <c r="BC46" s="302">
        <v>6</v>
      </c>
      <c r="BD46" s="302"/>
      <c r="BE46" s="303"/>
      <c r="BF46" s="8">
        <f t="shared" ref="BF46:BF86" si="10">COUNT(E46:BD46)</f>
        <v>47</v>
      </c>
    </row>
    <row r="47" spans="1:58">
      <c r="A47" s="313" t="s">
        <v>51</v>
      </c>
      <c r="B47" s="21" t="s">
        <v>52</v>
      </c>
      <c r="C47" s="22" t="s">
        <v>16</v>
      </c>
      <c r="D47" s="293"/>
      <c r="E47" s="302">
        <v>107</v>
      </c>
      <c r="F47" s="302">
        <v>121</v>
      </c>
      <c r="G47" s="302">
        <v>110</v>
      </c>
      <c r="H47" s="302">
        <v>101</v>
      </c>
      <c r="I47" s="302">
        <v>98</v>
      </c>
      <c r="J47" s="302">
        <v>121</v>
      </c>
      <c r="K47" s="302"/>
      <c r="L47" s="302">
        <v>91</v>
      </c>
      <c r="M47" s="302"/>
      <c r="N47" s="302">
        <v>92</v>
      </c>
      <c r="O47" s="302">
        <v>92</v>
      </c>
      <c r="P47" s="302">
        <v>62</v>
      </c>
      <c r="Q47" s="302">
        <v>81</v>
      </c>
      <c r="R47" s="302">
        <v>85</v>
      </c>
      <c r="S47" s="302">
        <v>88</v>
      </c>
      <c r="T47" s="302"/>
      <c r="U47" s="302">
        <v>156</v>
      </c>
      <c r="V47" s="302">
        <v>169</v>
      </c>
      <c r="W47" s="302">
        <v>911</v>
      </c>
      <c r="X47" s="302">
        <v>164</v>
      </c>
      <c r="Y47" s="302">
        <v>469</v>
      </c>
      <c r="Z47" s="302">
        <v>222</v>
      </c>
      <c r="AA47" s="302">
        <v>416</v>
      </c>
      <c r="AB47" s="302">
        <v>399</v>
      </c>
      <c r="AC47" s="302">
        <v>259</v>
      </c>
      <c r="AD47" s="302">
        <v>173.5</v>
      </c>
      <c r="AE47" s="302"/>
      <c r="AF47" s="302">
        <v>224</v>
      </c>
      <c r="AG47" s="302">
        <v>302</v>
      </c>
      <c r="AH47" s="302">
        <v>783</v>
      </c>
      <c r="AI47" s="302">
        <v>392</v>
      </c>
      <c r="AJ47" s="302">
        <v>234</v>
      </c>
      <c r="AK47" s="302">
        <v>124</v>
      </c>
      <c r="AL47" s="302">
        <v>242</v>
      </c>
      <c r="AM47" s="302">
        <v>249</v>
      </c>
      <c r="AN47" s="302">
        <v>194</v>
      </c>
      <c r="AO47" s="302">
        <v>184</v>
      </c>
      <c r="AP47" s="302">
        <v>145</v>
      </c>
      <c r="AQ47" s="302">
        <v>326</v>
      </c>
      <c r="AR47" s="302">
        <v>308</v>
      </c>
      <c r="AS47" s="302">
        <v>449</v>
      </c>
      <c r="AT47" s="302">
        <v>922</v>
      </c>
      <c r="AU47" s="302">
        <v>202</v>
      </c>
      <c r="AV47" s="302">
        <v>324</v>
      </c>
      <c r="AW47" s="302">
        <v>1020</v>
      </c>
      <c r="AX47" s="302">
        <v>442</v>
      </c>
      <c r="AY47" s="302">
        <v>325</v>
      </c>
      <c r="AZ47" s="302">
        <v>200</v>
      </c>
      <c r="BA47" s="302">
        <v>176</v>
      </c>
      <c r="BB47" s="302">
        <v>102</v>
      </c>
      <c r="BC47" s="302">
        <v>148</v>
      </c>
      <c r="BD47" s="302"/>
      <c r="BE47" s="303"/>
      <c r="BF47" s="8">
        <f t="shared" si="10"/>
        <v>47</v>
      </c>
    </row>
    <row r="48" spans="1:58">
      <c r="A48" s="23" t="s">
        <v>53</v>
      </c>
      <c r="B48" s="23" t="s">
        <v>54</v>
      </c>
      <c r="C48" s="24" t="s">
        <v>16</v>
      </c>
      <c r="D48" s="25"/>
      <c r="E48" s="26">
        <f t="shared" ref="E48:AJ48" si="11">IF(OR(ISBLANK(E46),ISBLANK(E47)),"uncalcuable",E47-E46)</f>
        <v>94</v>
      </c>
      <c r="F48" s="26">
        <f t="shared" si="11"/>
        <v>62</v>
      </c>
      <c r="G48" s="26">
        <f t="shared" si="11"/>
        <v>74</v>
      </c>
      <c r="H48" s="26">
        <f t="shared" si="11"/>
        <v>89</v>
      </c>
      <c r="I48" s="26">
        <f t="shared" si="11"/>
        <v>90</v>
      </c>
      <c r="J48" s="26">
        <f t="shared" si="11"/>
        <v>104</v>
      </c>
      <c r="K48" s="26" t="str">
        <f t="shared" si="11"/>
        <v>uncalcuable</v>
      </c>
      <c r="L48" s="26">
        <f t="shared" si="11"/>
        <v>84</v>
      </c>
      <c r="M48" s="26" t="str">
        <f t="shared" si="11"/>
        <v>uncalcuable</v>
      </c>
      <c r="N48" s="26">
        <f t="shared" si="11"/>
        <v>92</v>
      </c>
      <c r="O48" s="26">
        <f t="shared" si="11"/>
        <v>86</v>
      </c>
      <c r="P48" s="26">
        <f t="shared" si="11"/>
        <v>62</v>
      </c>
      <c r="Q48" s="26">
        <f t="shared" si="11"/>
        <v>81</v>
      </c>
      <c r="R48" s="26">
        <f t="shared" si="11"/>
        <v>85</v>
      </c>
      <c r="S48" s="26">
        <f t="shared" si="11"/>
        <v>88</v>
      </c>
      <c r="T48" s="26" t="str">
        <f t="shared" si="11"/>
        <v>uncalcuable</v>
      </c>
      <c r="U48" s="26">
        <f t="shared" si="11"/>
        <v>156</v>
      </c>
      <c r="V48" s="26">
        <f t="shared" si="11"/>
        <v>169</v>
      </c>
      <c r="W48" s="26">
        <f t="shared" si="11"/>
        <v>911</v>
      </c>
      <c r="X48" s="26">
        <f t="shared" si="11"/>
        <v>153</v>
      </c>
      <c r="Y48" s="26">
        <f t="shared" si="11"/>
        <v>453</v>
      </c>
      <c r="Z48" s="26">
        <f t="shared" si="11"/>
        <v>214</v>
      </c>
      <c r="AA48" s="26">
        <f t="shared" si="11"/>
        <v>416</v>
      </c>
      <c r="AB48" s="26">
        <f t="shared" si="11"/>
        <v>371</v>
      </c>
      <c r="AC48" s="26">
        <f t="shared" si="11"/>
        <v>229</v>
      </c>
      <c r="AD48" s="26">
        <f t="shared" si="11"/>
        <v>144.5</v>
      </c>
      <c r="AE48" s="26" t="str">
        <f t="shared" si="11"/>
        <v>uncalcuable</v>
      </c>
      <c r="AF48" s="26">
        <f t="shared" si="11"/>
        <v>178</v>
      </c>
      <c r="AG48" s="26">
        <f t="shared" si="11"/>
        <v>289</v>
      </c>
      <c r="AH48" s="26">
        <f t="shared" si="11"/>
        <v>773</v>
      </c>
      <c r="AI48" s="26">
        <f t="shared" si="11"/>
        <v>380</v>
      </c>
      <c r="AJ48" s="26">
        <f t="shared" si="11"/>
        <v>223</v>
      </c>
      <c r="AK48" s="26">
        <f t="shared" ref="AK48:BD48" si="12">IF(OR(ISBLANK(AK46),ISBLANK(AK47)),"uncalcuable",AK47-AK46)</f>
        <v>124</v>
      </c>
      <c r="AL48" s="26">
        <f t="shared" si="12"/>
        <v>231</v>
      </c>
      <c r="AM48" s="26">
        <f t="shared" si="12"/>
        <v>241</v>
      </c>
      <c r="AN48" s="26">
        <f t="shared" si="12"/>
        <v>179</v>
      </c>
      <c r="AO48" s="26">
        <f t="shared" si="12"/>
        <v>142</v>
      </c>
      <c r="AP48" s="26">
        <f t="shared" si="12"/>
        <v>132</v>
      </c>
      <c r="AQ48" s="26">
        <f t="shared" si="12"/>
        <v>314</v>
      </c>
      <c r="AR48" s="26">
        <f t="shared" si="12"/>
        <v>288</v>
      </c>
      <c r="AS48" s="26">
        <f t="shared" si="12"/>
        <v>436</v>
      </c>
      <c r="AT48" s="26">
        <f t="shared" si="12"/>
        <v>913</v>
      </c>
      <c r="AU48" s="26">
        <f t="shared" si="12"/>
        <v>202</v>
      </c>
      <c r="AV48" s="26">
        <f t="shared" si="12"/>
        <v>324</v>
      </c>
      <c r="AW48" s="26">
        <f t="shared" si="12"/>
        <v>1010</v>
      </c>
      <c r="AX48" s="26">
        <f t="shared" si="12"/>
        <v>442</v>
      </c>
      <c r="AY48" s="26">
        <f t="shared" si="12"/>
        <v>317</v>
      </c>
      <c r="AZ48" s="26">
        <f t="shared" si="12"/>
        <v>182</v>
      </c>
      <c r="BA48" s="26">
        <f t="shared" si="12"/>
        <v>176</v>
      </c>
      <c r="BB48" s="26">
        <f t="shared" si="12"/>
        <v>87</v>
      </c>
      <c r="BC48" s="26">
        <f t="shared" si="12"/>
        <v>142</v>
      </c>
      <c r="BD48" s="26" t="str">
        <f t="shared" si="12"/>
        <v>uncalcuable</v>
      </c>
      <c r="BE48" s="303"/>
      <c r="BF48" s="8">
        <f t="shared" si="10"/>
        <v>47</v>
      </c>
    </row>
    <row r="49" spans="1:58">
      <c r="A49" s="313" t="s">
        <v>55</v>
      </c>
      <c r="B49" s="313" t="s">
        <v>56</v>
      </c>
      <c r="C49" s="27" t="s">
        <v>16</v>
      </c>
      <c r="D49" s="293"/>
      <c r="E49" s="314"/>
      <c r="F49" s="314">
        <v>0.06</v>
      </c>
      <c r="G49" s="314">
        <v>0.06</v>
      </c>
      <c r="H49" s="314"/>
      <c r="I49" s="314"/>
      <c r="J49" s="314"/>
      <c r="K49" s="314"/>
      <c r="L49" s="314">
        <v>0.08</v>
      </c>
      <c r="M49" s="314"/>
      <c r="N49" s="314">
        <v>0.04</v>
      </c>
      <c r="O49" s="314"/>
      <c r="P49" s="314">
        <v>0</v>
      </c>
      <c r="Q49" s="314">
        <v>0</v>
      </c>
      <c r="R49" s="314">
        <v>0</v>
      </c>
      <c r="S49" s="314">
        <v>0</v>
      </c>
      <c r="T49" s="314"/>
      <c r="U49" s="314">
        <v>0.04</v>
      </c>
      <c r="V49" s="314">
        <v>0.05</v>
      </c>
      <c r="W49" s="314">
        <v>0.06</v>
      </c>
      <c r="X49" s="314">
        <v>0.05</v>
      </c>
      <c r="Y49" s="314">
        <v>0.05</v>
      </c>
      <c r="Z49" s="314">
        <v>0.06</v>
      </c>
      <c r="AA49" s="314">
        <v>0.05</v>
      </c>
      <c r="AB49" s="314">
        <v>0.04</v>
      </c>
      <c r="AC49" s="314">
        <v>0.08</v>
      </c>
      <c r="AD49" s="314">
        <v>0.08</v>
      </c>
      <c r="AE49" s="314">
        <v>0.04</v>
      </c>
      <c r="AF49" s="314">
        <v>7.0000000000000007E-2</v>
      </c>
      <c r="AG49" s="314">
        <v>7.0000000000000007E-2</v>
      </c>
      <c r="AH49" s="314">
        <v>0.1</v>
      </c>
      <c r="AI49" s="314">
        <v>0.05</v>
      </c>
      <c r="AJ49" s="314">
        <v>0.05</v>
      </c>
      <c r="AK49" s="314">
        <v>0.06</v>
      </c>
      <c r="AL49" s="301">
        <v>0.06</v>
      </c>
      <c r="AM49" s="314">
        <v>0.04</v>
      </c>
      <c r="AN49" s="314">
        <v>0.05</v>
      </c>
      <c r="AO49" s="314">
        <v>7.0000000000000007E-2</v>
      </c>
      <c r="AP49" s="314">
        <v>0.1</v>
      </c>
      <c r="AQ49" s="314">
        <v>0.08</v>
      </c>
      <c r="AR49" s="314">
        <v>7.0000000000000007E-2</v>
      </c>
      <c r="AS49" s="314">
        <v>0.12</v>
      </c>
      <c r="AT49" s="314">
        <v>0.06</v>
      </c>
      <c r="AU49" s="314">
        <v>0.1</v>
      </c>
      <c r="AV49" s="314">
        <v>0.05</v>
      </c>
      <c r="AW49" s="314">
        <v>0.1</v>
      </c>
      <c r="AX49" s="314">
        <v>7.0000000000000007E-2</v>
      </c>
      <c r="AY49" s="301">
        <v>0.09</v>
      </c>
      <c r="AZ49" s="314">
        <v>0.04</v>
      </c>
      <c r="BA49" s="314">
        <v>7.0000000000000007E-2</v>
      </c>
      <c r="BB49" s="314">
        <v>7.0000000000000007E-2</v>
      </c>
      <c r="BC49" s="314">
        <v>0</v>
      </c>
      <c r="BD49" s="314"/>
      <c r="BE49" s="315"/>
      <c r="BF49" s="8">
        <f t="shared" si="10"/>
        <v>43</v>
      </c>
    </row>
    <row r="50" spans="1:58">
      <c r="A50" s="304" t="s">
        <v>57</v>
      </c>
      <c r="B50" s="304" t="s">
        <v>14</v>
      </c>
      <c r="D50" s="293"/>
      <c r="E50" s="305">
        <v>2.6</v>
      </c>
      <c r="F50" s="305">
        <v>2.1</v>
      </c>
      <c r="G50" s="305">
        <v>2</v>
      </c>
      <c r="H50" s="305">
        <v>2.2999999999999998</v>
      </c>
      <c r="I50" s="305">
        <v>2</v>
      </c>
      <c r="J50" s="305">
        <v>2.1</v>
      </c>
      <c r="K50" s="305">
        <v>1.5</v>
      </c>
      <c r="L50" s="305"/>
      <c r="M50" s="305"/>
      <c r="N50" s="305">
        <v>1.6</v>
      </c>
      <c r="O50" s="305"/>
      <c r="P50" s="305">
        <v>1.5</v>
      </c>
      <c r="Q50" s="305">
        <v>4</v>
      </c>
      <c r="R50" s="305"/>
      <c r="S50" s="305">
        <v>4.2</v>
      </c>
      <c r="T50" s="305"/>
      <c r="U50" s="305">
        <v>5.5</v>
      </c>
      <c r="V50" s="305">
        <v>3.3</v>
      </c>
      <c r="W50" s="305">
        <v>2.5</v>
      </c>
      <c r="X50" s="305">
        <v>1.9</v>
      </c>
      <c r="Y50" s="305">
        <v>2.1</v>
      </c>
      <c r="Z50" s="305"/>
      <c r="AA50" s="305">
        <v>1.6</v>
      </c>
      <c r="AB50" s="305">
        <v>2.2999999999999998</v>
      </c>
      <c r="AC50" s="305"/>
      <c r="AD50" s="305">
        <v>3</v>
      </c>
      <c r="AE50" s="305"/>
      <c r="AF50" s="305">
        <v>3.6</v>
      </c>
      <c r="AG50" s="305">
        <v>3.9</v>
      </c>
      <c r="AH50" s="305">
        <v>3.8</v>
      </c>
      <c r="AI50" s="305">
        <v>5.2</v>
      </c>
      <c r="AJ50" s="325">
        <v>3.3</v>
      </c>
      <c r="AK50" s="305">
        <v>0.5</v>
      </c>
      <c r="AL50" s="301">
        <v>3.2</v>
      </c>
      <c r="AM50" s="305">
        <v>3.2</v>
      </c>
      <c r="AN50" s="305">
        <v>2.7</v>
      </c>
      <c r="AO50" s="305">
        <v>2.7</v>
      </c>
      <c r="AP50" s="305">
        <v>1.3</v>
      </c>
      <c r="AQ50" s="305">
        <v>2.4</v>
      </c>
      <c r="AR50" s="305">
        <v>0.9</v>
      </c>
      <c r="AS50" s="305">
        <v>7.2</v>
      </c>
      <c r="AT50" s="305">
        <v>3.5</v>
      </c>
      <c r="AU50" s="305">
        <v>4</v>
      </c>
      <c r="AV50" s="305">
        <v>3.3</v>
      </c>
      <c r="AW50" s="305">
        <v>2.1</v>
      </c>
      <c r="AX50" s="305">
        <v>2.7</v>
      </c>
      <c r="AY50" s="301">
        <v>2.6</v>
      </c>
      <c r="AZ50" s="305">
        <v>3.6</v>
      </c>
      <c r="BA50" s="305">
        <v>3.6</v>
      </c>
      <c r="BB50" s="305">
        <v>1.9</v>
      </c>
      <c r="BC50" s="305"/>
      <c r="BD50" s="305"/>
      <c r="BE50" s="306"/>
      <c r="BF50" s="8">
        <f t="shared" si="10"/>
        <v>42</v>
      </c>
    </row>
    <row r="51" spans="1:58">
      <c r="A51" s="313" t="s">
        <v>58</v>
      </c>
      <c r="B51" s="313" t="s">
        <v>14</v>
      </c>
      <c r="C51" s="27" t="s">
        <v>16</v>
      </c>
      <c r="D51" s="293"/>
      <c r="E51" s="314"/>
      <c r="F51" s="314">
        <v>0</v>
      </c>
      <c r="G51" s="314">
        <v>0</v>
      </c>
      <c r="H51" s="314">
        <v>0</v>
      </c>
      <c r="I51" s="314">
        <v>0</v>
      </c>
      <c r="J51" s="314">
        <v>0</v>
      </c>
      <c r="K51" s="314"/>
      <c r="L51" s="314">
        <v>0</v>
      </c>
      <c r="M51" s="314"/>
      <c r="N51" s="314">
        <v>0</v>
      </c>
      <c r="O51" s="314">
        <v>0</v>
      </c>
      <c r="P51" s="314">
        <v>0</v>
      </c>
      <c r="Q51" s="314">
        <v>0</v>
      </c>
      <c r="R51" s="314">
        <v>0</v>
      </c>
      <c r="S51" s="314">
        <v>0</v>
      </c>
      <c r="T51" s="314">
        <v>0</v>
      </c>
      <c r="U51" s="314">
        <v>0</v>
      </c>
      <c r="V51" s="314">
        <v>0</v>
      </c>
      <c r="W51" s="314">
        <v>0</v>
      </c>
      <c r="X51" s="314">
        <v>0</v>
      </c>
      <c r="Y51" s="314">
        <v>0</v>
      </c>
      <c r="Z51" s="314">
        <v>0</v>
      </c>
      <c r="AA51" s="314">
        <v>0</v>
      </c>
      <c r="AB51" s="314">
        <v>0</v>
      </c>
      <c r="AC51" s="314">
        <v>0</v>
      </c>
      <c r="AD51" s="314">
        <v>0</v>
      </c>
      <c r="AE51" s="314"/>
      <c r="AF51" s="314">
        <v>0</v>
      </c>
      <c r="AG51" s="314">
        <v>0</v>
      </c>
      <c r="AH51" s="314">
        <v>0</v>
      </c>
      <c r="AI51" s="314">
        <v>0</v>
      </c>
      <c r="AJ51" s="314">
        <v>0</v>
      </c>
      <c r="AK51" s="314">
        <v>0</v>
      </c>
      <c r="AL51" s="301">
        <v>0</v>
      </c>
      <c r="AM51" s="314">
        <v>0</v>
      </c>
      <c r="AN51" s="314">
        <v>0</v>
      </c>
      <c r="AO51" s="314">
        <v>0</v>
      </c>
      <c r="AP51" s="314">
        <v>0</v>
      </c>
      <c r="AQ51" s="314">
        <v>0</v>
      </c>
      <c r="AR51" s="314">
        <v>0</v>
      </c>
      <c r="AS51" s="314">
        <v>0</v>
      </c>
      <c r="AT51" s="314">
        <v>0</v>
      </c>
      <c r="AU51" s="314">
        <v>0</v>
      </c>
      <c r="AV51" s="314">
        <v>0</v>
      </c>
      <c r="AW51" s="314">
        <v>0</v>
      </c>
      <c r="AX51" s="314">
        <v>0</v>
      </c>
      <c r="AY51" s="301">
        <v>0</v>
      </c>
      <c r="AZ51" s="314">
        <v>0</v>
      </c>
      <c r="BA51" s="314">
        <v>0</v>
      </c>
      <c r="BB51" s="314">
        <v>0</v>
      </c>
      <c r="BC51" s="314">
        <v>0</v>
      </c>
      <c r="BD51" s="314"/>
      <c r="BE51" s="315"/>
      <c r="BF51" s="8">
        <f t="shared" si="10"/>
        <v>47</v>
      </c>
    </row>
    <row r="52" spans="1:58">
      <c r="A52" s="310" t="s">
        <v>59</v>
      </c>
      <c r="B52" s="326" t="s">
        <v>60</v>
      </c>
      <c r="C52" s="27" t="s">
        <v>16</v>
      </c>
      <c r="D52" s="293"/>
      <c r="E52" s="302"/>
      <c r="F52" s="302">
        <v>11</v>
      </c>
      <c r="G52" s="302">
        <v>6</v>
      </c>
      <c r="H52" s="302">
        <v>5</v>
      </c>
      <c r="I52" s="302">
        <v>6</v>
      </c>
      <c r="J52" s="302">
        <v>5</v>
      </c>
      <c r="K52" s="302"/>
      <c r="L52" s="302">
        <v>7</v>
      </c>
      <c r="M52" s="302"/>
      <c r="N52" s="302">
        <v>4</v>
      </c>
      <c r="O52" s="302"/>
      <c r="P52" s="302">
        <v>12</v>
      </c>
      <c r="Q52" s="302">
        <v>25</v>
      </c>
      <c r="R52" s="302"/>
      <c r="S52" s="302">
        <v>39</v>
      </c>
      <c r="T52" s="302">
        <v>24</v>
      </c>
      <c r="U52" s="302">
        <v>21</v>
      </c>
      <c r="V52" s="302">
        <v>15</v>
      </c>
      <c r="W52" s="302">
        <v>15</v>
      </c>
      <c r="X52" s="302">
        <v>11</v>
      </c>
      <c r="Y52" s="302">
        <v>15</v>
      </c>
      <c r="Z52" s="302">
        <v>10</v>
      </c>
      <c r="AA52" s="302">
        <v>17</v>
      </c>
      <c r="AB52" s="302">
        <v>24</v>
      </c>
      <c r="AC52" s="302">
        <v>47</v>
      </c>
      <c r="AD52" s="302">
        <v>50</v>
      </c>
      <c r="AE52" s="302">
        <v>42</v>
      </c>
      <c r="AF52" s="302">
        <v>26</v>
      </c>
      <c r="AG52" s="302">
        <v>40</v>
      </c>
      <c r="AH52" s="302">
        <v>56</v>
      </c>
      <c r="AI52" s="302">
        <v>39</v>
      </c>
      <c r="AJ52" s="302">
        <v>43</v>
      </c>
      <c r="AK52" s="302">
        <v>44</v>
      </c>
      <c r="AL52" s="301">
        <v>60</v>
      </c>
      <c r="AM52" s="302">
        <v>54</v>
      </c>
      <c r="AN52" s="302">
        <v>42</v>
      </c>
      <c r="AO52" s="302">
        <v>53</v>
      </c>
      <c r="AP52" s="302">
        <v>44</v>
      </c>
      <c r="AQ52" s="302">
        <v>47</v>
      </c>
      <c r="AR52" s="302">
        <v>53</v>
      </c>
      <c r="AS52" s="302">
        <v>47</v>
      </c>
      <c r="AT52" s="302">
        <v>25</v>
      </c>
      <c r="AU52" s="302">
        <v>15</v>
      </c>
      <c r="AV52" s="302">
        <v>2</v>
      </c>
      <c r="AW52" s="302">
        <v>7</v>
      </c>
      <c r="AX52" s="302">
        <v>9</v>
      </c>
      <c r="AY52" s="301">
        <v>10</v>
      </c>
      <c r="AZ52" s="302">
        <v>11</v>
      </c>
      <c r="BA52" s="302">
        <v>14</v>
      </c>
      <c r="BB52" s="302">
        <v>11</v>
      </c>
      <c r="BC52" s="302">
        <v>12</v>
      </c>
      <c r="BD52" s="302"/>
      <c r="BE52" s="303"/>
      <c r="BF52" s="8">
        <f t="shared" si="10"/>
        <v>46</v>
      </c>
    </row>
    <row r="53" spans="1:58">
      <c r="A53" s="313" t="s">
        <v>61</v>
      </c>
      <c r="B53" s="313" t="s">
        <v>14</v>
      </c>
      <c r="C53" s="27" t="s">
        <v>16</v>
      </c>
      <c r="D53" s="293"/>
      <c r="E53" s="314">
        <v>0.2</v>
      </c>
      <c r="F53" s="314">
        <v>0.2</v>
      </c>
      <c r="G53" s="314">
        <v>0.2</v>
      </c>
      <c r="H53" s="314">
        <v>0.2</v>
      </c>
      <c r="I53" s="314">
        <v>0.2</v>
      </c>
      <c r="J53" s="314">
        <v>0.2</v>
      </c>
      <c r="K53" s="314">
        <v>0.2</v>
      </c>
      <c r="L53" s="314">
        <v>0.21</v>
      </c>
      <c r="M53" s="314"/>
      <c r="N53" s="314">
        <v>0.21</v>
      </c>
      <c r="O53" s="314">
        <v>0.21</v>
      </c>
      <c r="P53" s="314">
        <v>0.21</v>
      </c>
      <c r="Q53" s="314">
        <v>0.2</v>
      </c>
      <c r="R53" s="314">
        <v>0.19</v>
      </c>
      <c r="S53" s="314">
        <v>0.2</v>
      </c>
      <c r="T53" s="314">
        <v>0.21</v>
      </c>
      <c r="U53" s="314">
        <v>0.2</v>
      </c>
      <c r="V53" s="314">
        <v>0.17</v>
      </c>
      <c r="W53" s="314">
        <v>0.18</v>
      </c>
      <c r="X53" s="314">
        <v>0.18</v>
      </c>
      <c r="Y53" s="314">
        <v>0.19</v>
      </c>
      <c r="Z53" s="314">
        <v>0.19</v>
      </c>
      <c r="AA53" s="314">
        <v>0.19</v>
      </c>
      <c r="AB53" s="314">
        <v>0.2</v>
      </c>
      <c r="AC53" s="314">
        <v>0.2</v>
      </c>
      <c r="AD53" s="314">
        <v>0.2</v>
      </c>
      <c r="AE53" s="314">
        <v>0.2</v>
      </c>
      <c r="AF53" s="314">
        <v>0.21</v>
      </c>
      <c r="AG53" s="314">
        <v>0.21</v>
      </c>
      <c r="AH53" s="314">
        <v>0.21</v>
      </c>
      <c r="AI53" s="314">
        <v>0.21</v>
      </c>
      <c r="AJ53" s="314">
        <v>0.2</v>
      </c>
      <c r="AK53" s="314">
        <v>0.2</v>
      </c>
      <c r="AL53" s="301">
        <v>0.21</v>
      </c>
      <c r="AM53" s="314">
        <v>0.22</v>
      </c>
      <c r="AN53" s="314">
        <v>0.22</v>
      </c>
      <c r="AO53" s="314">
        <v>0.22</v>
      </c>
      <c r="AP53" s="314">
        <v>0.22</v>
      </c>
      <c r="AQ53" s="314">
        <v>0.22</v>
      </c>
      <c r="AR53" s="314">
        <v>0.22</v>
      </c>
      <c r="AS53" s="314">
        <v>0.22</v>
      </c>
      <c r="AT53" s="314">
        <v>0.22</v>
      </c>
      <c r="AU53" s="314">
        <v>0.22</v>
      </c>
      <c r="AV53" s="314">
        <v>0.2</v>
      </c>
      <c r="AW53" s="314">
        <v>0.2</v>
      </c>
      <c r="AX53" s="314">
        <v>0.2</v>
      </c>
      <c r="AY53" s="327">
        <v>0.2</v>
      </c>
      <c r="AZ53" s="314">
        <v>0.2</v>
      </c>
      <c r="BA53" s="314">
        <v>0.2</v>
      </c>
      <c r="BB53" s="314">
        <v>0.21</v>
      </c>
      <c r="BC53" s="314">
        <v>0.21</v>
      </c>
      <c r="BD53" s="314"/>
      <c r="BE53" s="315"/>
      <c r="BF53" s="8">
        <f t="shared" si="10"/>
        <v>50</v>
      </c>
    </row>
    <row r="54" spans="1:58">
      <c r="A54" s="313" t="s">
        <v>62</v>
      </c>
      <c r="B54" s="313" t="s">
        <v>14</v>
      </c>
      <c r="C54" s="27" t="s">
        <v>16</v>
      </c>
      <c r="D54" s="293"/>
      <c r="E54" s="314"/>
      <c r="F54" s="314"/>
      <c r="G54" s="314"/>
      <c r="H54" s="314"/>
      <c r="I54" s="314">
        <v>0</v>
      </c>
      <c r="J54" s="314">
        <v>0</v>
      </c>
      <c r="K54" s="314"/>
      <c r="L54" s="314">
        <v>0</v>
      </c>
      <c r="M54" s="314"/>
      <c r="N54" s="314">
        <v>0</v>
      </c>
      <c r="O54" s="314"/>
      <c r="P54" s="314">
        <v>0</v>
      </c>
      <c r="Q54" s="314">
        <v>0</v>
      </c>
      <c r="R54" s="314">
        <v>0</v>
      </c>
      <c r="S54" s="314">
        <v>0</v>
      </c>
      <c r="T54" s="314"/>
      <c r="U54" s="314">
        <v>0</v>
      </c>
      <c r="V54" s="314">
        <v>0</v>
      </c>
      <c r="W54" s="314">
        <v>0</v>
      </c>
      <c r="X54" s="314">
        <v>0</v>
      </c>
      <c r="Y54" s="314">
        <v>0</v>
      </c>
      <c r="Z54" s="314">
        <v>0</v>
      </c>
      <c r="AA54" s="314">
        <v>0</v>
      </c>
      <c r="AB54" s="314">
        <v>0</v>
      </c>
      <c r="AC54" s="314">
        <v>0</v>
      </c>
      <c r="AD54" s="314">
        <v>0</v>
      </c>
      <c r="AE54" s="314">
        <v>0</v>
      </c>
      <c r="AF54" s="314">
        <v>0</v>
      </c>
      <c r="AG54" s="314">
        <v>0</v>
      </c>
      <c r="AH54" s="314">
        <v>0</v>
      </c>
      <c r="AI54" s="314">
        <v>0</v>
      </c>
      <c r="AJ54" s="314">
        <v>0</v>
      </c>
      <c r="AK54" s="314">
        <v>0</v>
      </c>
      <c r="AL54" s="301">
        <v>0</v>
      </c>
      <c r="AM54" s="314">
        <v>0</v>
      </c>
      <c r="AN54" s="314">
        <v>0</v>
      </c>
      <c r="AO54" s="314">
        <v>0</v>
      </c>
      <c r="AP54" s="314">
        <v>0</v>
      </c>
      <c r="AQ54" s="314">
        <v>0</v>
      </c>
      <c r="AR54" s="314">
        <v>0</v>
      </c>
      <c r="AS54" s="314">
        <v>0</v>
      </c>
      <c r="AT54" s="314">
        <v>0</v>
      </c>
      <c r="AU54" s="314">
        <v>0</v>
      </c>
      <c r="AV54" s="314">
        <v>0</v>
      </c>
      <c r="AW54" s="314"/>
      <c r="AX54" s="314">
        <v>0</v>
      </c>
      <c r="AY54" s="301">
        <v>0</v>
      </c>
      <c r="AZ54" s="314">
        <v>0</v>
      </c>
      <c r="BA54" s="314">
        <v>0</v>
      </c>
      <c r="BB54" s="314">
        <v>0</v>
      </c>
      <c r="BC54" s="314">
        <v>0</v>
      </c>
      <c r="BD54" s="314"/>
      <c r="BE54" s="315"/>
      <c r="BF54" s="8">
        <f t="shared" si="10"/>
        <v>42</v>
      </c>
    </row>
    <row r="55" spans="1:58">
      <c r="A55" s="313" t="s">
        <v>63</v>
      </c>
      <c r="B55" s="313" t="s">
        <v>14</v>
      </c>
      <c r="C55" s="27" t="s">
        <v>16</v>
      </c>
      <c r="D55" s="293"/>
      <c r="E55" s="314"/>
      <c r="F55" s="314"/>
      <c r="G55" s="314"/>
      <c r="H55" s="314"/>
      <c r="I55" s="314">
        <v>0.05</v>
      </c>
      <c r="J55" s="314">
        <v>0.09</v>
      </c>
      <c r="K55" s="314"/>
      <c r="L55" s="314">
        <v>7.0000000000000007E-2</v>
      </c>
      <c r="M55" s="314"/>
      <c r="N55" s="314">
        <v>7.0000000000000007E-2</v>
      </c>
      <c r="O55" s="314"/>
      <c r="P55" s="314">
        <v>0.05</v>
      </c>
      <c r="Q55" s="314">
        <v>0.05</v>
      </c>
      <c r="R55" s="314">
        <v>0.08</v>
      </c>
      <c r="S55" s="314">
        <v>0.08</v>
      </c>
      <c r="T55" s="314"/>
      <c r="U55" s="314">
        <v>0.1</v>
      </c>
      <c r="V55" s="314">
        <v>0.13</v>
      </c>
      <c r="W55" s="314">
        <v>0.42</v>
      </c>
      <c r="X55" s="314">
        <v>0.11</v>
      </c>
      <c r="Y55" s="314">
        <v>0.26</v>
      </c>
      <c r="Z55" s="314">
        <v>0.12</v>
      </c>
      <c r="AA55" s="314">
        <v>0.24</v>
      </c>
      <c r="AB55" s="314">
        <v>0.18</v>
      </c>
      <c r="AC55" s="314">
        <v>0.18</v>
      </c>
      <c r="AD55" s="314">
        <v>0.1</v>
      </c>
      <c r="AE55" s="314">
        <v>0.21</v>
      </c>
      <c r="AF55" s="314">
        <v>0.13</v>
      </c>
      <c r="AG55" s="314">
        <v>0.16</v>
      </c>
      <c r="AH55" s="314">
        <v>0.31</v>
      </c>
      <c r="AI55" s="314">
        <v>0.21</v>
      </c>
      <c r="AJ55" s="314">
        <v>0.14000000000000001</v>
      </c>
      <c r="AK55" s="314">
        <v>0.1</v>
      </c>
      <c r="AL55" s="301">
        <v>0.15</v>
      </c>
      <c r="AM55" s="314">
        <v>0.1</v>
      </c>
      <c r="AN55" s="314">
        <v>7.0000000000000007E-2</v>
      </c>
      <c r="AO55" s="314">
        <v>0.1</v>
      </c>
      <c r="AP55" s="314">
        <v>7.0000000000000007E-2</v>
      </c>
      <c r="AQ55" s="314">
        <v>0.16</v>
      </c>
      <c r="AR55" s="314">
        <v>0.16</v>
      </c>
      <c r="AS55" s="314">
        <v>0.21</v>
      </c>
      <c r="AT55" s="314">
        <v>0.48</v>
      </c>
      <c r="AU55" s="314">
        <v>0.14000000000000001</v>
      </c>
      <c r="AV55" s="314">
        <v>0.17</v>
      </c>
      <c r="AW55" s="314"/>
      <c r="AX55" s="314">
        <v>0.26</v>
      </c>
      <c r="AY55" s="301">
        <v>0.17</v>
      </c>
      <c r="AZ55" s="314">
        <v>0.09</v>
      </c>
      <c r="BA55" s="314">
        <v>0.08</v>
      </c>
      <c r="BB55" s="314">
        <v>0.03</v>
      </c>
      <c r="BC55" s="314">
        <v>7.0000000000000007E-2</v>
      </c>
      <c r="BD55" s="314"/>
      <c r="BE55" s="315"/>
      <c r="BF55" s="8">
        <f t="shared" si="10"/>
        <v>42</v>
      </c>
    </row>
    <row r="56" spans="1:58">
      <c r="A56" s="326" t="s">
        <v>64</v>
      </c>
      <c r="B56" s="313" t="s">
        <v>14</v>
      </c>
      <c r="C56" s="27" t="s">
        <v>16</v>
      </c>
      <c r="D56" s="293"/>
      <c r="E56" s="314"/>
      <c r="F56" s="314"/>
      <c r="G56" s="314"/>
      <c r="H56" s="314"/>
      <c r="I56" s="314">
        <v>0.01</v>
      </c>
      <c r="J56" s="314">
        <v>0.01</v>
      </c>
      <c r="K56" s="314"/>
      <c r="L56" s="314">
        <v>0.02</v>
      </c>
      <c r="M56" s="314"/>
      <c r="N56" s="314">
        <v>0.03</v>
      </c>
      <c r="O56" s="314"/>
      <c r="P56" s="314">
        <v>0.1</v>
      </c>
      <c r="Q56" s="314">
        <v>0.08</v>
      </c>
      <c r="R56" s="314">
        <v>0.24</v>
      </c>
      <c r="S56" s="314">
        <v>0.28999999999999998</v>
      </c>
      <c r="T56" s="314"/>
      <c r="U56" s="314">
        <v>0.28000000000000003</v>
      </c>
      <c r="V56" s="314">
        <v>0.02</v>
      </c>
      <c r="W56" s="314">
        <v>0</v>
      </c>
      <c r="X56" s="314">
        <v>0</v>
      </c>
      <c r="Y56" s="314">
        <v>0</v>
      </c>
      <c r="Z56" s="314">
        <v>0</v>
      </c>
      <c r="AA56" s="314">
        <v>0</v>
      </c>
      <c r="AB56" s="314">
        <v>0</v>
      </c>
      <c r="AC56" s="314">
        <v>0</v>
      </c>
      <c r="AD56" s="314">
        <v>0</v>
      </c>
      <c r="AE56" s="314">
        <v>0</v>
      </c>
      <c r="AF56" s="314">
        <v>0</v>
      </c>
      <c r="AG56" s="314">
        <v>0.01</v>
      </c>
      <c r="AH56" s="314">
        <v>0.01</v>
      </c>
      <c r="AI56" s="314">
        <v>0</v>
      </c>
      <c r="AJ56" s="314">
        <v>0</v>
      </c>
      <c r="AK56" s="314">
        <v>0</v>
      </c>
      <c r="AL56" s="301">
        <v>0</v>
      </c>
      <c r="AM56" s="314">
        <v>0</v>
      </c>
      <c r="AN56" s="314">
        <v>0.01</v>
      </c>
      <c r="AO56" s="314">
        <v>0</v>
      </c>
      <c r="AP56" s="314">
        <v>0</v>
      </c>
      <c r="AQ56" s="314">
        <v>0</v>
      </c>
      <c r="AR56" s="314">
        <v>0.01</v>
      </c>
      <c r="AS56" s="314">
        <v>0.01</v>
      </c>
      <c r="AT56" s="314">
        <v>0</v>
      </c>
      <c r="AU56" s="314">
        <v>0.01</v>
      </c>
      <c r="AV56" s="314">
        <v>0</v>
      </c>
      <c r="AW56" s="314"/>
      <c r="AX56" s="314">
        <v>0</v>
      </c>
      <c r="AY56" s="301">
        <v>0</v>
      </c>
      <c r="AZ56" s="314">
        <v>0</v>
      </c>
      <c r="BA56" s="314">
        <v>0.01</v>
      </c>
      <c r="BB56" s="314">
        <v>0.01</v>
      </c>
      <c r="BC56" s="314">
        <v>0</v>
      </c>
      <c r="BD56" s="314"/>
      <c r="BE56" s="315"/>
      <c r="BF56" s="8">
        <f t="shared" si="10"/>
        <v>42</v>
      </c>
    </row>
    <row r="57" spans="1:58">
      <c r="A57" s="313" t="s">
        <v>65</v>
      </c>
      <c r="B57" s="313" t="s">
        <v>14</v>
      </c>
      <c r="C57" s="27" t="s">
        <v>16</v>
      </c>
      <c r="D57" s="293"/>
      <c r="E57" s="314"/>
      <c r="F57" s="314"/>
      <c r="G57" s="314"/>
      <c r="H57" s="314"/>
      <c r="I57" s="314">
        <v>0.04</v>
      </c>
      <c r="J57" s="314">
        <v>0.05</v>
      </c>
      <c r="K57" s="314"/>
      <c r="L57" s="314">
        <v>0.08</v>
      </c>
      <c r="M57" s="314"/>
      <c r="N57" s="314">
        <v>0.09</v>
      </c>
      <c r="O57" s="314"/>
      <c r="P57" s="314">
        <v>0.16</v>
      </c>
      <c r="Q57" s="314">
        <v>0.17</v>
      </c>
      <c r="R57" s="314">
        <v>0.32</v>
      </c>
      <c r="S57" s="314">
        <v>0.39</v>
      </c>
      <c r="T57" s="314"/>
      <c r="U57" s="314">
        <v>0.42</v>
      </c>
      <c r="V57" s="314">
        <v>0.11</v>
      </c>
      <c r="W57" s="314">
        <v>0.09</v>
      </c>
      <c r="X57" s="314">
        <v>0.04</v>
      </c>
      <c r="Y57" s="314">
        <v>0.05</v>
      </c>
      <c r="Z57" s="314">
        <v>0.04</v>
      </c>
      <c r="AA57" s="314">
        <v>0.05</v>
      </c>
      <c r="AB57" s="314">
        <v>0.05</v>
      </c>
      <c r="AC57" s="314">
        <v>0.06</v>
      </c>
      <c r="AD57" s="314">
        <v>7.0000000000000007E-2</v>
      </c>
      <c r="AE57" s="314">
        <v>0.09</v>
      </c>
      <c r="AF57" s="314">
        <v>0.08</v>
      </c>
      <c r="AG57" s="314">
        <v>0.1</v>
      </c>
      <c r="AH57" s="314">
        <v>0.11</v>
      </c>
      <c r="AI57" s="314">
        <v>0.1</v>
      </c>
      <c r="AJ57" s="314">
        <v>0.09</v>
      </c>
      <c r="AK57" s="314">
        <v>0.06</v>
      </c>
      <c r="AL57" s="301">
        <v>0.06</v>
      </c>
      <c r="AM57" s="314">
        <v>0.04</v>
      </c>
      <c r="AN57" s="314">
        <v>0.04</v>
      </c>
      <c r="AO57" s="314">
        <v>0.04</v>
      </c>
      <c r="AP57" s="314">
        <v>0.04</v>
      </c>
      <c r="AQ57" s="314">
        <v>0.04</v>
      </c>
      <c r="AR57" s="314">
        <v>0.04</v>
      </c>
      <c r="AS57" s="314">
        <v>0.05</v>
      </c>
      <c r="AT57" s="314">
        <v>0.05</v>
      </c>
      <c r="AU57" s="314">
        <v>0.02</v>
      </c>
      <c r="AV57" s="314">
        <v>0.02</v>
      </c>
      <c r="AW57" s="314"/>
      <c r="AX57" s="314">
        <v>0.02</v>
      </c>
      <c r="AY57" s="301">
        <v>0.02</v>
      </c>
      <c r="AZ57" s="314">
        <v>0.02</v>
      </c>
      <c r="BA57" s="314">
        <v>0.02</v>
      </c>
      <c r="BB57" s="314">
        <v>0.01</v>
      </c>
      <c r="BC57" s="314">
        <v>0.02</v>
      </c>
      <c r="BD57" s="314"/>
      <c r="BE57" s="315"/>
      <c r="BF57" s="8">
        <f t="shared" si="10"/>
        <v>42</v>
      </c>
    </row>
    <row r="58" spans="1:58">
      <c r="A58" s="313" t="s">
        <v>66</v>
      </c>
      <c r="B58" s="313" t="s">
        <v>14</v>
      </c>
      <c r="C58" s="27" t="s">
        <v>16</v>
      </c>
      <c r="D58" s="293"/>
      <c r="E58" s="314"/>
      <c r="F58" s="314">
        <v>0</v>
      </c>
      <c r="G58" s="314">
        <v>7.0000000000000007E-2</v>
      </c>
      <c r="H58" s="314">
        <v>7.0000000000000007E-2</v>
      </c>
      <c r="I58" s="314">
        <v>0.08</v>
      </c>
      <c r="J58" s="314">
        <v>0.11</v>
      </c>
      <c r="K58" s="314"/>
      <c r="L58" s="314">
        <v>0.16</v>
      </c>
      <c r="M58" s="314"/>
      <c r="N58" s="314">
        <v>0.22</v>
      </c>
      <c r="O58" s="314">
        <v>0.25</v>
      </c>
      <c r="P58" s="314">
        <v>0.24</v>
      </c>
      <c r="Q58" s="314">
        <v>0.14000000000000001</v>
      </c>
      <c r="R58" s="314">
        <v>0.03</v>
      </c>
      <c r="S58" s="314">
        <v>0</v>
      </c>
      <c r="T58" s="314">
        <v>0</v>
      </c>
      <c r="U58" s="314">
        <v>0</v>
      </c>
      <c r="V58" s="314">
        <v>0</v>
      </c>
      <c r="W58" s="314">
        <v>0</v>
      </c>
      <c r="X58" s="314">
        <v>0</v>
      </c>
      <c r="Y58" s="314">
        <v>0</v>
      </c>
      <c r="Z58" s="314">
        <v>0</v>
      </c>
      <c r="AA58" s="314">
        <v>0</v>
      </c>
      <c r="AB58" s="314">
        <v>0</v>
      </c>
      <c r="AC58" s="314">
        <v>0</v>
      </c>
      <c r="AD58" s="314">
        <v>0</v>
      </c>
      <c r="AE58" s="314"/>
      <c r="AF58" s="314">
        <v>0</v>
      </c>
      <c r="AG58" s="314">
        <v>0.04</v>
      </c>
      <c r="AH58" s="314">
        <v>0.03</v>
      </c>
      <c r="AI58" s="314">
        <v>0</v>
      </c>
      <c r="AJ58" s="314">
        <v>0</v>
      </c>
      <c r="AK58" s="314">
        <v>0</v>
      </c>
      <c r="AL58" s="301">
        <v>0.03</v>
      </c>
      <c r="AM58" s="314">
        <v>0</v>
      </c>
      <c r="AN58" s="314">
        <v>0</v>
      </c>
      <c r="AO58" s="314">
        <v>0</v>
      </c>
      <c r="AP58" s="314">
        <v>0</v>
      </c>
      <c r="AQ58" s="314">
        <v>0</v>
      </c>
      <c r="AR58" s="314">
        <v>0</v>
      </c>
      <c r="AS58" s="314">
        <v>0</v>
      </c>
      <c r="AT58" s="314">
        <v>0</v>
      </c>
      <c r="AU58" s="314">
        <v>0</v>
      </c>
      <c r="AV58" s="314">
        <v>0</v>
      </c>
      <c r="AW58" s="314">
        <v>0</v>
      </c>
      <c r="AX58" s="314">
        <v>0</v>
      </c>
      <c r="AY58" s="301">
        <v>0</v>
      </c>
      <c r="AZ58" s="314">
        <v>0</v>
      </c>
      <c r="BA58" s="314">
        <v>0</v>
      </c>
      <c r="BB58" s="314">
        <v>0</v>
      </c>
      <c r="BC58" s="314">
        <v>0</v>
      </c>
      <c r="BD58" s="314"/>
      <c r="BE58" s="315"/>
      <c r="BF58" s="8">
        <f t="shared" si="10"/>
        <v>47</v>
      </c>
    </row>
    <row r="59" spans="1:58">
      <c r="A59" s="313" t="s">
        <v>67</v>
      </c>
      <c r="B59" s="313" t="s">
        <v>14</v>
      </c>
      <c r="C59" s="27" t="s">
        <v>16</v>
      </c>
      <c r="D59" s="293"/>
      <c r="E59" s="314"/>
      <c r="F59" s="314">
        <v>0.55000000000000004</v>
      </c>
      <c r="G59" s="314">
        <v>0.54</v>
      </c>
      <c r="H59" s="314"/>
      <c r="I59" s="314"/>
      <c r="J59" s="314"/>
      <c r="K59" s="314"/>
      <c r="L59" s="314">
        <v>0.55000000000000004</v>
      </c>
      <c r="M59" s="314"/>
      <c r="N59" s="314">
        <v>0.41</v>
      </c>
      <c r="O59" s="314"/>
      <c r="P59" s="314">
        <v>0.35</v>
      </c>
      <c r="Q59" s="314">
        <v>0.7</v>
      </c>
      <c r="R59" s="314">
        <v>0.9</v>
      </c>
      <c r="S59" s="314">
        <v>0.53</v>
      </c>
      <c r="T59" s="314"/>
      <c r="U59" s="314">
        <v>0.78</v>
      </c>
      <c r="V59" s="314">
        <v>0.7</v>
      </c>
      <c r="W59" s="314">
        <v>0.72</v>
      </c>
      <c r="X59" s="314">
        <v>0.66</v>
      </c>
      <c r="Y59" s="314">
        <v>0.6</v>
      </c>
      <c r="Z59" s="314">
        <v>0.59</v>
      </c>
      <c r="AA59" s="314">
        <v>0.66</v>
      </c>
      <c r="AB59" s="314">
        <v>0.81</v>
      </c>
      <c r="AC59" s="314">
        <v>1.03</v>
      </c>
      <c r="AD59" s="314">
        <v>1.1200000000000001</v>
      </c>
      <c r="AE59" s="314">
        <v>1.07</v>
      </c>
      <c r="AF59" s="314">
        <v>1.03</v>
      </c>
      <c r="AG59" s="314">
        <v>0.88</v>
      </c>
      <c r="AH59" s="314">
        <v>1.05</v>
      </c>
      <c r="AI59" s="314">
        <v>1.07</v>
      </c>
      <c r="AJ59" s="314">
        <v>1.03</v>
      </c>
      <c r="AK59" s="314">
        <v>0.9</v>
      </c>
      <c r="AL59" s="301">
        <v>1</v>
      </c>
      <c r="AM59" s="314">
        <v>1.08</v>
      </c>
      <c r="AN59" s="314">
        <v>1.36</v>
      </c>
      <c r="AO59" s="314">
        <v>1.1599999999999999</v>
      </c>
      <c r="AP59" s="314">
        <v>1.18</v>
      </c>
      <c r="AQ59" s="314">
        <v>1.45</v>
      </c>
      <c r="AR59" s="314">
        <v>1.49</v>
      </c>
      <c r="AS59" s="314">
        <v>1.35</v>
      </c>
      <c r="AT59" s="314">
        <v>1.6</v>
      </c>
      <c r="AU59" s="314">
        <v>0.82</v>
      </c>
      <c r="AV59" s="314">
        <v>0.54</v>
      </c>
      <c r="AW59" s="314">
        <v>0.63</v>
      </c>
      <c r="AX59" s="314">
        <v>0.56000000000000005</v>
      </c>
      <c r="AY59" s="301">
        <v>0.55000000000000004</v>
      </c>
      <c r="AZ59" s="314">
        <v>0.56999999999999995</v>
      </c>
      <c r="BA59" s="314">
        <v>0.63</v>
      </c>
      <c r="BB59" s="314">
        <v>0.61</v>
      </c>
      <c r="BC59" s="314">
        <v>0.64</v>
      </c>
      <c r="BD59" s="314"/>
      <c r="BE59" s="315"/>
      <c r="BF59" s="8">
        <f t="shared" si="10"/>
        <v>43</v>
      </c>
    </row>
    <row r="60" spans="1:58">
      <c r="A60" s="326" t="s">
        <v>68</v>
      </c>
      <c r="B60" s="304" t="s">
        <v>69</v>
      </c>
      <c r="C60" s="19" t="s">
        <v>16</v>
      </c>
      <c r="D60" s="293"/>
      <c r="E60" s="305">
        <v>8.8000000000000007</v>
      </c>
      <c r="F60" s="305">
        <v>9.4</v>
      </c>
      <c r="G60" s="305">
        <v>8.9</v>
      </c>
      <c r="H60" s="305">
        <v>8.8000000000000007</v>
      </c>
      <c r="I60" s="305">
        <v>8.3000000000000007</v>
      </c>
      <c r="J60" s="305">
        <v>8.4</v>
      </c>
      <c r="K60" s="305">
        <v>8.8000000000000007</v>
      </c>
      <c r="L60" s="305">
        <v>8.4</v>
      </c>
      <c r="M60" s="305"/>
      <c r="N60" s="305">
        <v>8.3000000000000007</v>
      </c>
      <c r="O60" s="305">
        <v>8.3000000000000007</v>
      </c>
      <c r="P60" s="305">
        <v>7.7</v>
      </c>
      <c r="Q60" s="305">
        <v>8.1</v>
      </c>
      <c r="R60" s="305">
        <v>9.5</v>
      </c>
      <c r="S60" s="305">
        <v>9.1</v>
      </c>
      <c r="T60" s="305">
        <v>9</v>
      </c>
      <c r="U60" s="305">
        <v>9.6999999999999993</v>
      </c>
      <c r="V60" s="305">
        <v>7.7</v>
      </c>
      <c r="W60" s="305">
        <v>8.5</v>
      </c>
      <c r="X60" s="305">
        <v>7.8</v>
      </c>
      <c r="Y60" s="305">
        <v>8</v>
      </c>
      <c r="Z60" s="305">
        <v>7.6</v>
      </c>
      <c r="AA60" s="305">
        <v>7.7</v>
      </c>
      <c r="AB60" s="305">
        <v>8.9</v>
      </c>
      <c r="AC60" s="305">
        <v>9.1</v>
      </c>
      <c r="AD60" s="305">
        <v>10.6</v>
      </c>
      <c r="AE60" s="305">
        <v>10.199999999999999</v>
      </c>
      <c r="AF60" s="305">
        <v>9.1</v>
      </c>
      <c r="AG60" s="305">
        <v>9</v>
      </c>
      <c r="AH60" s="305">
        <v>10.4</v>
      </c>
      <c r="AI60" s="305">
        <v>9.1999999999999993</v>
      </c>
      <c r="AJ60" s="305">
        <v>10.4</v>
      </c>
      <c r="AK60" s="305">
        <v>9.1999999999999993</v>
      </c>
      <c r="AL60" s="305">
        <v>10.6</v>
      </c>
      <c r="AM60" s="305">
        <v>10.4</v>
      </c>
      <c r="AN60" s="305">
        <v>11.4</v>
      </c>
      <c r="AO60" s="305">
        <v>11</v>
      </c>
      <c r="AP60" s="305">
        <v>11.6</v>
      </c>
      <c r="AQ60" s="305">
        <v>11.2</v>
      </c>
      <c r="AR60" s="305">
        <v>12</v>
      </c>
      <c r="AS60" s="305">
        <v>11.8</v>
      </c>
      <c r="AT60" s="305">
        <v>11.5</v>
      </c>
      <c r="AU60" s="305">
        <v>8.1999999999999993</v>
      </c>
      <c r="AV60" s="305">
        <v>7.4</v>
      </c>
      <c r="AW60" s="305">
        <v>8</v>
      </c>
      <c r="AX60" s="305">
        <v>7</v>
      </c>
      <c r="AY60" s="305">
        <v>7.6</v>
      </c>
      <c r="AZ60" s="305">
        <v>7.4</v>
      </c>
      <c r="BA60" s="305">
        <v>7.1</v>
      </c>
      <c r="BB60" s="305">
        <v>7.6</v>
      </c>
      <c r="BC60" s="305">
        <v>7.4</v>
      </c>
      <c r="BD60" s="305"/>
      <c r="BE60" s="315"/>
      <c r="BF60" s="8">
        <f t="shared" si="10"/>
        <v>50</v>
      </c>
    </row>
    <row r="61" spans="1:58">
      <c r="A61" s="304" t="s">
        <v>70</v>
      </c>
      <c r="B61" s="304" t="s">
        <v>69</v>
      </c>
      <c r="C61" s="19" t="s">
        <v>16</v>
      </c>
      <c r="D61" s="293"/>
      <c r="E61" s="305">
        <v>8.1999999999999993</v>
      </c>
      <c r="F61" s="305">
        <v>8.9</v>
      </c>
      <c r="G61" s="305">
        <v>8.1999999999999993</v>
      </c>
      <c r="H61" s="305">
        <v>8.3000000000000007</v>
      </c>
      <c r="I61" s="305">
        <v>7.9</v>
      </c>
      <c r="J61" s="305">
        <v>8.1999999999999993</v>
      </c>
      <c r="K61" s="305">
        <v>7.8</v>
      </c>
      <c r="L61" s="305">
        <v>8</v>
      </c>
      <c r="M61" s="305">
        <v>8.1</v>
      </c>
      <c r="N61" s="305">
        <v>8.1</v>
      </c>
      <c r="O61" s="305">
        <v>8.1999999999999993</v>
      </c>
      <c r="P61" s="305">
        <v>7.5</v>
      </c>
      <c r="Q61" s="305">
        <v>7.1</v>
      </c>
      <c r="R61" s="305">
        <v>7.7</v>
      </c>
      <c r="S61" s="305">
        <v>7.6</v>
      </c>
      <c r="T61" s="305">
        <v>7.6</v>
      </c>
      <c r="U61" s="305">
        <v>8</v>
      </c>
      <c r="V61" s="305">
        <v>6.6</v>
      </c>
      <c r="W61" s="305">
        <v>7</v>
      </c>
      <c r="X61" s="305">
        <v>6.8</v>
      </c>
      <c r="Y61" s="305">
        <v>6.5</v>
      </c>
      <c r="Z61" s="305">
        <v>6.8</v>
      </c>
      <c r="AA61" s="305">
        <v>6.7</v>
      </c>
      <c r="AB61" s="305">
        <v>7.6</v>
      </c>
      <c r="AC61" s="305">
        <v>7.1</v>
      </c>
      <c r="AD61" s="305">
        <v>8.1999999999999993</v>
      </c>
      <c r="AE61" s="305">
        <v>7.7</v>
      </c>
      <c r="AF61" s="305">
        <v>7.6</v>
      </c>
      <c r="AG61" s="305">
        <v>7.4</v>
      </c>
      <c r="AH61" s="305">
        <v>7.5</v>
      </c>
      <c r="AI61" s="305">
        <v>7.6</v>
      </c>
      <c r="AJ61" s="305">
        <v>7.4</v>
      </c>
      <c r="AK61" s="305">
        <v>7</v>
      </c>
      <c r="AL61" s="328">
        <v>7.6</v>
      </c>
      <c r="AM61" s="305">
        <v>7.4</v>
      </c>
      <c r="AN61" s="305">
        <v>7.2</v>
      </c>
      <c r="AO61" s="305">
        <v>7.8</v>
      </c>
      <c r="AP61" s="305">
        <v>8.4</v>
      </c>
      <c r="AQ61" s="305">
        <v>8</v>
      </c>
      <c r="AR61" s="305">
        <v>7.6</v>
      </c>
      <c r="AS61" s="305">
        <v>7.6</v>
      </c>
      <c r="AT61" s="305">
        <v>7.6</v>
      </c>
      <c r="AU61" s="305">
        <v>7</v>
      </c>
      <c r="AV61" s="305">
        <v>6.8</v>
      </c>
      <c r="AW61" s="305">
        <v>6.8</v>
      </c>
      <c r="AX61" s="305">
        <v>6</v>
      </c>
      <c r="AY61" s="301">
        <v>6.7</v>
      </c>
      <c r="AZ61" s="305">
        <v>6.6</v>
      </c>
      <c r="BA61" s="305">
        <v>6.3</v>
      </c>
      <c r="BB61" s="305">
        <v>6.6</v>
      </c>
      <c r="BC61" s="305">
        <v>6.4</v>
      </c>
      <c r="BD61" s="305"/>
      <c r="BE61" s="306"/>
      <c r="BF61" s="8">
        <f t="shared" si="10"/>
        <v>51</v>
      </c>
    </row>
    <row r="62" spans="1:58">
      <c r="A62" s="304" t="s">
        <v>71</v>
      </c>
      <c r="B62" s="329" t="s">
        <v>72</v>
      </c>
      <c r="C62" s="28" t="s">
        <v>16</v>
      </c>
      <c r="D62" s="293"/>
      <c r="E62" s="330"/>
      <c r="F62" s="330">
        <v>0.89370000000000005</v>
      </c>
      <c r="G62" s="330">
        <v>0.88719999999999999</v>
      </c>
      <c r="H62" s="330">
        <v>0.87050000000000005</v>
      </c>
      <c r="I62" s="330">
        <v>0.89400000000000002</v>
      </c>
      <c r="J62" s="330">
        <v>0.88009999999999999</v>
      </c>
      <c r="K62" s="330"/>
      <c r="L62" s="330">
        <v>0.90839999999999999</v>
      </c>
      <c r="M62" s="330">
        <v>0.89490000000000003</v>
      </c>
      <c r="N62" s="330">
        <v>0.91010000000000002</v>
      </c>
      <c r="O62" s="330"/>
      <c r="P62" s="330">
        <v>0.89800000000000002</v>
      </c>
      <c r="Q62" s="330">
        <v>0.89839999999999998</v>
      </c>
      <c r="R62" s="330">
        <v>0.97230000000000005</v>
      </c>
      <c r="S62" s="330">
        <v>0.87690000000000001</v>
      </c>
      <c r="T62" s="330">
        <v>0.87129999999999996</v>
      </c>
      <c r="U62" s="330">
        <v>0.8891</v>
      </c>
      <c r="V62" s="330">
        <v>0.68659999999999999</v>
      </c>
      <c r="W62" s="330">
        <v>0.71870000000000001</v>
      </c>
      <c r="X62" s="330">
        <v>0.72619999999999996</v>
      </c>
      <c r="Y62" s="330">
        <v>0.72840000000000005</v>
      </c>
      <c r="Z62" s="330">
        <v>0.73680000000000001</v>
      </c>
      <c r="AA62" s="330">
        <v>0.74560000000000004</v>
      </c>
      <c r="AB62" s="330">
        <v>0.77359999999999995</v>
      </c>
      <c r="AC62" s="330">
        <v>0.71799999999999997</v>
      </c>
      <c r="AD62" s="330">
        <v>0.77659999999999996</v>
      </c>
      <c r="AE62" s="330">
        <v>0.78539999999999999</v>
      </c>
      <c r="AF62" s="330">
        <v>0.81589999999999996</v>
      </c>
      <c r="AG62" s="330">
        <v>0.79269999999999996</v>
      </c>
      <c r="AH62" s="330">
        <v>0.80640000000000001</v>
      </c>
      <c r="AI62" s="330">
        <v>0.7772</v>
      </c>
      <c r="AJ62" s="330">
        <v>0.82299999999999995</v>
      </c>
      <c r="AK62" s="330">
        <v>0.83309999999999995</v>
      </c>
      <c r="AL62" s="330">
        <v>0.82840000000000003</v>
      </c>
      <c r="AM62" s="330">
        <v>0.84360000000000002</v>
      </c>
      <c r="AN62" s="330">
        <v>0.86519999999999997</v>
      </c>
      <c r="AO62" s="330">
        <v>0.88849999999999996</v>
      </c>
      <c r="AP62" s="330">
        <v>0.89849999999999997</v>
      </c>
      <c r="AQ62" s="330">
        <v>0.83279999999999998</v>
      </c>
      <c r="AR62" s="330">
        <v>0.82350000000000001</v>
      </c>
      <c r="AS62" s="330">
        <v>0.80689999999999995</v>
      </c>
      <c r="AT62" s="330">
        <v>0.81830000000000003</v>
      </c>
      <c r="AU62" s="330">
        <v>0.79400000000000004</v>
      </c>
      <c r="AV62" s="330">
        <v>1.1294</v>
      </c>
      <c r="AW62" s="330">
        <v>0.82479999999999998</v>
      </c>
      <c r="AX62" s="330">
        <v>0.73089999999999999</v>
      </c>
      <c r="AY62" s="330">
        <v>0.74819999999999998</v>
      </c>
      <c r="AZ62" s="330">
        <v>0.7077</v>
      </c>
      <c r="BA62" s="330">
        <v>0.74729999999999996</v>
      </c>
      <c r="BB62" s="330">
        <v>0.75419999999999998</v>
      </c>
      <c r="BC62" s="330">
        <v>0.76329999999999998</v>
      </c>
      <c r="BD62" s="330"/>
      <c r="BE62" s="331"/>
      <c r="BF62" s="8">
        <f t="shared" si="10"/>
        <v>48</v>
      </c>
    </row>
    <row r="63" spans="1:58">
      <c r="A63" s="332" t="s">
        <v>73</v>
      </c>
      <c r="B63" s="332" t="s">
        <v>74</v>
      </c>
      <c r="C63" s="10" t="s">
        <v>16</v>
      </c>
      <c r="D63" s="308"/>
      <c r="E63" s="333" t="str">
        <f t="shared" ref="E63:AJ63" si="13">IF(OR(ISBLANK(E62),ISBLANK(E61)),"--",E62/E61)</f>
        <v>--</v>
      </c>
      <c r="F63" s="333">
        <f t="shared" si="13"/>
        <v>0.10041573033707865</v>
      </c>
      <c r="G63" s="333">
        <f t="shared" si="13"/>
        <v>0.10819512195121953</v>
      </c>
      <c r="H63" s="333">
        <f t="shared" si="13"/>
        <v>0.10487951807228915</v>
      </c>
      <c r="I63" s="333">
        <f t="shared" si="13"/>
        <v>0.11316455696202532</v>
      </c>
      <c r="J63" s="333">
        <f t="shared" si="13"/>
        <v>0.10732926829268294</v>
      </c>
      <c r="K63" s="333" t="str">
        <f t="shared" si="13"/>
        <v>--</v>
      </c>
      <c r="L63" s="333">
        <f t="shared" si="13"/>
        <v>0.11355</v>
      </c>
      <c r="M63" s="333">
        <f t="shared" si="13"/>
        <v>0.11048148148148149</v>
      </c>
      <c r="N63" s="333">
        <f t="shared" si="13"/>
        <v>0.11235802469135803</v>
      </c>
      <c r="O63" s="333" t="str">
        <f t="shared" si="13"/>
        <v>--</v>
      </c>
      <c r="P63" s="333">
        <f t="shared" si="13"/>
        <v>0.11973333333333333</v>
      </c>
      <c r="Q63" s="333">
        <f t="shared" si="13"/>
        <v>0.12653521126760564</v>
      </c>
      <c r="R63" s="333">
        <f t="shared" si="13"/>
        <v>0.12627272727272729</v>
      </c>
      <c r="S63" s="333">
        <f t="shared" si="13"/>
        <v>0.11538157894736843</v>
      </c>
      <c r="T63" s="333">
        <f t="shared" si="13"/>
        <v>0.11464473684210526</v>
      </c>
      <c r="U63" s="333">
        <f t="shared" si="13"/>
        <v>0.1111375</v>
      </c>
      <c r="V63" s="333">
        <f t="shared" si="13"/>
        <v>0.10403030303030303</v>
      </c>
      <c r="W63" s="333">
        <f t="shared" si="13"/>
        <v>0.10267142857142857</v>
      </c>
      <c r="X63" s="333">
        <f t="shared" si="13"/>
        <v>0.10679411764705882</v>
      </c>
      <c r="Y63" s="333">
        <f t="shared" si="13"/>
        <v>0.11206153846153846</v>
      </c>
      <c r="Z63" s="333">
        <f t="shared" si="13"/>
        <v>0.1083529411764706</v>
      </c>
      <c r="AA63" s="333">
        <f t="shared" si="13"/>
        <v>0.11128358208955225</v>
      </c>
      <c r="AB63" s="333">
        <f t="shared" si="13"/>
        <v>0.10178947368421053</v>
      </c>
      <c r="AC63" s="333">
        <f t="shared" si="13"/>
        <v>0.10112676056338028</v>
      </c>
      <c r="AD63" s="333">
        <f t="shared" si="13"/>
        <v>9.4707317073170733E-2</v>
      </c>
      <c r="AE63" s="333">
        <f t="shared" si="13"/>
        <v>0.10199999999999999</v>
      </c>
      <c r="AF63" s="333">
        <f t="shared" si="13"/>
        <v>0.10735526315789473</v>
      </c>
      <c r="AG63" s="333">
        <f t="shared" si="13"/>
        <v>0.10712162162162162</v>
      </c>
      <c r="AH63" s="333">
        <f t="shared" si="13"/>
        <v>0.10752</v>
      </c>
      <c r="AI63" s="333">
        <f t="shared" si="13"/>
        <v>0.10226315789473685</v>
      </c>
      <c r="AJ63" s="333">
        <f t="shared" si="13"/>
        <v>0.1112162162162162</v>
      </c>
      <c r="AK63" s="333">
        <f t="shared" ref="AK63:BD63" si="14">IF(OR(ISBLANK(AK62),ISBLANK(AK61)),"--",AK62/AK61)</f>
        <v>0.11901428571428571</v>
      </c>
      <c r="AL63" s="333">
        <f t="shared" si="14"/>
        <v>0.10900000000000001</v>
      </c>
      <c r="AM63" s="333">
        <f t="shared" si="14"/>
        <v>0.11399999999999999</v>
      </c>
      <c r="AN63" s="333">
        <f t="shared" si="14"/>
        <v>0.12016666666666666</v>
      </c>
      <c r="AO63" s="333">
        <f t="shared" si="14"/>
        <v>0.11391025641025641</v>
      </c>
      <c r="AP63" s="333">
        <f t="shared" si="14"/>
        <v>0.10696428571428571</v>
      </c>
      <c r="AQ63" s="333">
        <f t="shared" si="14"/>
        <v>0.1041</v>
      </c>
      <c r="AR63" s="333">
        <f t="shared" si="14"/>
        <v>0.10835526315789475</v>
      </c>
      <c r="AS63" s="333">
        <f t="shared" si="14"/>
        <v>0.10617105263157894</v>
      </c>
      <c r="AT63" s="333">
        <f t="shared" si="14"/>
        <v>0.10767105263157896</v>
      </c>
      <c r="AU63" s="333">
        <f t="shared" si="14"/>
        <v>0.11342857142857143</v>
      </c>
      <c r="AV63" s="333">
        <f t="shared" si="14"/>
        <v>0.16608823529411765</v>
      </c>
      <c r="AW63" s="333">
        <f t="shared" si="14"/>
        <v>0.12129411764705883</v>
      </c>
      <c r="AX63" s="333">
        <f t="shared" si="14"/>
        <v>0.12181666666666667</v>
      </c>
      <c r="AY63" s="333">
        <f t="shared" si="14"/>
        <v>0.11167164179104477</v>
      </c>
      <c r="AZ63" s="333">
        <f t="shared" si="14"/>
        <v>0.10722727272727273</v>
      </c>
      <c r="BA63" s="333">
        <f t="shared" si="14"/>
        <v>0.11861904761904761</v>
      </c>
      <c r="BB63" s="333">
        <f t="shared" si="14"/>
        <v>0.11427272727272728</v>
      </c>
      <c r="BC63" s="333">
        <f t="shared" si="14"/>
        <v>0.11926562499999999</v>
      </c>
      <c r="BD63" s="333" t="str">
        <f t="shared" si="14"/>
        <v>--</v>
      </c>
      <c r="BE63" s="331"/>
      <c r="BF63" s="8">
        <f t="shared" si="10"/>
        <v>48</v>
      </c>
    </row>
    <row r="64" spans="1:58">
      <c r="A64" s="310" t="s">
        <v>75</v>
      </c>
      <c r="B64" s="326" t="s">
        <v>76</v>
      </c>
      <c r="C64" s="29" t="s">
        <v>16</v>
      </c>
      <c r="D64" s="293"/>
      <c r="E64" s="302"/>
      <c r="F64" s="302">
        <v>19</v>
      </c>
      <c r="G64" s="302"/>
      <c r="H64" s="302">
        <v>17</v>
      </c>
      <c r="I64" s="302"/>
      <c r="J64" s="302"/>
      <c r="K64" s="302"/>
      <c r="L64" s="302">
        <v>23</v>
      </c>
      <c r="M64" s="302"/>
      <c r="N64" s="302">
        <v>19</v>
      </c>
      <c r="O64" s="302"/>
      <c r="P64" s="302">
        <v>0</v>
      </c>
      <c r="Q64" s="302">
        <v>8</v>
      </c>
      <c r="R64" s="302">
        <v>12</v>
      </c>
      <c r="S64" s="302">
        <v>8</v>
      </c>
      <c r="T64" s="302"/>
      <c r="U64" s="302">
        <v>7</v>
      </c>
      <c r="V64" s="302">
        <v>4</v>
      </c>
      <c r="W64" s="302">
        <v>7</v>
      </c>
      <c r="X64" s="302">
        <v>6</v>
      </c>
      <c r="Y64" s="302">
        <v>6</v>
      </c>
      <c r="Z64" s="302">
        <v>14</v>
      </c>
      <c r="AA64" s="302">
        <v>11</v>
      </c>
      <c r="AB64" s="302">
        <v>6</v>
      </c>
      <c r="AC64" s="302">
        <v>1</v>
      </c>
      <c r="AD64" s="302">
        <v>3</v>
      </c>
      <c r="AE64" s="302">
        <v>3</v>
      </c>
      <c r="AF64" s="302">
        <v>8</v>
      </c>
      <c r="AG64" s="302">
        <v>2</v>
      </c>
      <c r="AH64" s="302">
        <v>4</v>
      </c>
      <c r="AI64" s="302">
        <v>9</v>
      </c>
      <c r="AJ64" s="302">
        <v>6</v>
      </c>
      <c r="AK64" s="302">
        <v>6</v>
      </c>
      <c r="AL64" s="301">
        <v>6</v>
      </c>
      <c r="AM64" s="302">
        <v>5</v>
      </c>
      <c r="AN64" s="302">
        <v>9</v>
      </c>
      <c r="AO64" s="302">
        <v>12</v>
      </c>
      <c r="AP64" s="302">
        <v>9</v>
      </c>
      <c r="AQ64" s="302">
        <v>11</v>
      </c>
      <c r="AR64" s="302">
        <v>10</v>
      </c>
      <c r="AS64" s="302">
        <v>13</v>
      </c>
      <c r="AT64" s="302">
        <v>16</v>
      </c>
      <c r="AU64" s="302">
        <v>12</v>
      </c>
      <c r="AV64" s="302">
        <v>14</v>
      </c>
      <c r="AW64" s="302">
        <v>18</v>
      </c>
      <c r="AX64" s="302">
        <v>13</v>
      </c>
      <c r="AY64" s="301">
        <v>14</v>
      </c>
      <c r="AZ64" s="302">
        <v>10</v>
      </c>
      <c r="BA64" s="302">
        <v>15</v>
      </c>
      <c r="BB64" s="302">
        <v>12</v>
      </c>
      <c r="BC64" s="302">
        <v>13</v>
      </c>
      <c r="BD64" s="302"/>
      <c r="BE64" s="303"/>
      <c r="BF64" s="8">
        <f t="shared" si="10"/>
        <v>43</v>
      </c>
    </row>
    <row r="65" spans="1:58">
      <c r="A65" s="310" t="s">
        <v>77</v>
      </c>
      <c r="B65" s="326" t="s">
        <v>76</v>
      </c>
      <c r="C65" s="29"/>
      <c r="D65" s="293"/>
      <c r="E65" s="302"/>
      <c r="F65" s="302">
        <v>45</v>
      </c>
      <c r="G65" s="302">
        <v>52</v>
      </c>
      <c r="H65" s="302">
        <v>45</v>
      </c>
      <c r="I65" s="302"/>
      <c r="J65" s="302"/>
      <c r="K65" s="302"/>
      <c r="L65" s="302">
        <v>46</v>
      </c>
      <c r="M65" s="302"/>
      <c r="N65" s="302">
        <v>40</v>
      </c>
      <c r="O65" s="302"/>
      <c r="P65" s="302">
        <v>40</v>
      </c>
      <c r="Q65" s="302">
        <v>39</v>
      </c>
      <c r="R65" s="302">
        <v>59</v>
      </c>
      <c r="S65" s="302">
        <v>66</v>
      </c>
      <c r="T65" s="302"/>
      <c r="U65" s="302">
        <v>75</v>
      </c>
      <c r="V65" s="302">
        <v>57</v>
      </c>
      <c r="W65" s="302">
        <v>91</v>
      </c>
      <c r="X65" s="302">
        <v>60</v>
      </c>
      <c r="Y65" s="302">
        <v>176</v>
      </c>
      <c r="Z65" s="302">
        <v>70</v>
      </c>
      <c r="AA65" s="302">
        <v>153</v>
      </c>
      <c r="AB65" s="302">
        <v>84</v>
      </c>
      <c r="AC65" s="302">
        <v>78</v>
      </c>
      <c r="AD65" s="302">
        <v>80</v>
      </c>
      <c r="AE65" s="302">
        <v>100</v>
      </c>
      <c r="AF65" s="302">
        <v>112</v>
      </c>
      <c r="AG65" s="302">
        <v>86</v>
      </c>
      <c r="AH65" s="302">
        <v>118</v>
      </c>
      <c r="AI65" s="302">
        <v>118</v>
      </c>
      <c r="AJ65" s="302">
        <v>106</v>
      </c>
      <c r="AK65" s="302">
        <v>100</v>
      </c>
      <c r="AL65" s="301">
        <v>108</v>
      </c>
      <c r="AM65" s="302">
        <v>118</v>
      </c>
      <c r="AN65" s="302">
        <v>118</v>
      </c>
      <c r="AO65" s="302">
        <v>112</v>
      </c>
      <c r="AP65" s="302">
        <v>96</v>
      </c>
      <c r="AQ65" s="302">
        <v>114</v>
      </c>
      <c r="AR65" s="302">
        <v>108</v>
      </c>
      <c r="AS65" s="302">
        <v>112</v>
      </c>
      <c r="AT65" s="302">
        <v>148</v>
      </c>
      <c r="AU65" s="302">
        <v>78</v>
      </c>
      <c r="AV65" s="302">
        <v>58</v>
      </c>
      <c r="AW65" s="302">
        <v>80</v>
      </c>
      <c r="AX65" s="302">
        <v>45</v>
      </c>
      <c r="AY65" s="301">
        <v>56</v>
      </c>
      <c r="AZ65" s="302">
        <v>53</v>
      </c>
      <c r="BA65" s="302">
        <v>64</v>
      </c>
      <c r="BB65" s="302">
        <v>50</v>
      </c>
      <c r="BC65" s="302">
        <v>52</v>
      </c>
      <c r="BD65" s="302"/>
      <c r="BE65" s="303"/>
      <c r="BF65" s="8">
        <f t="shared" si="10"/>
        <v>44</v>
      </c>
    </row>
    <row r="66" spans="1:58">
      <c r="A66" s="313" t="s">
        <v>78</v>
      </c>
      <c r="B66" s="313" t="s">
        <v>14</v>
      </c>
      <c r="C66" s="13"/>
      <c r="D66" s="293"/>
      <c r="E66" s="314"/>
      <c r="F66" s="314">
        <v>7.4</v>
      </c>
      <c r="G66" s="314">
        <v>8.3000000000000007</v>
      </c>
      <c r="H66" s="314">
        <v>7.73</v>
      </c>
      <c r="I66" s="314">
        <v>8.34</v>
      </c>
      <c r="J66" s="314">
        <v>8.5399999999999991</v>
      </c>
      <c r="K66" s="305"/>
      <c r="L66" s="305">
        <v>8.7899999999999991</v>
      </c>
      <c r="M66" s="305"/>
      <c r="N66" s="305">
        <v>9.1999999999999993</v>
      </c>
      <c r="O66" s="305">
        <v>9.5500000000000007</v>
      </c>
      <c r="P66" s="305">
        <v>9.39</v>
      </c>
      <c r="Q66" s="305">
        <v>9.17</v>
      </c>
      <c r="R66" s="305">
        <v>8.36</v>
      </c>
      <c r="S66" s="305">
        <v>8.48</v>
      </c>
      <c r="T66" s="305">
        <v>8.5</v>
      </c>
      <c r="U66" s="305">
        <v>8.76</v>
      </c>
      <c r="V66" s="305">
        <v>5.78</v>
      </c>
      <c r="W66" s="305">
        <v>6.2</v>
      </c>
      <c r="X66" s="305">
        <v>6.54</v>
      </c>
      <c r="Y66" s="305">
        <v>5.86</v>
      </c>
      <c r="Z66" s="305">
        <v>6.64</v>
      </c>
      <c r="AA66" s="305">
        <v>6.6</v>
      </c>
      <c r="AB66" s="305">
        <v>6.72</v>
      </c>
      <c r="AC66" s="305">
        <v>7.14</v>
      </c>
      <c r="AD66" s="305">
        <v>8.0399999999999991</v>
      </c>
      <c r="AE66" s="305">
        <v>8.52</v>
      </c>
      <c r="AF66" s="305">
        <v>9.19</v>
      </c>
      <c r="AG66" s="305">
        <v>9</v>
      </c>
      <c r="AH66" s="305">
        <v>9.19</v>
      </c>
      <c r="AI66" s="305">
        <v>9.66</v>
      </c>
      <c r="AJ66" s="305">
        <v>10.4</v>
      </c>
      <c r="AK66" s="305">
        <v>10.65</v>
      </c>
      <c r="AL66" s="301">
        <v>11.5</v>
      </c>
      <c r="AM66" s="305">
        <v>11.66</v>
      </c>
      <c r="AN66" s="305">
        <v>12.34</v>
      </c>
      <c r="AO66" s="305">
        <v>11.62</v>
      </c>
      <c r="AP66" s="305">
        <v>11.09</v>
      </c>
      <c r="AQ66" s="305">
        <v>11.42</v>
      </c>
      <c r="AR66" s="305">
        <v>11.6</v>
      </c>
      <c r="AS66" s="305">
        <v>12.09</v>
      </c>
      <c r="AT66" s="305">
        <v>11.5</v>
      </c>
      <c r="AU66" s="305">
        <v>11.43</v>
      </c>
      <c r="AV66" s="305">
        <v>10.82</v>
      </c>
      <c r="AW66" s="305">
        <v>9.91</v>
      </c>
      <c r="AX66" s="305">
        <v>10.199999999999999</v>
      </c>
      <c r="AY66" s="301">
        <v>10.9</v>
      </c>
      <c r="AZ66" s="305">
        <v>9.65</v>
      </c>
      <c r="BA66" s="305">
        <v>10.44</v>
      </c>
      <c r="BB66" s="305">
        <v>11.02</v>
      </c>
      <c r="BC66" s="305">
        <v>11.12</v>
      </c>
      <c r="BD66" s="305"/>
      <c r="BE66" s="306"/>
      <c r="BF66" s="8">
        <f t="shared" si="10"/>
        <v>48</v>
      </c>
    </row>
    <row r="67" spans="1:58">
      <c r="A67" s="1" t="s">
        <v>79</v>
      </c>
      <c r="B67" s="326" t="s">
        <v>60</v>
      </c>
      <c r="C67" s="29"/>
      <c r="D67" s="293"/>
      <c r="E67" s="302"/>
      <c r="F67" s="302">
        <v>0</v>
      </c>
      <c r="G67" s="302">
        <v>0</v>
      </c>
      <c r="H67" s="302">
        <v>0</v>
      </c>
      <c r="I67" s="302">
        <v>0</v>
      </c>
      <c r="J67" s="302"/>
      <c r="K67" s="302"/>
      <c r="L67" s="302">
        <v>0</v>
      </c>
      <c r="M67" s="302"/>
      <c r="N67" s="302">
        <v>0</v>
      </c>
      <c r="O67" s="302">
        <v>0</v>
      </c>
      <c r="P67" s="302">
        <v>0</v>
      </c>
      <c r="Q67" s="302">
        <v>0</v>
      </c>
      <c r="R67" s="302">
        <v>0</v>
      </c>
      <c r="S67" s="302">
        <v>0</v>
      </c>
      <c r="T67" s="302"/>
      <c r="U67" s="302">
        <v>0</v>
      </c>
      <c r="V67" s="302">
        <v>0</v>
      </c>
      <c r="W67" s="302">
        <v>0</v>
      </c>
      <c r="X67" s="302">
        <v>0</v>
      </c>
      <c r="Y67" s="302">
        <v>0</v>
      </c>
      <c r="Z67" s="302">
        <v>0</v>
      </c>
      <c r="AA67" s="302">
        <v>0</v>
      </c>
      <c r="AB67" s="302">
        <v>0</v>
      </c>
      <c r="AC67" s="302">
        <v>0</v>
      </c>
      <c r="AD67" s="302">
        <v>0</v>
      </c>
      <c r="AE67" s="302">
        <v>0</v>
      </c>
      <c r="AF67" s="302">
        <v>0</v>
      </c>
      <c r="AG67" s="302">
        <v>0</v>
      </c>
      <c r="AH67" s="302">
        <v>0</v>
      </c>
      <c r="AI67" s="302">
        <v>0</v>
      </c>
      <c r="AJ67" s="302">
        <v>0</v>
      </c>
      <c r="AK67" s="302">
        <v>0</v>
      </c>
      <c r="AL67" s="301">
        <v>0</v>
      </c>
      <c r="AM67" s="302">
        <v>0</v>
      </c>
      <c r="AN67" s="302">
        <v>0</v>
      </c>
      <c r="AO67" s="302">
        <v>0</v>
      </c>
      <c r="AP67" s="302">
        <v>0</v>
      </c>
      <c r="AQ67" s="302">
        <v>0</v>
      </c>
      <c r="AR67" s="302">
        <v>0</v>
      </c>
      <c r="AS67" s="302">
        <v>0</v>
      </c>
      <c r="AT67" s="302">
        <v>0</v>
      </c>
      <c r="AU67" s="302">
        <v>0</v>
      </c>
      <c r="AV67" s="302">
        <v>0</v>
      </c>
      <c r="AW67" s="302">
        <v>0</v>
      </c>
      <c r="AX67" s="302">
        <v>0</v>
      </c>
      <c r="AY67" s="301">
        <v>0</v>
      </c>
      <c r="AZ67" s="302">
        <v>0</v>
      </c>
      <c r="BA67" s="302">
        <v>0</v>
      </c>
      <c r="BB67" s="302">
        <v>0</v>
      </c>
      <c r="BC67" s="302">
        <v>0</v>
      </c>
      <c r="BD67" s="302"/>
      <c r="BE67" s="303"/>
      <c r="BF67" s="8">
        <f t="shared" si="10"/>
        <v>46</v>
      </c>
    </row>
    <row r="68" spans="1:58" ht="1" customHeight="1">
      <c r="B68" s="326"/>
      <c r="C68" s="29"/>
      <c r="D68" s="293"/>
      <c r="E68" s="302"/>
      <c r="F68" s="302"/>
      <c r="G68" s="302"/>
      <c r="H68" s="302"/>
      <c r="I68" s="302"/>
      <c r="J68" s="302"/>
      <c r="K68" s="302"/>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1"/>
      <c r="AM68" s="302"/>
      <c r="AN68" s="302"/>
      <c r="AO68" s="302"/>
      <c r="AP68" s="302"/>
      <c r="AQ68" s="302"/>
      <c r="AR68" s="302"/>
      <c r="AS68" s="302"/>
      <c r="AT68" s="302"/>
      <c r="AU68" s="302"/>
      <c r="AV68" s="302"/>
      <c r="AW68" s="302"/>
      <c r="AX68" s="302"/>
      <c r="AY68" s="301"/>
      <c r="AZ68" s="302"/>
      <c r="BA68" s="302"/>
      <c r="BB68" s="302"/>
      <c r="BC68" s="302"/>
      <c r="BD68" s="302"/>
      <c r="BE68" s="303"/>
      <c r="BF68" s="8">
        <f t="shared" si="10"/>
        <v>0</v>
      </c>
    </row>
    <row r="69" spans="1:58" ht="1" customHeight="1">
      <c r="B69" s="326"/>
      <c r="C69" s="29"/>
      <c r="D69" s="293"/>
      <c r="E69" s="302"/>
      <c r="F69" s="302"/>
      <c r="G69" s="302"/>
      <c r="H69" s="302"/>
      <c r="I69" s="302"/>
      <c r="J69" s="302"/>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1"/>
      <c r="AM69" s="302"/>
      <c r="AN69" s="302"/>
      <c r="AO69" s="302"/>
      <c r="AP69" s="302"/>
      <c r="AQ69" s="302"/>
      <c r="AR69" s="302"/>
      <c r="AS69" s="302"/>
      <c r="AT69" s="302"/>
      <c r="AU69" s="302"/>
      <c r="AV69" s="302"/>
      <c r="AW69" s="302"/>
      <c r="AX69" s="302"/>
      <c r="AY69" s="301"/>
      <c r="AZ69" s="302"/>
      <c r="BA69" s="302"/>
      <c r="BB69" s="302"/>
      <c r="BC69" s="302"/>
      <c r="BD69" s="302"/>
      <c r="BE69" s="303"/>
      <c r="BF69" s="8">
        <f t="shared" si="10"/>
        <v>0</v>
      </c>
    </row>
    <row r="70" spans="1:58" ht="1" customHeight="1">
      <c r="B70" s="326"/>
      <c r="C70" s="29"/>
      <c r="D70" s="293"/>
      <c r="E70" s="302"/>
      <c r="F70" s="302"/>
      <c r="G70" s="302"/>
      <c r="H70" s="302"/>
      <c r="I70" s="302"/>
      <c r="J70" s="302"/>
      <c r="K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1"/>
      <c r="AM70" s="302"/>
      <c r="AN70" s="302"/>
      <c r="AO70" s="302"/>
      <c r="AP70" s="302"/>
      <c r="AQ70" s="302"/>
      <c r="AR70" s="302"/>
      <c r="AS70" s="302"/>
      <c r="AT70" s="302"/>
      <c r="AU70" s="302"/>
      <c r="AV70" s="302"/>
      <c r="AW70" s="302"/>
      <c r="AX70" s="302"/>
      <c r="AY70" s="301"/>
      <c r="AZ70" s="302"/>
      <c r="BA70" s="302"/>
      <c r="BB70" s="302"/>
      <c r="BC70" s="302"/>
      <c r="BD70" s="302"/>
      <c r="BE70" s="303"/>
      <c r="BF70" s="8">
        <f t="shared" si="10"/>
        <v>0</v>
      </c>
    </row>
    <row r="71" spans="1:58" ht="1" customHeight="1">
      <c r="B71" s="326"/>
      <c r="C71" s="29"/>
      <c r="D71" s="293"/>
      <c r="E71" s="302"/>
      <c r="F71" s="302"/>
      <c r="G71" s="302"/>
      <c r="H71" s="302"/>
      <c r="I71" s="302"/>
      <c r="J71" s="302"/>
      <c r="K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1"/>
      <c r="AM71" s="302"/>
      <c r="AN71" s="302"/>
      <c r="AO71" s="302"/>
      <c r="AP71" s="302"/>
      <c r="AQ71" s="302"/>
      <c r="AR71" s="302"/>
      <c r="AS71" s="302"/>
      <c r="AT71" s="302"/>
      <c r="AU71" s="302"/>
      <c r="AV71" s="302"/>
      <c r="AW71" s="302"/>
      <c r="AX71" s="302"/>
      <c r="AY71" s="301"/>
      <c r="AZ71" s="302"/>
      <c r="BA71" s="302"/>
      <c r="BB71" s="302"/>
      <c r="BC71" s="302"/>
      <c r="BD71" s="302"/>
      <c r="BE71" s="303"/>
      <c r="BF71" s="8">
        <f t="shared" si="10"/>
        <v>0</v>
      </c>
    </row>
    <row r="72" spans="1:58" ht="1" customHeight="1">
      <c r="B72" s="326"/>
      <c r="C72" s="29"/>
      <c r="D72" s="293"/>
      <c r="E72" s="302"/>
      <c r="F72" s="302"/>
      <c r="G72" s="302"/>
      <c r="H72" s="302"/>
      <c r="I72" s="302"/>
      <c r="J72" s="302"/>
      <c r="K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1"/>
      <c r="AM72" s="302"/>
      <c r="AN72" s="302"/>
      <c r="AO72" s="302"/>
      <c r="AP72" s="302"/>
      <c r="AQ72" s="302"/>
      <c r="AR72" s="302"/>
      <c r="AS72" s="302"/>
      <c r="AT72" s="302"/>
      <c r="AU72" s="302"/>
      <c r="AV72" s="302"/>
      <c r="AW72" s="302"/>
      <c r="AX72" s="302"/>
      <c r="AY72" s="301"/>
      <c r="AZ72" s="302"/>
      <c r="BA72" s="302"/>
      <c r="BB72" s="302"/>
      <c r="BC72" s="302"/>
      <c r="BD72" s="302"/>
      <c r="BE72" s="303"/>
      <c r="BF72" s="8">
        <f t="shared" si="10"/>
        <v>0</v>
      </c>
    </row>
    <row r="73" spans="1:58" ht="1" customHeight="1">
      <c r="B73" s="326"/>
      <c r="C73" s="29"/>
      <c r="D73" s="293"/>
      <c r="E73" s="302"/>
      <c r="F73" s="302"/>
      <c r="G73" s="302"/>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1"/>
      <c r="AM73" s="302"/>
      <c r="AN73" s="302"/>
      <c r="AO73" s="302"/>
      <c r="AP73" s="302"/>
      <c r="AQ73" s="302"/>
      <c r="AR73" s="302"/>
      <c r="AS73" s="302"/>
      <c r="AT73" s="302"/>
      <c r="AU73" s="302"/>
      <c r="AV73" s="302"/>
      <c r="AW73" s="302"/>
      <c r="AX73" s="302"/>
      <c r="AY73" s="301"/>
      <c r="AZ73" s="302"/>
      <c r="BA73" s="302"/>
      <c r="BB73" s="302"/>
      <c r="BC73" s="302"/>
      <c r="BD73" s="302"/>
      <c r="BE73" s="303"/>
      <c r="BF73" s="8">
        <f t="shared" si="10"/>
        <v>0</v>
      </c>
    </row>
    <row r="74" spans="1:58" ht="1" customHeight="1">
      <c r="B74" s="326"/>
      <c r="C74" s="29"/>
      <c r="D74" s="293"/>
      <c r="E74" s="302"/>
      <c r="F74" s="302"/>
      <c r="G74" s="302"/>
      <c r="H74" s="302"/>
      <c r="I74" s="302"/>
      <c r="J74" s="302"/>
      <c r="K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1"/>
      <c r="AM74" s="302"/>
      <c r="AN74" s="302"/>
      <c r="AO74" s="302"/>
      <c r="AP74" s="302"/>
      <c r="AQ74" s="302"/>
      <c r="AR74" s="302"/>
      <c r="AS74" s="302"/>
      <c r="AT74" s="302"/>
      <c r="AU74" s="302"/>
      <c r="AV74" s="302"/>
      <c r="AW74" s="302"/>
      <c r="AX74" s="302"/>
      <c r="AY74" s="301"/>
      <c r="AZ74" s="302"/>
      <c r="BA74" s="302"/>
      <c r="BB74" s="302"/>
      <c r="BC74" s="302"/>
      <c r="BD74" s="302"/>
      <c r="BE74" s="303"/>
      <c r="BF74" s="8">
        <f t="shared" si="10"/>
        <v>0</v>
      </c>
    </row>
    <row r="75" spans="1:58" ht="1" customHeight="1">
      <c r="B75" s="326"/>
      <c r="C75" s="29"/>
      <c r="D75" s="293"/>
      <c r="E75" s="302"/>
      <c r="F75" s="302"/>
      <c r="G75" s="302"/>
      <c r="H75" s="302"/>
      <c r="I75" s="302"/>
      <c r="J75" s="302"/>
      <c r="K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1"/>
      <c r="AM75" s="302"/>
      <c r="AN75" s="302"/>
      <c r="AO75" s="302"/>
      <c r="AP75" s="302"/>
      <c r="AQ75" s="302"/>
      <c r="AR75" s="302"/>
      <c r="AS75" s="302"/>
      <c r="AT75" s="302"/>
      <c r="AU75" s="302"/>
      <c r="AV75" s="302"/>
      <c r="AW75" s="302"/>
      <c r="AX75" s="302"/>
      <c r="AY75" s="301"/>
      <c r="AZ75" s="302"/>
      <c r="BA75" s="302"/>
      <c r="BB75" s="302"/>
      <c r="BC75" s="302"/>
      <c r="BD75" s="302"/>
      <c r="BE75" s="303"/>
      <c r="BF75" s="8">
        <f t="shared" si="10"/>
        <v>0</v>
      </c>
    </row>
    <row r="76" spans="1:58" ht="1" customHeight="1">
      <c r="B76" s="326"/>
      <c r="C76" s="29"/>
      <c r="D76" s="293"/>
      <c r="E76" s="302"/>
      <c r="F76" s="302"/>
      <c r="G76" s="302"/>
      <c r="H76" s="302"/>
      <c r="I76" s="302"/>
      <c r="J76" s="302"/>
      <c r="K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1"/>
      <c r="AM76" s="302"/>
      <c r="AN76" s="302"/>
      <c r="AO76" s="302"/>
      <c r="AP76" s="302"/>
      <c r="AQ76" s="302"/>
      <c r="AR76" s="302"/>
      <c r="AS76" s="302"/>
      <c r="AT76" s="302"/>
      <c r="AU76" s="302"/>
      <c r="AV76" s="302"/>
      <c r="AW76" s="302"/>
      <c r="AX76" s="302"/>
      <c r="AY76" s="301"/>
      <c r="AZ76" s="302"/>
      <c r="BA76" s="302"/>
      <c r="BB76" s="302"/>
      <c r="BC76" s="302"/>
      <c r="BD76" s="302"/>
      <c r="BE76" s="303"/>
      <c r="BF76" s="8">
        <f t="shared" si="10"/>
        <v>0</v>
      </c>
    </row>
    <row r="77" spans="1:58" ht="1" customHeight="1">
      <c r="B77" s="326"/>
      <c r="C77" s="29"/>
      <c r="D77" s="293"/>
      <c r="E77" s="302"/>
      <c r="F77" s="302"/>
      <c r="G77" s="302"/>
      <c r="H77" s="302"/>
      <c r="I77" s="302"/>
      <c r="J77" s="302"/>
      <c r="K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1"/>
      <c r="AM77" s="302"/>
      <c r="AN77" s="302"/>
      <c r="AO77" s="302"/>
      <c r="AP77" s="302"/>
      <c r="AQ77" s="302"/>
      <c r="AR77" s="302"/>
      <c r="AS77" s="302"/>
      <c r="AT77" s="302"/>
      <c r="AU77" s="302"/>
      <c r="AV77" s="302"/>
      <c r="AW77" s="302"/>
      <c r="AX77" s="302"/>
      <c r="AY77" s="301"/>
      <c r="AZ77" s="302"/>
      <c r="BA77" s="302"/>
      <c r="BB77" s="302"/>
      <c r="BC77" s="302"/>
      <c r="BD77" s="302"/>
      <c r="BE77" s="303"/>
      <c r="BF77" s="8">
        <f t="shared" si="10"/>
        <v>0</v>
      </c>
    </row>
    <row r="78" spans="1:58" ht="1" customHeight="1">
      <c r="B78" s="326"/>
      <c r="C78" s="29"/>
      <c r="D78" s="293"/>
      <c r="E78" s="302"/>
      <c r="F78" s="302"/>
      <c r="G78" s="302"/>
      <c r="H78" s="302"/>
      <c r="I78" s="302"/>
      <c r="J78" s="302"/>
      <c r="K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1"/>
      <c r="AM78" s="302"/>
      <c r="AN78" s="302"/>
      <c r="AO78" s="302"/>
      <c r="AP78" s="302"/>
      <c r="AQ78" s="302"/>
      <c r="AR78" s="302"/>
      <c r="AS78" s="302"/>
      <c r="AT78" s="302"/>
      <c r="AU78" s="302"/>
      <c r="AV78" s="302"/>
      <c r="AW78" s="302"/>
      <c r="AX78" s="302"/>
      <c r="AY78" s="301"/>
      <c r="AZ78" s="302"/>
      <c r="BA78" s="302"/>
      <c r="BB78" s="302"/>
      <c r="BC78" s="302"/>
      <c r="BD78" s="302"/>
      <c r="BE78" s="303"/>
      <c r="BF78" s="8">
        <f t="shared" si="10"/>
        <v>0</v>
      </c>
    </row>
    <row r="79" spans="1:58" ht="1" customHeight="1">
      <c r="B79" s="326"/>
      <c r="C79" s="29"/>
      <c r="D79" s="293"/>
      <c r="E79" s="302"/>
      <c r="F79" s="302"/>
      <c r="G79" s="302"/>
      <c r="H79" s="302"/>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1"/>
      <c r="AM79" s="302"/>
      <c r="AN79" s="302"/>
      <c r="AO79" s="302"/>
      <c r="AP79" s="302"/>
      <c r="AQ79" s="302"/>
      <c r="AR79" s="302"/>
      <c r="AS79" s="302"/>
      <c r="AT79" s="302"/>
      <c r="AU79" s="302"/>
      <c r="AV79" s="302"/>
      <c r="AW79" s="302"/>
      <c r="AX79" s="302"/>
      <c r="AY79" s="301"/>
      <c r="AZ79" s="302"/>
      <c r="BA79" s="302"/>
      <c r="BB79" s="302"/>
      <c r="BC79" s="302"/>
      <c r="BD79" s="302"/>
      <c r="BE79" s="303"/>
      <c r="BF79" s="8">
        <f t="shared" si="10"/>
        <v>0</v>
      </c>
    </row>
    <row r="80" spans="1:58" ht="1" customHeight="1">
      <c r="B80" s="326"/>
      <c r="C80" s="29"/>
      <c r="D80" s="293"/>
      <c r="E80" s="302"/>
      <c r="F80" s="302"/>
      <c r="G80" s="302"/>
      <c r="H80" s="302"/>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1"/>
      <c r="AM80" s="302"/>
      <c r="AN80" s="302"/>
      <c r="AO80" s="302"/>
      <c r="AP80" s="302"/>
      <c r="AQ80" s="302"/>
      <c r="AR80" s="302"/>
      <c r="AS80" s="302"/>
      <c r="AT80" s="302"/>
      <c r="AU80" s="302"/>
      <c r="AV80" s="302"/>
      <c r="AW80" s="302"/>
      <c r="AX80" s="302"/>
      <c r="AY80" s="301"/>
      <c r="AZ80" s="302"/>
      <c r="BA80" s="302"/>
      <c r="BB80" s="302"/>
      <c r="BC80" s="302"/>
      <c r="BD80" s="302"/>
      <c r="BE80" s="303"/>
      <c r="BF80" s="8">
        <f t="shared" si="10"/>
        <v>0</v>
      </c>
    </row>
    <row r="81" spans="1:88">
      <c r="A81" s="30" t="s">
        <v>80</v>
      </c>
      <c r="B81" s="31"/>
      <c r="C81" s="7"/>
      <c r="D81" s="293"/>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293"/>
      <c r="BF81" s="8">
        <f t="shared" si="10"/>
        <v>0</v>
      </c>
    </row>
    <row r="82" spans="1:88">
      <c r="A82" s="32" t="s">
        <v>81</v>
      </c>
      <c r="B82" s="32" t="s">
        <v>82</v>
      </c>
      <c r="C82" s="33"/>
      <c r="D82" s="308"/>
      <c r="E82" s="309">
        <f t="shared" ref="E82:AC82" si="15">IF(SUM(E83:E86)&gt;0,SUM(E83:E86),"uncalcuable")</f>
        <v>19</v>
      </c>
      <c r="F82" s="309">
        <f t="shared" si="15"/>
        <v>27</v>
      </c>
      <c r="G82" s="309">
        <f t="shared" si="15"/>
        <v>26</v>
      </c>
      <c r="H82" s="309">
        <f t="shared" si="15"/>
        <v>26</v>
      </c>
      <c r="I82" s="309">
        <f t="shared" si="15"/>
        <v>18</v>
      </c>
      <c r="J82" s="309">
        <f t="shared" si="15"/>
        <v>20</v>
      </c>
      <c r="K82" s="309">
        <f t="shared" si="15"/>
        <v>23</v>
      </c>
      <c r="L82" s="309">
        <f t="shared" si="15"/>
        <v>20</v>
      </c>
      <c r="M82" s="309" t="str">
        <f t="shared" si="15"/>
        <v>uncalcuable</v>
      </c>
      <c r="N82" s="309">
        <f t="shared" si="15"/>
        <v>21</v>
      </c>
      <c r="O82" s="309">
        <f t="shared" si="15"/>
        <v>22</v>
      </c>
      <c r="P82" s="309">
        <f t="shared" si="15"/>
        <v>23</v>
      </c>
      <c r="Q82" s="309">
        <f t="shared" si="15"/>
        <v>26</v>
      </c>
      <c r="R82" s="309">
        <f t="shared" si="15"/>
        <v>30</v>
      </c>
      <c r="S82" s="309">
        <f t="shared" si="15"/>
        <v>29</v>
      </c>
      <c r="T82" s="309" t="str">
        <f t="shared" si="15"/>
        <v>uncalcuable</v>
      </c>
      <c r="U82" s="309">
        <f t="shared" si="15"/>
        <v>35</v>
      </c>
      <c r="V82" s="309">
        <f t="shared" si="15"/>
        <v>28</v>
      </c>
      <c r="W82" s="309">
        <f t="shared" si="15"/>
        <v>33</v>
      </c>
      <c r="X82" s="309">
        <f t="shared" si="15"/>
        <v>37</v>
      </c>
      <c r="Y82" s="309">
        <f t="shared" si="15"/>
        <v>32</v>
      </c>
      <c r="Z82" s="309">
        <f t="shared" si="15"/>
        <v>33</v>
      </c>
      <c r="AA82" s="309">
        <f t="shared" si="15"/>
        <v>36</v>
      </c>
      <c r="AB82" s="309">
        <f t="shared" si="15"/>
        <v>33</v>
      </c>
      <c r="AC82" s="309">
        <f t="shared" si="15"/>
        <v>38</v>
      </c>
      <c r="AD82" s="309">
        <v>43</v>
      </c>
      <c r="AE82" s="309">
        <f>IF(SUM(AE83:AE86)&gt;0,SUM(AE83:AE86),"uncalcuable")</f>
        <v>52</v>
      </c>
      <c r="AF82" s="309">
        <f>IF(SUM(AF83:AF86)&gt;0,SUM(AF83:AF86),"uncalcuable")</f>
        <v>41</v>
      </c>
      <c r="AG82" s="309">
        <f>IF(SUM(AG83:AG86)&gt;0,SUM(AG83:AG86),"uncalcuable")</f>
        <v>47</v>
      </c>
      <c r="AH82" s="309">
        <f>IF(SUM(AH83:AH86)&gt;0,SUM(AH83:AH86),"uncalcuable")</f>
        <v>48</v>
      </c>
      <c r="AI82" s="309">
        <f>IF(SUM(AI83:AI86)&gt;0,SUM(AI83:AI86),"uncalcuable")</f>
        <v>50</v>
      </c>
      <c r="AJ82" s="309">
        <v>47</v>
      </c>
      <c r="AK82" s="309">
        <f t="shared" ref="AK82:BD82" si="16">IF(SUM(AK83:AK86)&gt;0,SUM(AK83:AK86),"uncalcuable")</f>
        <v>42</v>
      </c>
      <c r="AL82" s="309">
        <f t="shared" si="16"/>
        <v>51</v>
      </c>
      <c r="AM82" s="309">
        <f t="shared" si="16"/>
        <v>45</v>
      </c>
      <c r="AN82" s="309">
        <f t="shared" si="16"/>
        <v>41</v>
      </c>
      <c r="AO82" s="309">
        <f t="shared" si="16"/>
        <v>37</v>
      </c>
      <c r="AP82" s="309">
        <f t="shared" si="16"/>
        <v>38</v>
      </c>
      <c r="AQ82" s="309">
        <f t="shared" si="16"/>
        <v>35</v>
      </c>
      <c r="AR82" s="309">
        <f t="shared" si="16"/>
        <v>38</v>
      </c>
      <c r="AS82" s="309">
        <f t="shared" si="16"/>
        <v>37</v>
      </c>
      <c r="AT82" s="309">
        <f t="shared" si="16"/>
        <v>28</v>
      </c>
      <c r="AU82" s="309">
        <f t="shared" si="16"/>
        <v>26</v>
      </c>
      <c r="AV82" s="309">
        <f t="shared" si="16"/>
        <v>20</v>
      </c>
      <c r="AW82" s="309">
        <f t="shared" si="16"/>
        <v>23</v>
      </c>
      <c r="AX82" s="309">
        <f t="shared" si="16"/>
        <v>21</v>
      </c>
      <c r="AY82" s="309">
        <f t="shared" si="16"/>
        <v>20</v>
      </c>
      <c r="AZ82" s="309">
        <f t="shared" si="16"/>
        <v>21</v>
      </c>
      <c r="BA82" s="309">
        <f t="shared" si="16"/>
        <v>22</v>
      </c>
      <c r="BB82" s="309">
        <f t="shared" si="16"/>
        <v>23</v>
      </c>
      <c r="BC82" s="309">
        <f t="shared" si="16"/>
        <v>29</v>
      </c>
      <c r="BD82" s="309">
        <f t="shared" si="16"/>
        <v>22</v>
      </c>
      <c r="BE82" s="293"/>
      <c r="BF82" s="8">
        <f t="shared" si="10"/>
        <v>50</v>
      </c>
    </row>
    <row r="83" spans="1:88">
      <c r="A83" s="31" t="s">
        <v>83</v>
      </c>
      <c r="B83" s="326" t="s">
        <v>60</v>
      </c>
      <c r="C83" s="29"/>
      <c r="D83" s="293"/>
      <c r="E83" s="302">
        <v>12</v>
      </c>
      <c r="F83" s="302">
        <v>17</v>
      </c>
      <c r="G83" s="302">
        <v>18</v>
      </c>
      <c r="H83" s="302">
        <v>18</v>
      </c>
      <c r="I83" s="302">
        <v>12</v>
      </c>
      <c r="J83" s="302">
        <v>13</v>
      </c>
      <c r="K83" s="302">
        <v>15</v>
      </c>
      <c r="L83" s="302">
        <v>14</v>
      </c>
      <c r="M83" s="302"/>
      <c r="N83" s="302">
        <v>14</v>
      </c>
      <c r="O83" s="302">
        <v>15</v>
      </c>
      <c r="P83" s="302">
        <v>16</v>
      </c>
      <c r="Q83" s="302">
        <v>17</v>
      </c>
      <c r="R83" s="302">
        <v>22</v>
      </c>
      <c r="S83" s="302">
        <v>20</v>
      </c>
      <c r="T83" s="302"/>
      <c r="U83" s="302">
        <v>23</v>
      </c>
      <c r="V83" s="302">
        <v>20</v>
      </c>
      <c r="W83" s="302">
        <v>23</v>
      </c>
      <c r="X83" s="302">
        <v>25</v>
      </c>
      <c r="Y83" s="302">
        <v>21</v>
      </c>
      <c r="Z83" s="302">
        <v>22</v>
      </c>
      <c r="AA83" s="302">
        <v>24</v>
      </c>
      <c r="AB83" s="302">
        <v>21</v>
      </c>
      <c r="AC83" s="302">
        <v>24</v>
      </c>
      <c r="AD83" s="302">
        <v>28</v>
      </c>
      <c r="AE83" s="302">
        <v>34</v>
      </c>
      <c r="AF83" s="302">
        <v>25</v>
      </c>
      <c r="AG83" s="302">
        <v>32</v>
      </c>
      <c r="AH83" s="302">
        <v>34</v>
      </c>
      <c r="AI83" s="302">
        <v>34</v>
      </c>
      <c r="AJ83" s="302">
        <v>33</v>
      </c>
      <c r="AK83" s="302">
        <v>29</v>
      </c>
      <c r="AL83" s="302">
        <v>37</v>
      </c>
      <c r="AM83" s="302">
        <v>32</v>
      </c>
      <c r="AN83" s="302">
        <v>29</v>
      </c>
      <c r="AO83" s="302">
        <v>28</v>
      </c>
      <c r="AP83" s="302">
        <v>27</v>
      </c>
      <c r="AQ83" s="302">
        <v>25</v>
      </c>
      <c r="AR83" s="302">
        <v>28</v>
      </c>
      <c r="AS83" s="302">
        <v>27</v>
      </c>
      <c r="AT83" s="302">
        <v>21</v>
      </c>
      <c r="AU83" s="302">
        <v>18</v>
      </c>
      <c r="AV83" s="302">
        <v>14</v>
      </c>
      <c r="AW83" s="302">
        <v>15</v>
      </c>
      <c r="AX83" s="302">
        <v>15</v>
      </c>
      <c r="AY83" s="302">
        <v>14</v>
      </c>
      <c r="AZ83" s="302">
        <v>14</v>
      </c>
      <c r="BA83" s="302">
        <v>16</v>
      </c>
      <c r="BB83" s="302">
        <v>15</v>
      </c>
      <c r="BC83" s="302">
        <v>20</v>
      </c>
      <c r="BD83" s="302">
        <v>14</v>
      </c>
      <c r="BE83" s="303"/>
      <c r="BF83" s="8">
        <f t="shared" si="10"/>
        <v>50</v>
      </c>
    </row>
    <row r="84" spans="1:88">
      <c r="A84" s="31" t="s">
        <v>84</v>
      </c>
      <c r="B84" s="326" t="s">
        <v>60</v>
      </c>
      <c r="C84" s="29"/>
      <c r="D84" s="293"/>
      <c r="E84" s="302">
        <v>6</v>
      </c>
      <c r="F84" s="302">
        <v>8</v>
      </c>
      <c r="G84" s="302">
        <v>7</v>
      </c>
      <c r="H84" s="302">
        <v>7</v>
      </c>
      <c r="I84" s="302">
        <v>5</v>
      </c>
      <c r="J84" s="302">
        <v>6</v>
      </c>
      <c r="K84" s="302">
        <v>7</v>
      </c>
      <c r="L84" s="302">
        <v>5</v>
      </c>
      <c r="M84" s="302"/>
      <c r="N84" s="302">
        <v>6</v>
      </c>
      <c r="O84" s="302">
        <v>6</v>
      </c>
      <c r="P84" s="302">
        <v>6</v>
      </c>
      <c r="Q84" s="302">
        <v>7</v>
      </c>
      <c r="R84" s="302">
        <v>7</v>
      </c>
      <c r="S84" s="302">
        <v>7</v>
      </c>
      <c r="T84" s="302"/>
      <c r="U84" s="302">
        <v>10</v>
      </c>
      <c r="V84" s="302">
        <v>7</v>
      </c>
      <c r="W84" s="302">
        <v>8</v>
      </c>
      <c r="X84" s="302">
        <v>10</v>
      </c>
      <c r="Y84" s="302">
        <v>9</v>
      </c>
      <c r="Z84" s="302">
        <v>9</v>
      </c>
      <c r="AA84" s="302">
        <v>10</v>
      </c>
      <c r="AB84" s="302">
        <v>10</v>
      </c>
      <c r="AC84" s="302">
        <v>11</v>
      </c>
      <c r="AD84" s="302">
        <v>12</v>
      </c>
      <c r="AE84" s="302">
        <v>14</v>
      </c>
      <c r="AF84" s="302">
        <v>12</v>
      </c>
      <c r="AG84" s="302">
        <v>12</v>
      </c>
      <c r="AH84" s="302">
        <v>12</v>
      </c>
      <c r="AI84" s="302">
        <v>13</v>
      </c>
      <c r="AJ84" s="302">
        <v>12</v>
      </c>
      <c r="AK84" s="302">
        <v>11</v>
      </c>
      <c r="AL84" s="302">
        <v>12</v>
      </c>
      <c r="AM84" s="302">
        <v>11</v>
      </c>
      <c r="AN84" s="302">
        <v>10</v>
      </c>
      <c r="AO84" s="302">
        <v>8</v>
      </c>
      <c r="AP84" s="302">
        <v>9</v>
      </c>
      <c r="AQ84" s="302">
        <v>8</v>
      </c>
      <c r="AR84" s="302">
        <v>9</v>
      </c>
      <c r="AS84" s="302">
        <v>8</v>
      </c>
      <c r="AT84" s="302">
        <v>6</v>
      </c>
      <c r="AU84" s="302">
        <v>7</v>
      </c>
      <c r="AV84" s="302">
        <v>5</v>
      </c>
      <c r="AW84" s="302">
        <v>6</v>
      </c>
      <c r="AX84" s="302">
        <v>5</v>
      </c>
      <c r="AY84" s="302">
        <v>5</v>
      </c>
      <c r="AZ84" s="302">
        <v>6</v>
      </c>
      <c r="BA84" s="302">
        <v>5</v>
      </c>
      <c r="BB84" s="302">
        <v>6</v>
      </c>
      <c r="BC84" s="302">
        <v>7</v>
      </c>
      <c r="BD84" s="302">
        <v>6</v>
      </c>
      <c r="BE84" s="303"/>
      <c r="BF84" s="8">
        <f t="shared" si="10"/>
        <v>50</v>
      </c>
    </row>
    <row r="85" spans="1:88">
      <c r="A85" s="31" t="s">
        <v>85</v>
      </c>
      <c r="B85" s="326" t="s">
        <v>60</v>
      </c>
      <c r="C85" s="29"/>
      <c r="D85" s="293"/>
      <c r="E85" s="302">
        <v>1</v>
      </c>
      <c r="F85" s="302">
        <v>2</v>
      </c>
      <c r="G85" s="302">
        <v>1</v>
      </c>
      <c r="H85" s="302">
        <v>1</v>
      </c>
      <c r="I85" s="302">
        <v>1</v>
      </c>
      <c r="J85" s="302">
        <v>1</v>
      </c>
      <c r="K85" s="302">
        <v>1</v>
      </c>
      <c r="L85" s="302">
        <v>1</v>
      </c>
      <c r="M85" s="302"/>
      <c r="N85" s="302">
        <v>1</v>
      </c>
      <c r="O85" s="302">
        <v>1</v>
      </c>
      <c r="P85" s="302">
        <v>1</v>
      </c>
      <c r="Q85" s="302">
        <v>2</v>
      </c>
      <c r="R85" s="302">
        <v>1</v>
      </c>
      <c r="S85" s="302">
        <v>2</v>
      </c>
      <c r="T85" s="302"/>
      <c r="U85" s="302">
        <v>2</v>
      </c>
      <c r="V85" s="302">
        <v>1</v>
      </c>
      <c r="W85" s="302">
        <v>2</v>
      </c>
      <c r="X85" s="302">
        <v>2</v>
      </c>
      <c r="Y85" s="302">
        <v>2</v>
      </c>
      <c r="Z85" s="302">
        <v>2</v>
      </c>
      <c r="AA85" s="302">
        <v>2</v>
      </c>
      <c r="AB85" s="302">
        <v>2</v>
      </c>
      <c r="AC85" s="302">
        <v>3</v>
      </c>
      <c r="AD85" s="302">
        <v>3</v>
      </c>
      <c r="AE85" s="302">
        <v>4</v>
      </c>
      <c r="AF85" s="302">
        <v>3</v>
      </c>
      <c r="AG85" s="302">
        <v>3</v>
      </c>
      <c r="AH85" s="302">
        <v>2</v>
      </c>
      <c r="AI85" s="302">
        <v>3</v>
      </c>
      <c r="AJ85" s="302">
        <v>2</v>
      </c>
      <c r="AK85" s="302">
        <v>2</v>
      </c>
      <c r="AL85" s="302">
        <v>2</v>
      </c>
      <c r="AM85" s="302">
        <v>2</v>
      </c>
      <c r="AN85" s="302">
        <v>2</v>
      </c>
      <c r="AO85" s="302">
        <v>1</v>
      </c>
      <c r="AP85" s="302">
        <v>2</v>
      </c>
      <c r="AQ85" s="302">
        <v>2</v>
      </c>
      <c r="AR85" s="302">
        <v>1</v>
      </c>
      <c r="AS85" s="302">
        <v>2</v>
      </c>
      <c r="AT85" s="302">
        <v>1</v>
      </c>
      <c r="AU85" s="302">
        <v>1</v>
      </c>
      <c r="AV85" s="302">
        <v>1</v>
      </c>
      <c r="AW85" s="302">
        <v>2</v>
      </c>
      <c r="AX85" s="302">
        <v>1</v>
      </c>
      <c r="AY85" s="302">
        <v>1</v>
      </c>
      <c r="AZ85" s="302">
        <v>1</v>
      </c>
      <c r="BA85" s="302">
        <v>1</v>
      </c>
      <c r="BB85" s="302">
        <v>2</v>
      </c>
      <c r="BC85" s="302">
        <v>2</v>
      </c>
      <c r="BD85" s="302">
        <v>2</v>
      </c>
      <c r="BE85" s="303"/>
      <c r="BF85" s="8">
        <f t="shared" si="10"/>
        <v>50</v>
      </c>
    </row>
    <row r="86" spans="1:88">
      <c r="A86" s="34" t="s">
        <v>86</v>
      </c>
      <c r="B86" s="326" t="s">
        <v>60</v>
      </c>
      <c r="C86" s="29"/>
      <c r="D86" s="293"/>
      <c r="E86" s="302">
        <v>0</v>
      </c>
      <c r="F86" s="302">
        <v>0</v>
      </c>
      <c r="G86" s="302">
        <v>0</v>
      </c>
      <c r="H86" s="302">
        <v>0</v>
      </c>
      <c r="I86" s="302">
        <v>0</v>
      </c>
      <c r="J86" s="302">
        <v>0</v>
      </c>
      <c r="K86" s="302">
        <v>0</v>
      </c>
      <c r="L86" s="302">
        <v>0</v>
      </c>
      <c r="M86" s="302"/>
      <c r="N86" s="302">
        <v>0</v>
      </c>
      <c r="O86" s="302">
        <v>0</v>
      </c>
      <c r="P86" s="302">
        <v>0</v>
      </c>
      <c r="Q86" s="302">
        <v>0</v>
      </c>
      <c r="R86" s="302">
        <v>0</v>
      </c>
      <c r="S86" s="302">
        <v>0</v>
      </c>
      <c r="T86" s="302"/>
      <c r="U86" s="302">
        <v>0</v>
      </c>
      <c r="V86" s="302">
        <v>0</v>
      </c>
      <c r="W86" s="302">
        <v>0</v>
      </c>
      <c r="X86" s="302">
        <v>0</v>
      </c>
      <c r="Y86" s="302">
        <v>0</v>
      </c>
      <c r="Z86" s="302">
        <v>0</v>
      </c>
      <c r="AA86" s="302">
        <v>0</v>
      </c>
      <c r="AB86" s="302">
        <v>0</v>
      </c>
      <c r="AC86" s="302">
        <v>0</v>
      </c>
      <c r="AD86" s="302">
        <v>0</v>
      </c>
      <c r="AE86" s="302">
        <v>0</v>
      </c>
      <c r="AF86" s="302">
        <v>1</v>
      </c>
      <c r="AG86" s="302">
        <v>0</v>
      </c>
      <c r="AH86" s="302">
        <v>0</v>
      </c>
      <c r="AI86" s="302">
        <v>0</v>
      </c>
      <c r="AJ86" s="302">
        <v>0</v>
      </c>
      <c r="AK86" s="302">
        <v>0</v>
      </c>
      <c r="AL86" s="302">
        <v>0</v>
      </c>
      <c r="AM86" s="302">
        <v>0</v>
      </c>
      <c r="AN86" s="302">
        <v>0</v>
      </c>
      <c r="AO86" s="302">
        <v>0</v>
      </c>
      <c r="AP86" s="302">
        <v>0</v>
      </c>
      <c r="AQ86" s="302">
        <v>0</v>
      </c>
      <c r="AR86" s="302">
        <v>0</v>
      </c>
      <c r="AS86" s="302">
        <v>0</v>
      </c>
      <c r="AT86" s="302">
        <v>0</v>
      </c>
      <c r="AU86" s="302">
        <v>0</v>
      </c>
      <c r="AV86" s="302">
        <v>0</v>
      </c>
      <c r="AW86" s="302">
        <v>0</v>
      </c>
      <c r="AX86" s="302">
        <v>0</v>
      </c>
      <c r="AY86" s="302">
        <v>0</v>
      </c>
      <c r="AZ86" s="302">
        <v>0</v>
      </c>
      <c r="BA86" s="302">
        <v>0</v>
      </c>
      <c r="BB86" s="302">
        <v>0</v>
      </c>
      <c r="BC86" s="302">
        <v>0</v>
      </c>
      <c r="BD86" s="302">
        <v>0</v>
      </c>
      <c r="BE86" s="303"/>
      <c r="BF86" s="8">
        <f t="shared" si="10"/>
        <v>50</v>
      </c>
    </row>
    <row r="87" spans="1:88">
      <c r="A87" s="35"/>
      <c r="B87" s="36"/>
      <c r="C87" s="12"/>
      <c r="D87" s="293"/>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293"/>
    </row>
    <row r="88" spans="1:88">
      <c r="A88" s="4" t="s">
        <v>87</v>
      </c>
      <c r="C88" s="11" t="s">
        <v>16</v>
      </c>
      <c r="D88" s="293"/>
      <c r="E88" s="314"/>
      <c r="F88" s="314"/>
      <c r="G88" s="314"/>
      <c r="H88" s="314"/>
      <c r="I88" s="301"/>
      <c r="J88" s="301"/>
      <c r="K88" s="301"/>
      <c r="L88" s="301"/>
      <c r="M88" s="301"/>
      <c r="N88" s="301"/>
      <c r="O88" s="301"/>
      <c r="P88" s="301"/>
      <c r="Q88" s="301"/>
      <c r="R88" s="301"/>
      <c r="S88" s="301"/>
      <c r="T88" s="301"/>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293"/>
      <c r="BW88" s="310"/>
      <c r="BX88" s="334"/>
      <c r="BY88" s="294"/>
      <c r="BZ88" s="294"/>
      <c r="CA88" s="294"/>
      <c r="CB88" s="335"/>
      <c r="CC88" s="294"/>
      <c r="CD88" s="294"/>
      <c r="CE88" s="294"/>
      <c r="CF88" s="335"/>
      <c r="CG88" s="294"/>
      <c r="CH88" s="294"/>
      <c r="CI88" s="294"/>
      <c r="CJ88" s="296"/>
    </row>
    <row r="89" spans="1:88" ht="1" customHeight="1">
      <c r="A89" s="4"/>
      <c r="C89" s="7"/>
      <c r="D89" s="293"/>
      <c r="E89" s="314"/>
      <c r="F89" s="314"/>
      <c r="G89" s="314"/>
      <c r="H89" s="314"/>
      <c r="I89" s="301"/>
      <c r="J89" s="301"/>
      <c r="K89" s="301"/>
      <c r="L89" s="301"/>
      <c r="M89" s="301"/>
      <c r="N89" s="301"/>
      <c r="O89" s="301"/>
      <c r="P89" s="301"/>
      <c r="Q89" s="301"/>
      <c r="R89" s="301"/>
      <c r="S89" s="301"/>
      <c r="T89" s="301"/>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293"/>
      <c r="BW89" s="310"/>
      <c r="BX89" s="334"/>
      <c r="BY89" s="294"/>
      <c r="BZ89" s="294"/>
      <c r="CA89" s="294"/>
      <c r="CB89" s="335"/>
      <c r="CC89" s="294"/>
      <c r="CD89" s="294"/>
      <c r="CE89" s="294"/>
      <c r="CF89" s="335"/>
      <c r="CG89" s="294"/>
      <c r="CH89" s="294"/>
      <c r="CI89" s="294"/>
      <c r="CJ89" s="296"/>
    </row>
    <row r="90" spans="1:88">
      <c r="C90" s="7"/>
      <c r="D90" s="293"/>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293"/>
      <c r="BW90" s="310"/>
      <c r="BX90" s="294"/>
      <c r="BY90" s="294"/>
      <c r="BZ90" s="294"/>
      <c r="CA90" s="294"/>
      <c r="CB90" s="294"/>
      <c r="CC90" s="294"/>
      <c r="CD90" s="294"/>
      <c r="CE90" s="294"/>
      <c r="CF90" s="294"/>
      <c r="CG90" s="294"/>
      <c r="CH90" s="294"/>
      <c r="CI90" s="294"/>
      <c r="CJ90" s="294"/>
    </row>
    <row r="91" spans="1:88">
      <c r="A91" s="336" t="s">
        <v>88</v>
      </c>
      <c r="B91" s="310" t="s">
        <v>89</v>
      </c>
      <c r="C91" s="12"/>
      <c r="D91" s="293"/>
      <c r="E91" s="311"/>
      <c r="F91" s="311">
        <v>0</v>
      </c>
      <c r="G91" s="311">
        <v>0</v>
      </c>
      <c r="H91" s="311">
        <v>0</v>
      </c>
      <c r="I91" s="311">
        <v>0</v>
      </c>
      <c r="J91" s="311">
        <v>0</v>
      </c>
      <c r="K91" s="311">
        <v>20</v>
      </c>
      <c r="L91" s="311">
        <v>0</v>
      </c>
      <c r="M91" s="311"/>
      <c r="N91" s="311">
        <v>0</v>
      </c>
      <c r="O91" s="311">
        <v>0</v>
      </c>
      <c r="P91" s="311">
        <v>0</v>
      </c>
      <c r="Q91" s="311">
        <v>0</v>
      </c>
      <c r="R91" s="311">
        <v>0</v>
      </c>
      <c r="S91" s="311">
        <v>0</v>
      </c>
      <c r="T91" s="311">
        <v>20</v>
      </c>
      <c r="U91" s="311">
        <v>20</v>
      </c>
      <c r="V91" s="311">
        <v>0</v>
      </c>
      <c r="W91" s="311">
        <v>26</v>
      </c>
      <c r="X91" s="311">
        <v>46</v>
      </c>
      <c r="Y91" s="311">
        <v>61</v>
      </c>
      <c r="Z91" s="311">
        <v>69.2</v>
      </c>
      <c r="AA91" s="311">
        <v>409.2</v>
      </c>
      <c r="AB91" s="311">
        <v>1370</v>
      </c>
      <c r="AC91" s="311">
        <v>3400</v>
      </c>
      <c r="AD91" s="311">
        <v>3140</v>
      </c>
      <c r="AE91" s="311"/>
      <c r="AF91" s="311">
        <v>700</v>
      </c>
      <c r="AG91" s="311">
        <v>680</v>
      </c>
      <c r="AH91" s="311">
        <v>3820</v>
      </c>
      <c r="AI91" s="311">
        <v>1420</v>
      </c>
      <c r="AJ91" s="311">
        <v>1270</v>
      </c>
      <c r="AK91" s="311">
        <v>1770</v>
      </c>
      <c r="AL91" s="311">
        <v>5020</v>
      </c>
      <c r="AM91" s="311">
        <v>3500</v>
      </c>
      <c r="AN91" s="311">
        <v>6350</v>
      </c>
      <c r="AO91" s="311">
        <v>8640</v>
      </c>
      <c r="AP91" s="311">
        <v>8780</v>
      </c>
      <c r="AQ91" s="311">
        <v>12600</v>
      </c>
      <c r="AR91" s="311">
        <v>13780</v>
      </c>
      <c r="AS91" s="311">
        <v>13620</v>
      </c>
      <c r="AT91" s="311">
        <v>15120</v>
      </c>
      <c r="AU91" s="311">
        <v>6660</v>
      </c>
      <c r="AV91" s="311">
        <v>380</v>
      </c>
      <c r="AW91" s="311"/>
      <c r="AX91" s="311">
        <v>120</v>
      </c>
      <c r="AY91" s="311">
        <v>60</v>
      </c>
      <c r="AZ91" s="311">
        <v>40</v>
      </c>
      <c r="BA91" s="311">
        <v>0</v>
      </c>
      <c r="BB91" s="311">
        <v>60</v>
      </c>
      <c r="BC91" s="311">
        <v>20</v>
      </c>
      <c r="BD91" s="311"/>
      <c r="BE91" s="303"/>
      <c r="BW91" s="310"/>
      <c r="BX91" s="335"/>
      <c r="BY91" s="335"/>
      <c r="BZ91" s="335"/>
      <c r="CA91" s="335"/>
      <c r="CB91" s="335"/>
      <c r="CC91" s="335"/>
      <c r="CD91" s="335"/>
      <c r="CE91" s="335"/>
      <c r="CF91" s="335"/>
      <c r="CG91" s="335"/>
      <c r="CH91" s="335"/>
      <c r="CI91" s="335"/>
      <c r="CJ91" s="335"/>
    </row>
    <row r="92" spans="1:88">
      <c r="A92" s="316" t="s">
        <v>90</v>
      </c>
      <c r="B92" s="310" t="s">
        <v>89</v>
      </c>
      <c r="C92" s="12"/>
      <c r="D92" s="293"/>
      <c r="E92" s="311"/>
      <c r="F92" s="311">
        <v>1500</v>
      </c>
      <c r="G92" s="311">
        <v>480</v>
      </c>
      <c r="H92" s="311">
        <v>380</v>
      </c>
      <c r="I92" s="311">
        <v>360</v>
      </c>
      <c r="J92" s="311">
        <v>380</v>
      </c>
      <c r="K92" s="311">
        <v>820</v>
      </c>
      <c r="L92" s="311">
        <v>660</v>
      </c>
      <c r="M92" s="311"/>
      <c r="N92" s="311">
        <v>420</v>
      </c>
      <c r="O92" s="311">
        <v>830</v>
      </c>
      <c r="P92" s="311">
        <v>2480</v>
      </c>
      <c r="Q92" s="311">
        <v>10760</v>
      </c>
      <c r="R92" s="311">
        <v>16540</v>
      </c>
      <c r="S92" s="311">
        <v>15460</v>
      </c>
      <c r="T92" s="311">
        <v>7760</v>
      </c>
      <c r="U92" s="311">
        <v>7640</v>
      </c>
      <c r="V92" s="311">
        <v>2760</v>
      </c>
      <c r="W92" s="311">
        <v>1800</v>
      </c>
      <c r="X92" s="311">
        <v>1380</v>
      </c>
      <c r="Y92" s="311">
        <v>980</v>
      </c>
      <c r="Z92" s="311">
        <v>1380</v>
      </c>
      <c r="AA92" s="311">
        <v>1480</v>
      </c>
      <c r="AB92" s="311">
        <v>1260</v>
      </c>
      <c r="AC92" s="311">
        <v>1400</v>
      </c>
      <c r="AD92" s="311">
        <v>1220</v>
      </c>
      <c r="AE92" s="311"/>
      <c r="AF92" s="311">
        <v>1760</v>
      </c>
      <c r="AG92" s="311">
        <v>700</v>
      </c>
      <c r="AH92" s="311">
        <v>920</v>
      </c>
      <c r="AI92" s="311">
        <v>1280</v>
      </c>
      <c r="AJ92" s="311">
        <v>1000</v>
      </c>
      <c r="AK92" s="311">
        <v>1320</v>
      </c>
      <c r="AL92" s="311">
        <v>1800</v>
      </c>
      <c r="AM92" s="311">
        <v>1120</v>
      </c>
      <c r="AN92" s="311">
        <v>700</v>
      </c>
      <c r="AO92" s="311">
        <v>1380</v>
      </c>
      <c r="AP92" s="311">
        <v>940</v>
      </c>
      <c r="AQ92" s="311">
        <v>1380</v>
      </c>
      <c r="AR92" s="311">
        <v>980</v>
      </c>
      <c r="AS92" s="311">
        <v>720</v>
      </c>
      <c r="AT92" s="311">
        <v>720</v>
      </c>
      <c r="AU92" s="311">
        <v>540</v>
      </c>
      <c r="AV92" s="311">
        <v>440</v>
      </c>
      <c r="AW92" s="311"/>
      <c r="AX92" s="311">
        <v>520</v>
      </c>
      <c r="AY92" s="311">
        <v>400</v>
      </c>
      <c r="AZ92" s="311">
        <v>580</v>
      </c>
      <c r="BA92" s="311">
        <v>560</v>
      </c>
      <c r="BB92" s="311">
        <v>420</v>
      </c>
      <c r="BC92" s="311">
        <v>640</v>
      </c>
      <c r="BD92" s="311"/>
      <c r="BE92" s="303"/>
      <c r="BW92" s="310"/>
      <c r="BX92" s="335"/>
      <c r="BY92" s="335"/>
      <c r="BZ92" s="335"/>
      <c r="CA92" s="335"/>
      <c r="CB92" s="335"/>
      <c r="CC92" s="335"/>
      <c r="CD92" s="335"/>
      <c r="CE92" s="335"/>
      <c r="CF92" s="335"/>
      <c r="CG92" s="335"/>
      <c r="CH92" s="335"/>
      <c r="CI92" s="335"/>
      <c r="CJ92" s="335"/>
    </row>
    <row r="93" spans="1:88">
      <c r="A93" s="316" t="s">
        <v>91</v>
      </c>
      <c r="B93" s="1" t="s">
        <v>89</v>
      </c>
      <c r="C93" s="7"/>
      <c r="D93" s="293"/>
      <c r="E93" s="311"/>
      <c r="F93" s="311">
        <v>60</v>
      </c>
      <c r="G93" s="311">
        <v>40</v>
      </c>
      <c r="H93" s="311">
        <v>0</v>
      </c>
      <c r="I93" s="311">
        <v>20</v>
      </c>
      <c r="J93" s="311">
        <v>20</v>
      </c>
      <c r="K93" s="311">
        <v>0</v>
      </c>
      <c r="L93" s="311">
        <v>0</v>
      </c>
      <c r="M93" s="311"/>
      <c r="N93" s="311">
        <v>0</v>
      </c>
      <c r="O93" s="311">
        <v>0</v>
      </c>
      <c r="P93" s="311">
        <v>0</v>
      </c>
      <c r="Q93" s="311">
        <v>100</v>
      </c>
      <c r="R93" s="311">
        <v>380</v>
      </c>
      <c r="S93" s="311">
        <v>360</v>
      </c>
      <c r="T93" s="311">
        <v>140</v>
      </c>
      <c r="U93" s="311">
        <v>100</v>
      </c>
      <c r="V93" s="311">
        <v>160</v>
      </c>
      <c r="W93" s="311">
        <v>400</v>
      </c>
      <c r="X93" s="311">
        <v>280</v>
      </c>
      <c r="Y93" s="311">
        <v>200</v>
      </c>
      <c r="Z93" s="311">
        <v>80</v>
      </c>
      <c r="AA93" s="311">
        <v>460</v>
      </c>
      <c r="AB93" s="311">
        <v>280</v>
      </c>
      <c r="AC93" s="311">
        <v>200</v>
      </c>
      <c r="AD93" s="311">
        <v>160</v>
      </c>
      <c r="AE93" s="311"/>
      <c r="AF93" s="311">
        <v>1140</v>
      </c>
      <c r="AG93" s="311">
        <v>120</v>
      </c>
      <c r="AH93" s="311">
        <v>240</v>
      </c>
      <c r="AI93" s="311">
        <v>520</v>
      </c>
      <c r="AJ93" s="311">
        <v>460</v>
      </c>
      <c r="AK93" s="311">
        <v>1300</v>
      </c>
      <c r="AL93" s="311">
        <v>320</v>
      </c>
      <c r="AM93" s="311">
        <v>180</v>
      </c>
      <c r="AN93" s="311">
        <v>460</v>
      </c>
      <c r="AO93" s="311">
        <v>240</v>
      </c>
      <c r="AP93" s="311">
        <v>200</v>
      </c>
      <c r="AQ93" s="311">
        <v>160</v>
      </c>
      <c r="AR93" s="311">
        <v>60</v>
      </c>
      <c r="AS93" s="311">
        <v>180</v>
      </c>
      <c r="AT93" s="311">
        <v>200</v>
      </c>
      <c r="AU93" s="311">
        <v>100</v>
      </c>
      <c r="AV93" s="311">
        <v>120</v>
      </c>
      <c r="AW93" s="311"/>
      <c r="AX93" s="311">
        <v>100</v>
      </c>
      <c r="AY93" s="311">
        <v>80</v>
      </c>
      <c r="AZ93" s="311">
        <v>60</v>
      </c>
      <c r="BA93" s="311">
        <v>80</v>
      </c>
      <c r="BB93" s="311">
        <v>100</v>
      </c>
      <c r="BC93" s="311">
        <v>140</v>
      </c>
      <c r="BD93" s="311"/>
      <c r="BE93" s="303"/>
      <c r="BW93" s="310"/>
      <c r="BX93" s="335"/>
      <c r="BY93" s="335"/>
      <c r="BZ93" s="335"/>
      <c r="CA93" s="335"/>
      <c r="CB93" s="335"/>
      <c r="CC93" s="335"/>
      <c r="CD93" s="335"/>
      <c r="CE93" s="335"/>
      <c r="CF93" s="335"/>
      <c r="CG93" s="335"/>
      <c r="CH93" s="335"/>
      <c r="CI93" s="335"/>
      <c r="CJ93" s="335"/>
    </row>
    <row r="94" spans="1:88">
      <c r="A94" s="316" t="s">
        <v>92</v>
      </c>
      <c r="B94" s="1" t="s">
        <v>89</v>
      </c>
      <c r="C94" s="7"/>
      <c r="D94" s="293"/>
      <c r="E94" s="311"/>
      <c r="F94" s="311">
        <v>220</v>
      </c>
      <c r="G94" s="311">
        <v>220</v>
      </c>
      <c r="H94" s="311">
        <v>140</v>
      </c>
      <c r="I94" s="311">
        <v>200</v>
      </c>
      <c r="J94" s="311">
        <v>140</v>
      </c>
      <c r="K94" s="311">
        <v>100</v>
      </c>
      <c r="L94" s="311">
        <v>120</v>
      </c>
      <c r="M94" s="311"/>
      <c r="N94" s="311">
        <v>180</v>
      </c>
      <c r="O94" s="311">
        <v>210</v>
      </c>
      <c r="P94" s="311">
        <v>1100</v>
      </c>
      <c r="Q94" s="311">
        <v>2140</v>
      </c>
      <c r="R94" s="311">
        <v>3240</v>
      </c>
      <c r="S94" s="311">
        <v>1960</v>
      </c>
      <c r="T94" s="311">
        <v>1640</v>
      </c>
      <c r="U94" s="311">
        <v>2220</v>
      </c>
      <c r="V94" s="311">
        <v>2540</v>
      </c>
      <c r="W94" s="311">
        <v>1300</v>
      </c>
      <c r="X94" s="311">
        <v>1300</v>
      </c>
      <c r="Y94" s="311">
        <v>2280</v>
      </c>
      <c r="Z94" s="311">
        <v>2680</v>
      </c>
      <c r="AA94" s="311">
        <v>1420</v>
      </c>
      <c r="AB94" s="311">
        <v>900</v>
      </c>
      <c r="AC94" s="311">
        <v>1700</v>
      </c>
      <c r="AD94" s="311">
        <v>2680</v>
      </c>
      <c r="AE94" s="311"/>
      <c r="AF94" s="311">
        <v>2460</v>
      </c>
      <c r="AG94" s="311">
        <v>3680</v>
      </c>
      <c r="AH94" s="311">
        <v>2420</v>
      </c>
      <c r="AI94" s="311">
        <v>1760</v>
      </c>
      <c r="AJ94" s="311">
        <v>4380</v>
      </c>
      <c r="AK94" s="311">
        <v>4420</v>
      </c>
      <c r="AL94" s="311">
        <v>3700</v>
      </c>
      <c r="AM94" s="311">
        <v>2620</v>
      </c>
      <c r="AN94" s="311">
        <v>1980</v>
      </c>
      <c r="AO94" s="311">
        <v>1080</v>
      </c>
      <c r="AP94" s="311">
        <v>420</v>
      </c>
      <c r="AQ94" s="311">
        <v>60</v>
      </c>
      <c r="AR94" s="311">
        <v>60</v>
      </c>
      <c r="AS94" s="311">
        <v>120</v>
      </c>
      <c r="AT94" s="311">
        <v>220</v>
      </c>
      <c r="AU94" s="311">
        <v>60</v>
      </c>
      <c r="AV94" s="311">
        <v>100</v>
      </c>
      <c r="AW94" s="311"/>
      <c r="AX94" s="311">
        <v>800</v>
      </c>
      <c r="AY94" s="311">
        <v>1300</v>
      </c>
      <c r="AZ94" s="311">
        <v>1160</v>
      </c>
      <c r="BA94" s="311">
        <v>2040</v>
      </c>
      <c r="BB94" s="311">
        <v>1980</v>
      </c>
      <c r="BC94" s="311">
        <v>2540</v>
      </c>
      <c r="BD94" s="311"/>
      <c r="BE94" s="303"/>
      <c r="BW94" s="310"/>
      <c r="BX94" s="335"/>
      <c r="BY94" s="335"/>
      <c r="BZ94" s="335"/>
      <c r="CA94" s="335"/>
      <c r="CB94" s="335"/>
      <c r="CC94" s="335"/>
      <c r="CD94" s="335"/>
      <c r="CE94" s="335"/>
      <c r="CF94" s="335"/>
      <c r="CG94" s="335"/>
      <c r="CH94" s="335"/>
      <c r="CI94" s="335"/>
      <c r="CJ94" s="335"/>
    </row>
    <row r="95" spans="1:88">
      <c r="A95" s="1" t="s">
        <v>93</v>
      </c>
      <c r="B95" s="1" t="s">
        <v>89</v>
      </c>
      <c r="C95" s="7"/>
      <c r="D95" s="293"/>
      <c r="E95" s="311"/>
      <c r="F95" s="311">
        <v>10</v>
      </c>
      <c r="G95" s="311">
        <v>13</v>
      </c>
      <c r="H95" s="311">
        <v>13</v>
      </c>
      <c r="I95" s="311">
        <v>20</v>
      </c>
      <c r="J95" s="311">
        <v>37</v>
      </c>
      <c r="K95" s="311">
        <v>0</v>
      </c>
      <c r="L95" s="311">
        <v>17</v>
      </c>
      <c r="M95" s="311"/>
      <c r="N95" s="311"/>
      <c r="O95" s="311">
        <v>16</v>
      </c>
      <c r="P95" s="311">
        <v>60</v>
      </c>
      <c r="Q95" s="311">
        <v>23</v>
      </c>
      <c r="R95" s="311">
        <v>70</v>
      </c>
      <c r="S95" s="311">
        <v>110</v>
      </c>
      <c r="T95" s="311"/>
      <c r="U95" s="311">
        <v>103</v>
      </c>
      <c r="V95" s="311">
        <v>17</v>
      </c>
      <c r="W95" s="311">
        <v>10</v>
      </c>
      <c r="X95" s="311">
        <v>27</v>
      </c>
      <c r="Y95" s="311">
        <v>73</v>
      </c>
      <c r="Z95" s="311">
        <v>20</v>
      </c>
      <c r="AA95" s="311">
        <v>107</v>
      </c>
      <c r="AB95" s="311"/>
      <c r="AC95" s="311">
        <v>67</v>
      </c>
      <c r="AD95" s="311">
        <v>73</v>
      </c>
      <c r="AE95" s="311"/>
      <c r="AF95" s="311">
        <v>50</v>
      </c>
      <c r="AG95" s="311">
        <v>113</v>
      </c>
      <c r="AH95" s="311">
        <v>70</v>
      </c>
      <c r="AI95" s="311">
        <v>0</v>
      </c>
      <c r="AJ95" s="311">
        <v>73</v>
      </c>
      <c r="AK95" s="311">
        <v>83</v>
      </c>
      <c r="AL95" s="311">
        <v>120</v>
      </c>
      <c r="AM95" s="311">
        <v>177</v>
      </c>
      <c r="AN95" s="311">
        <v>300</v>
      </c>
      <c r="AO95" s="311">
        <v>420</v>
      </c>
      <c r="AP95" s="311">
        <v>147</v>
      </c>
      <c r="AQ95" s="311">
        <v>63</v>
      </c>
      <c r="AR95" s="311">
        <v>200</v>
      </c>
      <c r="AS95" s="311">
        <v>73</v>
      </c>
      <c r="AT95" s="311">
        <v>7</v>
      </c>
      <c r="AU95" s="311">
        <v>90</v>
      </c>
      <c r="AV95" s="311">
        <v>150</v>
      </c>
      <c r="AW95" s="311"/>
      <c r="AX95" s="311">
        <v>43</v>
      </c>
      <c r="AY95" s="311">
        <v>13</v>
      </c>
      <c r="AZ95" s="311">
        <v>23</v>
      </c>
      <c r="BA95" s="311">
        <v>97</v>
      </c>
      <c r="BB95" s="311">
        <v>27</v>
      </c>
      <c r="BC95" s="311">
        <v>80</v>
      </c>
      <c r="BD95" s="311"/>
      <c r="BE95" s="303"/>
      <c r="BW95" s="310"/>
      <c r="BX95" s="335"/>
      <c r="BY95" s="335"/>
      <c r="BZ95" s="335"/>
      <c r="CA95" s="335"/>
      <c r="CB95" s="335"/>
      <c r="CC95" s="335"/>
      <c r="CD95" s="335"/>
      <c r="CE95" s="335"/>
      <c r="CF95" s="335"/>
      <c r="CG95" s="335"/>
      <c r="CH95" s="335"/>
      <c r="CI95" s="335"/>
      <c r="CJ95" s="335"/>
    </row>
    <row r="96" spans="1:88">
      <c r="A96" s="1" t="s">
        <v>94</v>
      </c>
      <c r="B96" s="1" t="s">
        <v>89</v>
      </c>
      <c r="C96" s="7"/>
      <c r="D96" s="293"/>
      <c r="E96" s="311"/>
      <c r="F96" s="311">
        <v>0</v>
      </c>
      <c r="G96" s="311">
        <v>0</v>
      </c>
      <c r="H96" s="311">
        <v>0</v>
      </c>
      <c r="I96" s="311">
        <v>0</v>
      </c>
      <c r="J96" s="311">
        <v>0</v>
      </c>
      <c r="K96" s="311">
        <v>0</v>
      </c>
      <c r="L96" s="311">
        <v>0</v>
      </c>
      <c r="M96" s="311"/>
      <c r="N96" s="311">
        <v>0</v>
      </c>
      <c r="O96" s="311">
        <v>0</v>
      </c>
      <c r="P96" s="311">
        <v>0</v>
      </c>
      <c r="Q96" s="311">
        <v>0</v>
      </c>
      <c r="R96" s="311">
        <v>0</v>
      </c>
      <c r="S96" s="311">
        <v>0</v>
      </c>
      <c r="T96" s="311">
        <v>0</v>
      </c>
      <c r="U96" s="311">
        <v>0</v>
      </c>
      <c r="V96" s="311">
        <v>0</v>
      </c>
      <c r="W96" s="311">
        <v>0</v>
      </c>
      <c r="X96" s="311">
        <v>0</v>
      </c>
      <c r="Y96" s="311">
        <v>0</v>
      </c>
      <c r="Z96" s="311">
        <v>0</v>
      </c>
      <c r="AA96" s="311">
        <v>0</v>
      </c>
      <c r="AB96" s="311">
        <v>0</v>
      </c>
      <c r="AC96" s="311">
        <v>0</v>
      </c>
      <c r="AD96" s="311">
        <v>0</v>
      </c>
      <c r="AE96" s="311"/>
      <c r="AF96" s="311">
        <v>0</v>
      </c>
      <c r="AG96" s="311">
        <v>0</v>
      </c>
      <c r="AH96" s="311">
        <v>0</v>
      </c>
      <c r="AI96" s="311">
        <v>0</v>
      </c>
      <c r="AJ96" s="311">
        <v>0</v>
      </c>
      <c r="AK96" s="311">
        <v>0</v>
      </c>
      <c r="AL96" s="311">
        <v>0</v>
      </c>
      <c r="AM96" s="311">
        <v>0</v>
      </c>
      <c r="AN96" s="311">
        <v>0</v>
      </c>
      <c r="AO96" s="311">
        <v>0</v>
      </c>
      <c r="AP96" s="311">
        <v>0</v>
      </c>
      <c r="AQ96" s="311">
        <v>0</v>
      </c>
      <c r="AR96" s="311">
        <v>0</v>
      </c>
      <c r="AS96" s="311">
        <v>0</v>
      </c>
      <c r="AT96" s="311">
        <v>0</v>
      </c>
      <c r="AU96" s="311">
        <v>0</v>
      </c>
      <c r="AV96" s="311">
        <v>0</v>
      </c>
      <c r="AW96" s="311"/>
      <c r="AX96" s="311">
        <v>0</v>
      </c>
      <c r="AY96" s="311">
        <v>0</v>
      </c>
      <c r="AZ96" s="311">
        <v>0</v>
      </c>
      <c r="BA96" s="311">
        <v>0</v>
      </c>
      <c r="BB96" s="311">
        <v>0</v>
      </c>
      <c r="BC96" s="311">
        <v>0</v>
      </c>
      <c r="BD96" s="311"/>
      <c r="BE96" s="303"/>
      <c r="BW96" s="310"/>
      <c r="BX96" s="335"/>
      <c r="BY96" s="335"/>
      <c r="BZ96" s="335"/>
      <c r="CA96" s="335"/>
      <c r="CB96" s="335"/>
      <c r="CC96" s="335"/>
      <c r="CD96" s="335"/>
      <c r="CE96" s="335"/>
      <c r="CF96" s="335"/>
      <c r="CG96" s="335"/>
      <c r="CH96" s="335"/>
      <c r="CI96" s="335"/>
      <c r="CJ96" s="335"/>
    </row>
    <row r="97" spans="1:88">
      <c r="A97" s="1" t="s">
        <v>95</v>
      </c>
      <c r="B97" s="1" t="s">
        <v>89</v>
      </c>
      <c r="C97" s="7"/>
      <c r="D97" s="293"/>
      <c r="E97" s="311"/>
      <c r="F97" s="311">
        <v>0</v>
      </c>
      <c r="G97" s="311">
        <v>0</v>
      </c>
      <c r="H97" s="311">
        <v>0</v>
      </c>
      <c r="I97" s="311">
        <v>0</v>
      </c>
      <c r="J97" s="311">
        <v>0</v>
      </c>
      <c r="K97" s="311">
        <v>0</v>
      </c>
      <c r="L97" s="311">
        <v>0</v>
      </c>
      <c r="M97" s="311"/>
      <c r="N97" s="311">
        <v>0</v>
      </c>
      <c r="O97" s="311">
        <v>0</v>
      </c>
      <c r="P97" s="311">
        <v>0</v>
      </c>
      <c r="Q97" s="311">
        <v>0</v>
      </c>
      <c r="R97" s="311">
        <v>0</v>
      </c>
      <c r="S97" s="311">
        <v>0</v>
      </c>
      <c r="T97" s="311">
        <v>0</v>
      </c>
      <c r="U97" s="311">
        <v>0</v>
      </c>
      <c r="V97" s="311">
        <v>0</v>
      </c>
      <c r="W97" s="311">
        <v>0</v>
      </c>
      <c r="X97" s="311">
        <v>0</v>
      </c>
      <c r="Y97" s="311">
        <v>0</v>
      </c>
      <c r="Z97" s="311">
        <v>0</v>
      </c>
      <c r="AA97" s="311">
        <v>0</v>
      </c>
      <c r="AB97" s="311">
        <v>0</v>
      </c>
      <c r="AC97" s="311">
        <v>0</v>
      </c>
      <c r="AD97" s="311">
        <v>20</v>
      </c>
      <c r="AE97" s="311"/>
      <c r="AF97" s="311">
        <v>0</v>
      </c>
      <c r="AG97" s="311">
        <v>0</v>
      </c>
      <c r="AH97" s="311">
        <v>20</v>
      </c>
      <c r="AI97" s="311">
        <v>0</v>
      </c>
      <c r="AJ97" s="311">
        <v>0</v>
      </c>
      <c r="AK97" s="311">
        <v>0</v>
      </c>
      <c r="AL97" s="311">
        <v>0</v>
      </c>
      <c r="AM97" s="311">
        <v>0</v>
      </c>
      <c r="AN97" s="311">
        <v>0</v>
      </c>
      <c r="AO97" s="311">
        <v>0</v>
      </c>
      <c r="AP97" s="311">
        <v>0</v>
      </c>
      <c r="AQ97" s="311">
        <v>0</v>
      </c>
      <c r="AR97" s="311">
        <v>0</v>
      </c>
      <c r="AS97" s="311">
        <v>0</v>
      </c>
      <c r="AT97" s="311">
        <v>0</v>
      </c>
      <c r="AU97" s="311">
        <v>0</v>
      </c>
      <c r="AV97" s="311">
        <v>0</v>
      </c>
      <c r="AW97" s="311"/>
      <c r="AX97" s="311">
        <v>0</v>
      </c>
      <c r="AY97" s="311">
        <v>0</v>
      </c>
      <c r="AZ97" s="311">
        <v>20</v>
      </c>
      <c r="BA97" s="311">
        <v>0</v>
      </c>
      <c r="BB97" s="311">
        <v>0</v>
      </c>
      <c r="BC97" s="311">
        <v>0</v>
      </c>
      <c r="BD97" s="311"/>
      <c r="BE97" s="303"/>
      <c r="BW97" s="310"/>
      <c r="BX97" s="335"/>
      <c r="BY97" s="335"/>
      <c r="BZ97" s="335"/>
      <c r="CA97" s="335"/>
      <c r="CB97" s="335"/>
      <c r="CC97" s="335"/>
      <c r="CD97" s="335"/>
      <c r="CE97" s="335"/>
      <c r="CF97" s="335"/>
      <c r="CG97" s="335"/>
      <c r="CH97" s="335"/>
      <c r="CI97" s="335"/>
      <c r="CJ97" s="335"/>
    </row>
    <row r="98" spans="1:88">
      <c r="A98" s="316" t="s">
        <v>96</v>
      </c>
      <c r="B98" s="1" t="s">
        <v>89</v>
      </c>
      <c r="C98" s="7"/>
      <c r="D98" s="293"/>
      <c r="E98" s="311"/>
      <c r="F98" s="311">
        <v>0</v>
      </c>
      <c r="G98" s="311">
        <v>0</v>
      </c>
      <c r="H98" s="311">
        <v>0</v>
      </c>
      <c r="I98" s="311">
        <v>0</v>
      </c>
      <c r="J98" s="311">
        <v>0</v>
      </c>
      <c r="K98" s="311">
        <v>0</v>
      </c>
      <c r="L98" s="311">
        <v>0</v>
      </c>
      <c r="M98" s="311"/>
      <c r="N98" s="311">
        <v>0</v>
      </c>
      <c r="O98" s="311">
        <v>0</v>
      </c>
      <c r="P98" s="311">
        <v>0</v>
      </c>
      <c r="Q98" s="311">
        <v>0</v>
      </c>
      <c r="R98" s="311">
        <v>0</v>
      </c>
      <c r="S98" s="311">
        <v>0</v>
      </c>
      <c r="T98" s="311">
        <v>0</v>
      </c>
      <c r="U98" s="311">
        <v>0</v>
      </c>
      <c r="V98" s="311">
        <v>0</v>
      </c>
      <c r="W98" s="311">
        <v>0</v>
      </c>
      <c r="X98" s="311">
        <v>0</v>
      </c>
      <c r="Y98" s="311">
        <v>0</v>
      </c>
      <c r="Z98" s="311">
        <v>0</v>
      </c>
      <c r="AA98" s="311">
        <v>0</v>
      </c>
      <c r="AB98" s="311">
        <v>0</v>
      </c>
      <c r="AC98" s="311">
        <v>0</v>
      </c>
      <c r="AD98" s="311">
        <v>0</v>
      </c>
      <c r="AE98" s="311"/>
      <c r="AF98" s="311">
        <v>0</v>
      </c>
      <c r="AG98" s="311">
        <v>0</v>
      </c>
      <c r="AH98" s="311">
        <v>0</v>
      </c>
      <c r="AI98" s="311">
        <v>0</v>
      </c>
      <c r="AJ98" s="311">
        <v>0</v>
      </c>
      <c r="AK98" s="311">
        <v>0</v>
      </c>
      <c r="AL98" s="311">
        <v>0</v>
      </c>
      <c r="AM98" s="311">
        <v>0</v>
      </c>
      <c r="AN98" s="311">
        <v>0</v>
      </c>
      <c r="AO98" s="311">
        <v>0</v>
      </c>
      <c r="AP98" s="311">
        <v>0</v>
      </c>
      <c r="AQ98" s="311">
        <v>0</v>
      </c>
      <c r="AR98" s="311">
        <v>0</v>
      </c>
      <c r="AS98" s="311">
        <v>0</v>
      </c>
      <c r="AT98" s="311">
        <v>0</v>
      </c>
      <c r="AU98" s="311">
        <v>0</v>
      </c>
      <c r="AV98" s="311">
        <v>0</v>
      </c>
      <c r="AW98" s="311"/>
      <c r="AX98" s="311">
        <v>0</v>
      </c>
      <c r="AY98" s="311">
        <v>0</v>
      </c>
      <c r="AZ98" s="311">
        <v>0</v>
      </c>
      <c r="BA98" s="311">
        <v>0</v>
      </c>
      <c r="BB98" s="311">
        <v>0</v>
      </c>
      <c r="BC98" s="311">
        <v>0</v>
      </c>
      <c r="BD98" s="311"/>
      <c r="BE98" s="303"/>
      <c r="BW98" s="310"/>
      <c r="BX98" s="335"/>
      <c r="BY98" s="335"/>
      <c r="BZ98" s="335"/>
      <c r="CA98" s="335"/>
      <c r="CB98" s="335"/>
      <c r="CC98" s="335"/>
      <c r="CD98" s="335"/>
      <c r="CE98" s="335"/>
      <c r="CF98" s="335"/>
      <c r="CG98" s="335"/>
      <c r="CH98" s="335"/>
      <c r="CI98" s="335"/>
      <c r="CJ98" s="335"/>
    </row>
    <row r="99" spans="1:88">
      <c r="A99" s="318" t="s">
        <v>97</v>
      </c>
      <c r="B99" s="318" t="s">
        <v>89</v>
      </c>
      <c r="C99" s="16"/>
      <c r="D99" s="308"/>
      <c r="E99" s="337" t="str">
        <f t="shared" ref="E99:AJ99" si="17">IF(OR(ISBLANK(E91),ISBLANK(E92)),"uncalcuable",SUM(E91:E92))</f>
        <v>uncalcuable</v>
      </c>
      <c r="F99" s="337">
        <f t="shared" si="17"/>
        <v>1500</v>
      </c>
      <c r="G99" s="337">
        <f t="shared" si="17"/>
        <v>480</v>
      </c>
      <c r="H99" s="337">
        <f t="shared" si="17"/>
        <v>380</v>
      </c>
      <c r="I99" s="337">
        <f t="shared" si="17"/>
        <v>360</v>
      </c>
      <c r="J99" s="337">
        <f t="shared" si="17"/>
        <v>380</v>
      </c>
      <c r="K99" s="337">
        <f t="shared" si="17"/>
        <v>840</v>
      </c>
      <c r="L99" s="337">
        <f t="shared" si="17"/>
        <v>660</v>
      </c>
      <c r="M99" s="337" t="str">
        <f t="shared" si="17"/>
        <v>uncalcuable</v>
      </c>
      <c r="N99" s="337">
        <f t="shared" si="17"/>
        <v>420</v>
      </c>
      <c r="O99" s="337">
        <f t="shared" si="17"/>
        <v>830</v>
      </c>
      <c r="P99" s="337">
        <f t="shared" si="17"/>
        <v>2480</v>
      </c>
      <c r="Q99" s="337">
        <f t="shared" si="17"/>
        <v>10760</v>
      </c>
      <c r="R99" s="337">
        <f t="shared" si="17"/>
        <v>16540</v>
      </c>
      <c r="S99" s="337">
        <f t="shared" si="17"/>
        <v>15460</v>
      </c>
      <c r="T99" s="337">
        <f t="shared" si="17"/>
        <v>7780</v>
      </c>
      <c r="U99" s="337">
        <f t="shared" si="17"/>
        <v>7660</v>
      </c>
      <c r="V99" s="337">
        <f t="shared" si="17"/>
        <v>2760</v>
      </c>
      <c r="W99" s="337">
        <f t="shared" si="17"/>
        <v>1826</v>
      </c>
      <c r="X99" s="337">
        <f t="shared" si="17"/>
        <v>1426</v>
      </c>
      <c r="Y99" s="337">
        <f t="shared" si="17"/>
        <v>1041</v>
      </c>
      <c r="Z99" s="337">
        <f t="shared" si="17"/>
        <v>1449.2</v>
      </c>
      <c r="AA99" s="337">
        <f t="shared" si="17"/>
        <v>1889.2</v>
      </c>
      <c r="AB99" s="337">
        <f t="shared" si="17"/>
        <v>2630</v>
      </c>
      <c r="AC99" s="337">
        <f t="shared" si="17"/>
        <v>4800</v>
      </c>
      <c r="AD99" s="337">
        <f t="shared" si="17"/>
        <v>4360</v>
      </c>
      <c r="AE99" s="337" t="str">
        <f t="shared" si="17"/>
        <v>uncalcuable</v>
      </c>
      <c r="AF99" s="337">
        <f t="shared" si="17"/>
        <v>2460</v>
      </c>
      <c r="AG99" s="337">
        <f t="shared" si="17"/>
        <v>1380</v>
      </c>
      <c r="AH99" s="337">
        <f t="shared" si="17"/>
        <v>4740</v>
      </c>
      <c r="AI99" s="337">
        <f t="shared" si="17"/>
        <v>2700</v>
      </c>
      <c r="AJ99" s="337">
        <f t="shared" si="17"/>
        <v>2270</v>
      </c>
      <c r="AK99" s="337">
        <f t="shared" ref="AK99:BD99" si="18">IF(OR(ISBLANK(AK91),ISBLANK(AK92)),"uncalcuable",SUM(AK91:AK92))</f>
        <v>3090</v>
      </c>
      <c r="AL99" s="337">
        <f t="shared" si="18"/>
        <v>6820</v>
      </c>
      <c r="AM99" s="337">
        <f t="shared" si="18"/>
        <v>4620</v>
      </c>
      <c r="AN99" s="337">
        <f t="shared" si="18"/>
        <v>7050</v>
      </c>
      <c r="AO99" s="337">
        <f t="shared" si="18"/>
        <v>10020</v>
      </c>
      <c r="AP99" s="337">
        <f t="shared" si="18"/>
        <v>9720</v>
      </c>
      <c r="AQ99" s="337">
        <f t="shared" si="18"/>
        <v>13980</v>
      </c>
      <c r="AR99" s="337">
        <f t="shared" si="18"/>
        <v>14760</v>
      </c>
      <c r="AS99" s="337">
        <f t="shared" si="18"/>
        <v>14340</v>
      </c>
      <c r="AT99" s="337">
        <f t="shared" si="18"/>
        <v>15840</v>
      </c>
      <c r="AU99" s="337">
        <f t="shared" si="18"/>
        <v>7200</v>
      </c>
      <c r="AV99" s="337">
        <f t="shared" si="18"/>
        <v>820</v>
      </c>
      <c r="AW99" s="337" t="str">
        <f t="shared" si="18"/>
        <v>uncalcuable</v>
      </c>
      <c r="AX99" s="337">
        <f t="shared" si="18"/>
        <v>640</v>
      </c>
      <c r="AY99" s="337">
        <f t="shared" si="18"/>
        <v>460</v>
      </c>
      <c r="AZ99" s="337">
        <f t="shared" si="18"/>
        <v>620</v>
      </c>
      <c r="BA99" s="337">
        <f t="shared" si="18"/>
        <v>560</v>
      </c>
      <c r="BB99" s="337">
        <f t="shared" si="18"/>
        <v>480</v>
      </c>
      <c r="BC99" s="337">
        <f t="shared" si="18"/>
        <v>660</v>
      </c>
      <c r="BD99" s="337" t="str">
        <f t="shared" si="18"/>
        <v>uncalcuable</v>
      </c>
      <c r="BE99" s="293"/>
      <c r="BW99" s="310"/>
      <c r="BX99" s="294"/>
      <c r="BY99" s="294"/>
      <c r="BZ99" s="294"/>
      <c r="CA99" s="294"/>
      <c r="CB99" s="294"/>
      <c r="CC99" s="294"/>
      <c r="CD99" s="294"/>
      <c r="CE99" s="294"/>
      <c r="CF99" s="294"/>
      <c r="CG99" s="294"/>
      <c r="CH99" s="294"/>
      <c r="CI99" s="294"/>
      <c r="CJ99" s="294"/>
    </row>
    <row r="100" spans="1:88">
      <c r="C100" s="7"/>
      <c r="D100" s="293"/>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293"/>
      <c r="BW100" s="310"/>
      <c r="BX100" s="294"/>
      <c r="BY100" s="294"/>
      <c r="BZ100" s="294"/>
      <c r="CA100" s="294"/>
      <c r="CB100" s="294"/>
      <c r="CC100" s="294"/>
      <c r="CD100" s="294"/>
      <c r="CE100" s="294"/>
      <c r="CF100" s="294"/>
      <c r="CG100" s="294"/>
      <c r="CH100" s="294"/>
      <c r="CI100" s="294"/>
      <c r="CJ100" s="294"/>
    </row>
    <row r="101" spans="1:88">
      <c r="A101" s="4" t="s">
        <v>98</v>
      </c>
      <c r="C101" s="7"/>
      <c r="D101" s="293"/>
      <c r="E101" s="314"/>
      <c r="F101" s="314"/>
      <c r="G101" s="314"/>
      <c r="H101" s="314"/>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c r="AK101" s="301"/>
      <c r="AL101" s="301"/>
      <c r="AM101" s="301"/>
      <c r="AN101" s="301"/>
      <c r="AO101" s="301"/>
      <c r="AP101" s="301"/>
      <c r="AQ101" s="301"/>
      <c r="AR101" s="301"/>
      <c r="AS101" s="301"/>
      <c r="AT101" s="301"/>
      <c r="AU101" s="301"/>
      <c r="AV101" s="301"/>
      <c r="AW101" s="301"/>
      <c r="AX101" s="301"/>
      <c r="AY101" s="301"/>
      <c r="AZ101" s="301"/>
      <c r="BA101" s="301"/>
      <c r="BB101" s="301"/>
      <c r="BC101" s="301"/>
      <c r="BD101" s="301"/>
      <c r="BE101" s="293"/>
      <c r="BW101" s="310"/>
      <c r="BX101" s="334"/>
      <c r="BY101" s="294"/>
      <c r="BZ101" s="294"/>
      <c r="CA101" s="294"/>
      <c r="CB101" s="335"/>
      <c r="CC101" s="294"/>
      <c r="CD101" s="294"/>
      <c r="CE101" s="335"/>
      <c r="CF101" s="335"/>
      <c r="CG101" s="294"/>
      <c r="CH101" s="294"/>
      <c r="CI101" s="294"/>
      <c r="CJ101" s="296"/>
    </row>
    <row r="102" spans="1:88">
      <c r="C102" s="7"/>
      <c r="D102" s="293"/>
      <c r="E102" s="302"/>
      <c r="F102" s="302"/>
      <c r="G102" s="302"/>
      <c r="H102" s="302"/>
      <c r="I102" s="302"/>
      <c r="J102" s="302"/>
      <c r="K102" s="302"/>
      <c r="L102" s="301"/>
      <c r="M102" s="302"/>
      <c r="N102" s="302"/>
      <c r="O102" s="302"/>
      <c r="P102" s="302"/>
      <c r="Q102" s="302"/>
      <c r="R102" s="302"/>
      <c r="S102" s="302"/>
      <c r="T102" s="302"/>
      <c r="U102" s="302"/>
      <c r="V102" s="302"/>
      <c r="W102" s="302"/>
      <c r="X102" s="302"/>
      <c r="Y102" s="302"/>
      <c r="Z102" s="302"/>
      <c r="AA102" s="302"/>
      <c r="AB102" s="302"/>
      <c r="AC102" s="301"/>
      <c r="AD102" s="302"/>
      <c r="AE102" s="302"/>
      <c r="AF102" s="302"/>
      <c r="AG102" s="302"/>
      <c r="AH102" s="302"/>
      <c r="AI102" s="302"/>
      <c r="AJ102" s="302"/>
      <c r="AK102" s="302"/>
      <c r="AL102" s="301"/>
      <c r="AM102" s="302"/>
      <c r="AN102" s="302"/>
      <c r="AO102" s="302"/>
      <c r="AP102" s="302"/>
      <c r="AQ102" s="302"/>
      <c r="AR102" s="302"/>
      <c r="AS102" s="302"/>
      <c r="AT102" s="302"/>
      <c r="AU102" s="302"/>
      <c r="AV102" s="302"/>
      <c r="AW102" s="302"/>
      <c r="AX102" s="302"/>
      <c r="AY102" s="301"/>
      <c r="AZ102" s="302"/>
      <c r="BA102" s="302"/>
      <c r="BB102" s="302"/>
      <c r="BC102" s="302"/>
      <c r="BD102" s="302"/>
      <c r="BE102" s="293"/>
      <c r="BW102" s="310"/>
      <c r="BX102" s="335"/>
      <c r="BY102" s="335"/>
      <c r="BZ102" s="335"/>
      <c r="CA102" s="335"/>
      <c r="CB102" s="335"/>
      <c r="CC102" s="335"/>
      <c r="CD102" s="335"/>
      <c r="CE102" s="335"/>
      <c r="CF102" s="335"/>
      <c r="CG102" s="335"/>
      <c r="CH102" s="335"/>
      <c r="CI102" s="335"/>
      <c r="CJ102" s="335"/>
    </row>
    <row r="103" spans="1:88">
      <c r="A103" s="329" t="s">
        <v>99</v>
      </c>
      <c r="B103" s="304" t="s">
        <v>100</v>
      </c>
      <c r="C103" s="14"/>
      <c r="D103" s="306"/>
      <c r="E103" s="302">
        <v>0</v>
      </c>
      <c r="F103" s="302">
        <v>0</v>
      </c>
      <c r="G103" s="302">
        <v>5</v>
      </c>
      <c r="H103" s="302">
        <v>7</v>
      </c>
      <c r="I103" s="302">
        <v>0</v>
      </c>
      <c r="J103" s="302">
        <v>2.5</v>
      </c>
      <c r="K103" s="302">
        <v>0</v>
      </c>
      <c r="L103" s="302">
        <v>0</v>
      </c>
      <c r="M103" s="302"/>
      <c r="N103" s="302">
        <v>1</v>
      </c>
      <c r="O103" s="302">
        <v>0</v>
      </c>
      <c r="P103" s="302">
        <v>2.5</v>
      </c>
      <c r="Q103" s="302">
        <v>0</v>
      </c>
      <c r="R103" s="302">
        <v>2.5</v>
      </c>
      <c r="S103" s="302">
        <v>2</v>
      </c>
      <c r="T103" s="302">
        <v>0</v>
      </c>
      <c r="U103" s="302">
        <v>12</v>
      </c>
      <c r="V103" s="302">
        <v>5</v>
      </c>
      <c r="W103" s="302">
        <v>42</v>
      </c>
      <c r="X103" s="302">
        <v>5</v>
      </c>
      <c r="Y103" s="302">
        <v>7</v>
      </c>
      <c r="Z103" s="302">
        <v>25</v>
      </c>
      <c r="AA103" s="302">
        <v>5</v>
      </c>
      <c r="AB103" s="302">
        <v>10</v>
      </c>
      <c r="AC103" s="302">
        <v>20</v>
      </c>
      <c r="AD103" s="302">
        <v>0</v>
      </c>
      <c r="AE103" s="302">
        <v>88</v>
      </c>
      <c r="AF103" s="302">
        <v>0</v>
      </c>
      <c r="AG103" s="302">
        <v>250</v>
      </c>
      <c r="AH103" s="302">
        <v>0</v>
      </c>
      <c r="AI103" s="302">
        <v>150</v>
      </c>
      <c r="AJ103" s="338">
        <v>0</v>
      </c>
      <c r="AK103" s="302">
        <v>600</v>
      </c>
      <c r="AL103" s="302">
        <v>0</v>
      </c>
      <c r="AM103" s="302">
        <v>375</v>
      </c>
      <c r="AN103" s="302">
        <v>167</v>
      </c>
      <c r="AO103" s="302">
        <v>0</v>
      </c>
      <c r="AP103" s="302">
        <v>200</v>
      </c>
      <c r="AQ103" s="302">
        <v>100</v>
      </c>
      <c r="AR103" s="302">
        <v>50</v>
      </c>
      <c r="AS103" s="302">
        <v>33</v>
      </c>
      <c r="AT103" s="302">
        <v>75</v>
      </c>
      <c r="AU103" s="302">
        <v>0</v>
      </c>
      <c r="AV103" s="302">
        <v>12.5</v>
      </c>
      <c r="AW103" s="302">
        <v>25</v>
      </c>
      <c r="AX103" s="302">
        <v>0</v>
      </c>
      <c r="AY103" s="302">
        <v>0</v>
      </c>
      <c r="AZ103" s="302">
        <v>12.5</v>
      </c>
      <c r="BA103" s="302">
        <v>5.2</v>
      </c>
      <c r="BB103" s="302">
        <v>1.5</v>
      </c>
      <c r="BC103" s="302">
        <v>20</v>
      </c>
      <c r="BD103" s="302">
        <v>0</v>
      </c>
      <c r="BE103" s="306"/>
      <c r="BW103" s="310"/>
      <c r="BX103" s="296"/>
      <c r="BY103" s="296"/>
      <c r="BZ103" s="296"/>
      <c r="CA103" s="296"/>
      <c r="CB103" s="296"/>
      <c r="CC103" s="296"/>
      <c r="CD103" s="296"/>
      <c r="CE103" s="296"/>
      <c r="CF103" s="296"/>
      <c r="CG103" s="296"/>
      <c r="CH103" s="296"/>
      <c r="CI103" s="296"/>
      <c r="CJ103" s="296"/>
    </row>
    <row r="104" spans="1:88">
      <c r="A104" s="304" t="s">
        <v>101</v>
      </c>
      <c r="B104" s="304" t="s">
        <v>100</v>
      </c>
      <c r="C104" s="14"/>
      <c r="D104" s="306"/>
      <c r="E104" s="302">
        <v>0</v>
      </c>
      <c r="F104" s="302">
        <v>0</v>
      </c>
      <c r="G104" s="302">
        <v>0</v>
      </c>
      <c r="H104" s="302">
        <v>0</v>
      </c>
      <c r="I104" s="302">
        <v>0</v>
      </c>
      <c r="J104" s="302">
        <v>0</v>
      </c>
      <c r="K104" s="302">
        <v>0</v>
      </c>
      <c r="L104" s="302">
        <v>0</v>
      </c>
      <c r="M104" s="302"/>
      <c r="N104" s="302">
        <v>0</v>
      </c>
      <c r="O104" s="302">
        <v>0</v>
      </c>
      <c r="P104" s="302">
        <v>0</v>
      </c>
      <c r="Q104" s="302">
        <v>0</v>
      </c>
      <c r="R104" s="302">
        <v>1.25</v>
      </c>
      <c r="S104" s="302">
        <v>0</v>
      </c>
      <c r="T104" s="302">
        <v>0</v>
      </c>
      <c r="U104" s="302">
        <v>0</v>
      </c>
      <c r="V104" s="302">
        <v>0.5</v>
      </c>
      <c r="W104" s="302">
        <v>2</v>
      </c>
      <c r="X104" s="302">
        <v>4</v>
      </c>
      <c r="Y104" s="302">
        <v>0</v>
      </c>
      <c r="Z104" s="302">
        <v>0.5</v>
      </c>
      <c r="AA104" s="302">
        <v>3.8</v>
      </c>
      <c r="AB104" s="302">
        <v>1</v>
      </c>
      <c r="AC104" s="302">
        <v>1</v>
      </c>
      <c r="AD104" s="302">
        <v>0.75</v>
      </c>
      <c r="AE104" s="302">
        <v>1.8</v>
      </c>
      <c r="AF104" s="302">
        <v>4.8</v>
      </c>
      <c r="AG104" s="302">
        <v>2</v>
      </c>
      <c r="AH104" s="302">
        <v>6</v>
      </c>
      <c r="AI104" s="302">
        <v>10.8</v>
      </c>
      <c r="AJ104" s="338">
        <v>1.3</v>
      </c>
      <c r="AK104" s="302">
        <v>3</v>
      </c>
      <c r="AL104" s="302">
        <v>16</v>
      </c>
      <c r="AM104" s="302">
        <v>13.2</v>
      </c>
      <c r="AN104" s="302">
        <v>4.7</v>
      </c>
      <c r="AO104" s="302">
        <v>8.8000000000000007</v>
      </c>
      <c r="AP104" s="302">
        <v>14.5</v>
      </c>
      <c r="AQ104" s="302">
        <v>5.5</v>
      </c>
      <c r="AR104" s="302">
        <v>25.2</v>
      </c>
      <c r="AS104" s="302">
        <v>15</v>
      </c>
      <c r="AT104" s="302">
        <v>10</v>
      </c>
      <c r="AU104" s="302">
        <v>2.5</v>
      </c>
      <c r="AV104" s="302">
        <v>2</v>
      </c>
      <c r="AW104" s="302">
        <v>0.8</v>
      </c>
      <c r="AX104" s="302">
        <v>0.25</v>
      </c>
      <c r="AY104" s="302">
        <v>0</v>
      </c>
      <c r="AZ104" s="302">
        <v>0</v>
      </c>
      <c r="BA104" s="302">
        <v>0.2</v>
      </c>
      <c r="BB104" s="302">
        <v>0</v>
      </c>
      <c r="BC104" s="302">
        <v>0</v>
      </c>
      <c r="BD104" s="302">
        <v>1</v>
      </c>
      <c r="BE104" s="306"/>
      <c r="BW104" s="310"/>
      <c r="BX104" s="296"/>
      <c r="BY104" s="296"/>
      <c r="BZ104" s="296"/>
      <c r="CA104" s="296"/>
      <c r="CB104" s="296"/>
      <c r="CC104" s="296"/>
      <c r="CD104" s="296"/>
      <c r="CE104" s="296"/>
      <c r="CF104" s="296"/>
      <c r="CG104" s="296"/>
      <c r="CH104" s="296"/>
      <c r="CI104" s="296"/>
      <c r="CJ104" s="296"/>
    </row>
    <row r="105" spans="1:88">
      <c r="A105" s="329" t="s">
        <v>102</v>
      </c>
      <c r="B105" s="304" t="s">
        <v>100</v>
      </c>
      <c r="C105" s="14"/>
      <c r="D105" s="306"/>
      <c r="E105" s="302"/>
      <c r="F105" s="302"/>
      <c r="G105" s="302"/>
      <c r="H105" s="302"/>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38"/>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6"/>
      <c r="BW105" s="310"/>
      <c r="BX105" s="296"/>
      <c r="BY105" s="296"/>
      <c r="BZ105" s="296"/>
      <c r="CA105" s="296"/>
      <c r="CB105" s="296"/>
      <c r="CC105" s="296"/>
      <c r="CD105" s="296"/>
      <c r="CE105" s="296"/>
      <c r="CF105" s="296"/>
      <c r="CG105" s="296"/>
      <c r="CH105" s="296"/>
      <c r="CI105" s="296"/>
      <c r="CJ105" s="296"/>
    </row>
    <row r="106" spans="1:88">
      <c r="A106" s="304" t="s">
        <v>103</v>
      </c>
      <c r="B106" s="304" t="s">
        <v>100</v>
      </c>
      <c r="C106" s="14"/>
      <c r="D106" s="306"/>
      <c r="E106" s="302">
        <v>0</v>
      </c>
      <c r="F106" s="302">
        <v>0</v>
      </c>
      <c r="G106" s="302">
        <v>0</v>
      </c>
      <c r="H106" s="302">
        <v>1</v>
      </c>
      <c r="I106" s="302">
        <v>0</v>
      </c>
      <c r="J106" s="302">
        <v>0</v>
      </c>
      <c r="K106" s="302">
        <v>0</v>
      </c>
      <c r="L106" s="302">
        <v>0</v>
      </c>
      <c r="M106" s="302"/>
      <c r="N106" s="302">
        <v>0</v>
      </c>
      <c r="O106" s="302">
        <v>0</v>
      </c>
      <c r="P106" s="302">
        <v>0</v>
      </c>
      <c r="Q106" s="302">
        <v>0</v>
      </c>
      <c r="R106" s="302">
        <v>472</v>
      </c>
      <c r="S106" s="302">
        <v>9</v>
      </c>
      <c r="T106" s="302">
        <v>0</v>
      </c>
      <c r="U106" s="302">
        <v>0</v>
      </c>
      <c r="V106" s="302">
        <v>0</v>
      </c>
      <c r="W106" s="302">
        <v>11</v>
      </c>
      <c r="X106" s="302">
        <v>0</v>
      </c>
      <c r="Y106" s="302">
        <v>6</v>
      </c>
      <c r="Z106" s="302">
        <v>7</v>
      </c>
      <c r="AA106" s="302">
        <v>2</v>
      </c>
      <c r="AB106" s="302">
        <v>6</v>
      </c>
      <c r="AC106" s="302">
        <v>4</v>
      </c>
      <c r="AD106" s="302">
        <v>2</v>
      </c>
      <c r="AE106" s="302">
        <v>9</v>
      </c>
      <c r="AF106" s="302">
        <v>30</v>
      </c>
      <c r="AG106" s="302">
        <v>17</v>
      </c>
      <c r="AH106" s="302">
        <v>11</v>
      </c>
      <c r="AI106" s="302">
        <v>51</v>
      </c>
      <c r="AJ106" s="338">
        <v>5</v>
      </c>
      <c r="AK106" s="302">
        <v>8</v>
      </c>
      <c r="AL106" s="302">
        <v>26</v>
      </c>
      <c r="AM106" s="302">
        <v>76</v>
      </c>
      <c r="AN106" s="302">
        <v>34</v>
      </c>
      <c r="AO106" s="302">
        <v>29</v>
      </c>
      <c r="AP106" s="302">
        <v>69</v>
      </c>
      <c r="AQ106" s="302">
        <v>141</v>
      </c>
      <c r="AR106" s="302">
        <v>89</v>
      </c>
      <c r="AS106" s="302">
        <v>47</v>
      </c>
      <c r="AT106" s="302">
        <v>118</v>
      </c>
      <c r="AU106" s="302">
        <v>83</v>
      </c>
      <c r="AV106" s="302">
        <v>57</v>
      </c>
      <c r="AW106" s="302">
        <v>25</v>
      </c>
      <c r="AX106" s="302">
        <v>10</v>
      </c>
      <c r="AY106" s="302">
        <v>15</v>
      </c>
      <c r="AZ106" s="302">
        <v>5</v>
      </c>
      <c r="BA106" s="302">
        <v>6</v>
      </c>
      <c r="BB106" s="302">
        <v>7</v>
      </c>
      <c r="BC106" s="302">
        <v>2</v>
      </c>
      <c r="BD106" s="302"/>
      <c r="BE106" s="306"/>
      <c r="BW106" s="310"/>
      <c r="BX106" s="296"/>
      <c r="BY106" s="296"/>
      <c r="BZ106" s="296"/>
      <c r="CA106" s="296"/>
      <c r="CB106" s="296"/>
      <c r="CC106" s="296"/>
      <c r="CD106" s="296"/>
      <c r="CE106" s="296"/>
      <c r="CF106" s="296"/>
      <c r="CG106" s="296"/>
      <c r="CH106" s="296"/>
      <c r="CI106" s="296"/>
      <c r="CJ106" s="296"/>
    </row>
    <row r="107" spans="1:88">
      <c r="A107" s="310" t="s">
        <v>104</v>
      </c>
      <c r="B107" s="310" t="s">
        <v>105</v>
      </c>
      <c r="C107" s="12"/>
      <c r="D107" s="293"/>
      <c r="E107" s="305">
        <v>25.8</v>
      </c>
      <c r="F107" s="305">
        <v>23.6</v>
      </c>
      <c r="G107" s="305">
        <v>25.7</v>
      </c>
      <c r="H107" s="305">
        <v>21</v>
      </c>
      <c r="I107" s="305">
        <v>89.9</v>
      </c>
      <c r="J107" s="305">
        <v>25.9</v>
      </c>
      <c r="K107" s="305">
        <v>24</v>
      </c>
      <c r="L107" s="305">
        <v>26.2</v>
      </c>
      <c r="M107" s="305"/>
      <c r="N107" s="305">
        <v>11.6</v>
      </c>
      <c r="O107" s="305">
        <v>11.8</v>
      </c>
      <c r="P107" s="305">
        <v>19.3</v>
      </c>
      <c r="Q107" s="305">
        <v>16.8</v>
      </c>
      <c r="R107" s="305">
        <v>1610</v>
      </c>
      <c r="S107" s="305">
        <v>80.2</v>
      </c>
      <c r="T107" s="305">
        <v>27</v>
      </c>
      <c r="U107" s="305">
        <v>12</v>
      </c>
      <c r="V107" s="305">
        <v>38</v>
      </c>
      <c r="W107" s="305">
        <v>65.2</v>
      </c>
      <c r="X107" s="305">
        <v>49</v>
      </c>
      <c r="Y107" s="305">
        <v>55</v>
      </c>
      <c r="Z107" s="305">
        <v>36</v>
      </c>
      <c r="AA107" s="305">
        <v>44</v>
      </c>
      <c r="AB107" s="305">
        <v>96</v>
      </c>
      <c r="AC107" s="305">
        <v>100</v>
      </c>
      <c r="AD107" s="305">
        <v>3426</v>
      </c>
      <c r="AE107" s="305">
        <v>435</v>
      </c>
      <c r="AF107" s="305">
        <v>394</v>
      </c>
      <c r="AG107" s="305">
        <v>405</v>
      </c>
      <c r="AH107" s="305">
        <v>405</v>
      </c>
      <c r="AI107" s="305">
        <v>471</v>
      </c>
      <c r="AJ107" s="339">
        <v>449</v>
      </c>
      <c r="AK107" s="305">
        <v>350</v>
      </c>
      <c r="AL107" s="305">
        <v>730</v>
      </c>
      <c r="AM107" s="305">
        <v>534</v>
      </c>
      <c r="AN107" s="305">
        <v>838</v>
      </c>
      <c r="AO107" s="305">
        <v>742</v>
      </c>
      <c r="AP107" s="305">
        <v>375</v>
      </c>
      <c r="AQ107" s="305">
        <v>333</v>
      </c>
      <c r="AR107" s="305">
        <v>156.4</v>
      </c>
      <c r="AS107" s="305">
        <v>440</v>
      </c>
      <c r="AT107" s="305">
        <v>340</v>
      </c>
      <c r="AU107" s="305">
        <v>233</v>
      </c>
      <c r="AV107" s="305">
        <v>258</v>
      </c>
      <c r="AW107" s="305">
        <v>457</v>
      </c>
      <c r="AX107" s="305">
        <v>216</v>
      </c>
      <c r="AY107" s="305">
        <v>244</v>
      </c>
      <c r="AZ107" s="305"/>
      <c r="BA107" s="305">
        <v>221</v>
      </c>
      <c r="BB107" s="305">
        <v>178</v>
      </c>
      <c r="BC107" s="305">
        <v>128</v>
      </c>
      <c r="BD107" s="305">
        <v>139</v>
      </c>
      <c r="BE107" s="306"/>
      <c r="BW107" s="310"/>
      <c r="BX107" s="296"/>
      <c r="BY107" s="296"/>
      <c r="BZ107" s="296"/>
      <c r="CA107" s="296"/>
      <c r="CB107" s="296"/>
      <c r="CC107" s="296"/>
      <c r="CD107" s="296"/>
      <c r="CE107" s="296"/>
      <c r="CF107" s="296"/>
      <c r="CG107" s="296"/>
      <c r="CH107" s="296"/>
      <c r="CI107" s="296"/>
      <c r="CJ107" s="296"/>
    </row>
    <row r="108" spans="1:88">
      <c r="C108" s="7"/>
      <c r="D108" s="293"/>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c r="AK108" s="301"/>
      <c r="AL108" s="301"/>
      <c r="AM108" s="301"/>
      <c r="AN108" s="301"/>
      <c r="AO108" s="301"/>
      <c r="AP108" s="301"/>
      <c r="AQ108" s="301"/>
      <c r="AR108" s="301"/>
      <c r="AS108" s="301"/>
      <c r="AT108" s="301"/>
      <c r="AU108" s="301"/>
      <c r="AV108" s="301"/>
      <c r="AW108" s="301"/>
      <c r="AX108" s="301"/>
      <c r="AY108" s="301"/>
      <c r="AZ108" s="301"/>
      <c r="BA108" s="301"/>
      <c r="BB108" s="301"/>
      <c r="BC108" s="301"/>
      <c r="BD108" s="301"/>
      <c r="BE108" s="293"/>
      <c r="BW108" s="310"/>
      <c r="BX108" s="294"/>
      <c r="BY108" s="294"/>
      <c r="BZ108" s="294"/>
      <c r="CA108" s="294"/>
      <c r="CB108" s="335"/>
      <c r="CC108" s="294"/>
      <c r="CD108" s="294"/>
      <c r="CE108" s="294"/>
      <c r="CF108" s="335"/>
      <c r="CG108" s="294"/>
      <c r="CH108" s="294"/>
      <c r="CI108" s="294"/>
      <c r="CJ108" s="296"/>
    </row>
    <row r="109" spans="1:88">
      <c r="A109" s="4" t="s">
        <v>106</v>
      </c>
      <c r="C109" s="7"/>
      <c r="D109" s="293"/>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1"/>
      <c r="AU109" s="301"/>
      <c r="AV109" s="301"/>
      <c r="AW109" s="301"/>
      <c r="AX109" s="301"/>
      <c r="AY109" s="301"/>
      <c r="AZ109" s="301"/>
      <c r="BA109" s="301"/>
      <c r="BB109" s="301"/>
      <c r="BC109" s="301"/>
      <c r="BD109" s="301"/>
      <c r="BE109" s="293"/>
      <c r="BW109" s="310"/>
      <c r="BX109" s="294"/>
      <c r="BY109" s="294"/>
      <c r="BZ109" s="294"/>
      <c r="CA109" s="294"/>
      <c r="CB109" s="335"/>
      <c r="CC109" s="294"/>
      <c r="CD109" s="294"/>
      <c r="CE109" s="294"/>
      <c r="CF109" s="335"/>
      <c r="CG109" s="294"/>
      <c r="CH109" s="294"/>
      <c r="CI109" s="294"/>
      <c r="CJ109" s="296"/>
    </row>
    <row r="110" spans="1:88">
      <c r="C110" s="7"/>
      <c r="D110" s="293"/>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c r="AK110" s="301"/>
      <c r="AL110" s="301"/>
      <c r="AM110" s="301"/>
      <c r="AN110" s="301"/>
      <c r="AO110" s="301"/>
      <c r="AP110" s="301"/>
      <c r="AQ110" s="301"/>
      <c r="AR110" s="301"/>
      <c r="AS110" s="301"/>
      <c r="AT110" s="301"/>
      <c r="AU110" s="301"/>
      <c r="AV110" s="301"/>
      <c r="AW110" s="301"/>
      <c r="AX110" s="301"/>
      <c r="AY110" s="301"/>
      <c r="AZ110" s="301"/>
      <c r="BA110" s="301"/>
      <c r="BB110" s="301"/>
      <c r="BC110" s="301"/>
      <c r="BD110" s="301"/>
      <c r="BE110" s="293"/>
      <c r="BW110" s="310"/>
      <c r="BX110" s="294"/>
      <c r="BY110" s="294"/>
      <c r="BZ110" s="294"/>
      <c r="CA110" s="294"/>
      <c r="CB110" s="335"/>
      <c r="CC110" s="294"/>
      <c r="CD110" s="294"/>
      <c r="CE110" s="294"/>
      <c r="CF110" s="335"/>
      <c r="CG110" s="294"/>
      <c r="CH110" s="294"/>
      <c r="CI110" s="294"/>
      <c r="CJ110" s="296"/>
    </row>
    <row r="111" spans="1:88">
      <c r="A111" s="1" t="s">
        <v>107</v>
      </c>
      <c r="B111" s="1" t="s">
        <v>14</v>
      </c>
      <c r="C111" s="7"/>
      <c r="D111" s="293"/>
      <c r="E111" s="302">
        <v>60</v>
      </c>
      <c r="F111" s="302">
        <v>60</v>
      </c>
      <c r="G111" s="302">
        <v>60</v>
      </c>
      <c r="H111" s="302">
        <v>60</v>
      </c>
      <c r="I111" s="302">
        <v>60</v>
      </c>
      <c r="J111" s="302">
        <v>60</v>
      </c>
      <c r="K111" s="302">
        <v>60</v>
      </c>
      <c r="L111" s="302">
        <v>60</v>
      </c>
      <c r="M111" s="302"/>
      <c r="N111" s="302">
        <v>65</v>
      </c>
      <c r="O111" s="302">
        <v>65</v>
      </c>
      <c r="P111" s="302">
        <v>65</v>
      </c>
      <c r="Q111" s="302">
        <v>65</v>
      </c>
      <c r="R111" s="302">
        <v>70</v>
      </c>
      <c r="S111" s="302">
        <v>72.5</v>
      </c>
      <c r="T111" s="302">
        <v>73</v>
      </c>
      <c r="U111" s="302">
        <v>72.5</v>
      </c>
      <c r="V111" s="302">
        <v>72.5</v>
      </c>
      <c r="W111" s="302">
        <v>70</v>
      </c>
      <c r="X111" s="302">
        <v>70</v>
      </c>
      <c r="Y111" s="302">
        <v>65</v>
      </c>
      <c r="Z111" s="302">
        <v>65</v>
      </c>
      <c r="AA111" s="302">
        <v>65</v>
      </c>
      <c r="AB111" s="302">
        <v>65</v>
      </c>
      <c r="AC111" s="302">
        <v>70</v>
      </c>
      <c r="AD111" s="302">
        <v>70</v>
      </c>
      <c r="AE111" s="302">
        <v>70</v>
      </c>
      <c r="AF111" s="302">
        <v>70</v>
      </c>
      <c r="AG111" s="302">
        <v>70</v>
      </c>
      <c r="AH111" s="302">
        <v>70</v>
      </c>
      <c r="AI111" s="302">
        <v>70</v>
      </c>
      <c r="AJ111" s="302">
        <v>70</v>
      </c>
      <c r="AK111" s="302">
        <v>80</v>
      </c>
      <c r="AL111" s="301">
        <v>80</v>
      </c>
      <c r="AM111" s="302">
        <v>90</v>
      </c>
      <c r="AN111" s="302">
        <v>90</v>
      </c>
      <c r="AO111" s="302">
        <v>90</v>
      </c>
      <c r="AP111" s="302">
        <v>80</v>
      </c>
      <c r="AQ111" s="302">
        <v>80</v>
      </c>
      <c r="AR111" s="302">
        <v>82</v>
      </c>
      <c r="AS111" s="302">
        <v>82</v>
      </c>
      <c r="AT111" s="302">
        <v>100</v>
      </c>
      <c r="AU111" s="302">
        <v>85</v>
      </c>
      <c r="AV111" s="302">
        <v>85</v>
      </c>
      <c r="AW111" s="302">
        <v>75</v>
      </c>
      <c r="AX111" s="302">
        <v>80</v>
      </c>
      <c r="AY111" s="301">
        <v>60</v>
      </c>
      <c r="AZ111" s="302">
        <v>55</v>
      </c>
      <c r="BA111" s="302">
        <v>60</v>
      </c>
      <c r="BB111" s="302">
        <v>55</v>
      </c>
      <c r="BC111" s="302">
        <v>55</v>
      </c>
      <c r="BD111" s="302">
        <v>65</v>
      </c>
      <c r="BE111" s="303"/>
      <c r="BW111" s="310"/>
      <c r="BX111" s="335"/>
      <c r="BY111" s="335"/>
      <c r="BZ111" s="335"/>
      <c r="CA111" s="335"/>
      <c r="CB111" s="335"/>
      <c r="CC111" s="335"/>
      <c r="CD111" s="335"/>
      <c r="CE111" s="335"/>
      <c r="CF111" s="335"/>
      <c r="CG111" s="335"/>
      <c r="CH111" s="335"/>
      <c r="CI111" s="335"/>
      <c r="CJ111" s="335"/>
    </row>
    <row r="112" spans="1:88">
      <c r="A112" s="317" t="s">
        <v>108</v>
      </c>
      <c r="B112" s="317" t="s">
        <v>74</v>
      </c>
      <c r="C112" s="10" t="s">
        <v>16</v>
      </c>
      <c r="D112" s="308"/>
      <c r="E112" s="340">
        <f t="shared" ref="E112:AJ112" si="19">IF(OR(E111=0,E61=0),"uncalcuable",E111/E61)</f>
        <v>7.3170731707317076</v>
      </c>
      <c r="F112" s="340">
        <f t="shared" si="19"/>
        <v>6.7415730337078648</v>
      </c>
      <c r="G112" s="340">
        <f t="shared" si="19"/>
        <v>7.3170731707317076</v>
      </c>
      <c r="H112" s="340">
        <f t="shared" si="19"/>
        <v>7.2289156626506017</v>
      </c>
      <c r="I112" s="340">
        <f t="shared" si="19"/>
        <v>7.5949367088607591</v>
      </c>
      <c r="J112" s="340">
        <f t="shared" si="19"/>
        <v>7.3170731707317076</v>
      </c>
      <c r="K112" s="340">
        <f t="shared" si="19"/>
        <v>7.6923076923076925</v>
      </c>
      <c r="L112" s="340">
        <f t="shared" si="19"/>
        <v>7.5</v>
      </c>
      <c r="M112" s="340" t="str">
        <f t="shared" si="19"/>
        <v>uncalcuable</v>
      </c>
      <c r="N112" s="340">
        <f t="shared" si="19"/>
        <v>8.0246913580246915</v>
      </c>
      <c r="O112" s="340">
        <f t="shared" si="19"/>
        <v>7.9268292682926838</v>
      </c>
      <c r="P112" s="340">
        <f t="shared" si="19"/>
        <v>8.6666666666666661</v>
      </c>
      <c r="Q112" s="340">
        <f t="shared" si="19"/>
        <v>9.1549295774647899</v>
      </c>
      <c r="R112" s="340">
        <f t="shared" si="19"/>
        <v>9.0909090909090899</v>
      </c>
      <c r="S112" s="340">
        <f t="shared" si="19"/>
        <v>9.5394736842105274</v>
      </c>
      <c r="T112" s="340">
        <f t="shared" si="19"/>
        <v>9.6052631578947381</v>
      </c>
      <c r="U112" s="340">
        <f t="shared" si="19"/>
        <v>9.0625</v>
      </c>
      <c r="V112" s="340">
        <f t="shared" si="19"/>
        <v>10.984848484848486</v>
      </c>
      <c r="W112" s="340">
        <f t="shared" si="19"/>
        <v>10</v>
      </c>
      <c r="X112" s="340">
        <f t="shared" si="19"/>
        <v>10.294117647058824</v>
      </c>
      <c r="Y112" s="340">
        <f t="shared" si="19"/>
        <v>10</v>
      </c>
      <c r="Z112" s="340">
        <f t="shared" si="19"/>
        <v>9.5588235294117645</v>
      </c>
      <c r="AA112" s="340">
        <f t="shared" si="19"/>
        <v>9.7014925373134329</v>
      </c>
      <c r="AB112" s="340">
        <f t="shared" si="19"/>
        <v>8.5526315789473681</v>
      </c>
      <c r="AC112" s="340">
        <f t="shared" si="19"/>
        <v>9.8591549295774659</v>
      </c>
      <c r="AD112" s="340">
        <f t="shared" si="19"/>
        <v>8.536585365853659</v>
      </c>
      <c r="AE112" s="340">
        <f t="shared" si="19"/>
        <v>9.0909090909090899</v>
      </c>
      <c r="AF112" s="340">
        <f t="shared" si="19"/>
        <v>9.2105263157894743</v>
      </c>
      <c r="AG112" s="340">
        <f t="shared" si="19"/>
        <v>9.4594594594594597</v>
      </c>
      <c r="AH112" s="340">
        <f t="shared" si="19"/>
        <v>9.3333333333333339</v>
      </c>
      <c r="AI112" s="340">
        <f t="shared" si="19"/>
        <v>9.2105263157894743</v>
      </c>
      <c r="AJ112" s="340">
        <f t="shared" si="19"/>
        <v>9.4594594594594597</v>
      </c>
      <c r="AK112" s="340">
        <f t="shared" ref="AK112:BD112" si="20">IF(OR(AK111=0,AK61=0),"uncalcuable",AK111/AK61)</f>
        <v>11.428571428571429</v>
      </c>
      <c r="AL112" s="340">
        <f t="shared" si="20"/>
        <v>10.526315789473685</v>
      </c>
      <c r="AM112" s="340">
        <f t="shared" si="20"/>
        <v>12.162162162162161</v>
      </c>
      <c r="AN112" s="340">
        <f t="shared" si="20"/>
        <v>12.5</v>
      </c>
      <c r="AO112" s="340">
        <f t="shared" si="20"/>
        <v>11.538461538461538</v>
      </c>
      <c r="AP112" s="340">
        <f t="shared" si="20"/>
        <v>9.5238095238095237</v>
      </c>
      <c r="AQ112" s="340">
        <f t="shared" si="20"/>
        <v>10</v>
      </c>
      <c r="AR112" s="340">
        <f t="shared" si="20"/>
        <v>10.789473684210527</v>
      </c>
      <c r="AS112" s="340">
        <f t="shared" si="20"/>
        <v>10.789473684210527</v>
      </c>
      <c r="AT112" s="340">
        <f t="shared" si="20"/>
        <v>13.157894736842106</v>
      </c>
      <c r="AU112" s="340">
        <f t="shared" si="20"/>
        <v>12.142857142857142</v>
      </c>
      <c r="AV112" s="340">
        <f t="shared" si="20"/>
        <v>12.5</v>
      </c>
      <c r="AW112" s="340">
        <f t="shared" si="20"/>
        <v>11.029411764705882</v>
      </c>
      <c r="AX112" s="340">
        <f t="shared" si="20"/>
        <v>13.333333333333334</v>
      </c>
      <c r="AY112" s="340">
        <f t="shared" si="20"/>
        <v>8.9552238805970141</v>
      </c>
      <c r="AZ112" s="340">
        <f t="shared" si="20"/>
        <v>8.3333333333333339</v>
      </c>
      <c r="BA112" s="340">
        <f t="shared" si="20"/>
        <v>9.5238095238095237</v>
      </c>
      <c r="BB112" s="340">
        <f t="shared" si="20"/>
        <v>8.3333333333333339</v>
      </c>
      <c r="BC112" s="340">
        <f t="shared" si="20"/>
        <v>8.59375</v>
      </c>
      <c r="BD112" s="340" t="str">
        <f t="shared" si="20"/>
        <v>uncalcuable</v>
      </c>
      <c r="BE112" s="303"/>
      <c r="BW112" s="310"/>
      <c r="BX112" s="335"/>
      <c r="BY112" s="335"/>
      <c r="BZ112" s="335"/>
      <c r="CA112" s="335"/>
      <c r="CB112" s="335"/>
      <c r="CC112" s="335"/>
      <c r="CD112" s="335"/>
      <c r="CE112" s="335"/>
      <c r="CF112" s="335"/>
      <c r="CG112" s="335"/>
      <c r="CH112" s="335"/>
      <c r="CI112" s="335"/>
      <c r="CJ112" s="335"/>
    </row>
    <row r="113" spans="1:88">
      <c r="A113" s="1" t="s">
        <v>109</v>
      </c>
      <c r="B113" s="1" t="s">
        <v>14</v>
      </c>
      <c r="C113" s="7"/>
      <c r="D113" s="293"/>
      <c r="E113" s="305">
        <v>3.5</v>
      </c>
      <c r="F113" s="305">
        <v>3.8</v>
      </c>
      <c r="G113" s="305">
        <v>3.8</v>
      </c>
      <c r="H113" s="305">
        <v>4.5</v>
      </c>
      <c r="I113" s="305">
        <v>4.2</v>
      </c>
      <c r="J113" s="305">
        <v>4</v>
      </c>
      <c r="K113" s="305">
        <v>4.5999999999999996</v>
      </c>
      <c r="L113" s="305">
        <v>5</v>
      </c>
      <c r="M113" s="305"/>
      <c r="N113" s="305">
        <v>5</v>
      </c>
      <c r="O113" s="305">
        <v>3.7</v>
      </c>
      <c r="P113" s="305">
        <v>3.6</v>
      </c>
      <c r="Q113" s="305">
        <v>4.33</v>
      </c>
      <c r="R113" s="305">
        <v>5.5</v>
      </c>
      <c r="S113" s="305">
        <v>5.5</v>
      </c>
      <c r="T113" s="305">
        <v>5.5</v>
      </c>
      <c r="U113" s="305">
        <v>5</v>
      </c>
      <c r="V113" s="305">
        <v>4.9000000000000004</v>
      </c>
      <c r="W113" s="305">
        <v>4.0999999999999996</v>
      </c>
      <c r="X113" s="305">
        <v>3.8</v>
      </c>
      <c r="Y113" s="305">
        <v>3.7</v>
      </c>
      <c r="Z113" s="305">
        <v>3.4</v>
      </c>
      <c r="AA113" s="305">
        <v>2.9</v>
      </c>
      <c r="AB113" s="305">
        <v>2.4</v>
      </c>
      <c r="AC113" s="305">
        <v>3.7</v>
      </c>
      <c r="AD113" s="305">
        <v>3.6</v>
      </c>
      <c r="AE113" s="305">
        <v>4.2</v>
      </c>
      <c r="AF113" s="305">
        <v>3.7</v>
      </c>
      <c r="AG113" s="305">
        <v>4.0999999999999996</v>
      </c>
      <c r="AH113" s="305">
        <v>5.2</v>
      </c>
      <c r="AI113" s="305">
        <v>5.4</v>
      </c>
      <c r="AJ113" s="305">
        <v>4.5999999999999996</v>
      </c>
      <c r="AK113" s="305">
        <v>4.4000000000000004</v>
      </c>
      <c r="AL113" s="301">
        <v>4.7</v>
      </c>
      <c r="AM113" s="305">
        <v>5</v>
      </c>
      <c r="AN113" s="305">
        <v>5.5</v>
      </c>
      <c r="AO113" s="305">
        <v>5.0999999999999996</v>
      </c>
      <c r="AP113" s="305">
        <v>4.7</v>
      </c>
      <c r="AQ113" s="305">
        <v>4.8</v>
      </c>
      <c r="AR113" s="305">
        <v>4.5</v>
      </c>
      <c r="AS113" s="305">
        <v>3.9</v>
      </c>
      <c r="AT113" s="305">
        <v>3.7</v>
      </c>
      <c r="AU113" s="305">
        <v>2.8</v>
      </c>
      <c r="AV113" s="305">
        <v>1.6</v>
      </c>
      <c r="AW113" s="305">
        <v>1.9</v>
      </c>
      <c r="AX113" s="305">
        <v>2.5</v>
      </c>
      <c r="AY113" s="301">
        <v>2.2999999999999998</v>
      </c>
      <c r="AZ113" s="305">
        <v>3.4</v>
      </c>
      <c r="BA113" s="305">
        <v>3.2</v>
      </c>
      <c r="BB113" s="305">
        <v>3.3</v>
      </c>
      <c r="BC113" s="305">
        <v>3.4</v>
      </c>
      <c r="BD113" s="305">
        <v>3.3</v>
      </c>
      <c r="BE113" s="306"/>
      <c r="BF113" s="1">
        <f>CORREL(E113:BD113,E163:BD163)</f>
        <v>0.24281327319668719</v>
      </c>
      <c r="BW113" s="310"/>
      <c r="BX113" s="296"/>
      <c r="BY113" s="296"/>
      <c r="BZ113" s="296"/>
      <c r="CA113" s="296"/>
      <c r="CB113" s="296"/>
      <c r="CC113" s="296"/>
      <c r="CD113" s="296"/>
      <c r="CE113" s="296"/>
      <c r="CF113" s="296"/>
      <c r="CG113" s="296"/>
      <c r="CH113" s="296"/>
      <c r="CI113" s="296"/>
      <c r="CJ113" s="296"/>
    </row>
    <row r="114" spans="1:88">
      <c r="A114" s="1" t="s">
        <v>110</v>
      </c>
      <c r="B114" s="1" t="s">
        <v>14</v>
      </c>
      <c r="C114" s="7"/>
      <c r="D114" s="293"/>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c r="AA114" s="305"/>
      <c r="AB114" s="305"/>
      <c r="AC114" s="305"/>
      <c r="AD114" s="305"/>
      <c r="AE114" s="305"/>
      <c r="AF114" s="305"/>
      <c r="AG114" s="305"/>
      <c r="AH114" s="305"/>
      <c r="AI114" s="305"/>
      <c r="AJ114" s="305"/>
      <c r="AK114" s="305"/>
      <c r="AL114" s="301"/>
      <c r="AM114" s="305"/>
      <c r="AN114" s="305"/>
      <c r="AO114" s="305"/>
      <c r="AP114" s="305"/>
      <c r="AQ114" s="305"/>
      <c r="AR114" s="305"/>
      <c r="AS114" s="305"/>
      <c r="AT114" s="305"/>
      <c r="AU114" s="305"/>
      <c r="AV114" s="305"/>
      <c r="AW114" s="305"/>
      <c r="AX114" s="305"/>
      <c r="AY114" s="301"/>
      <c r="AZ114" s="305"/>
      <c r="BA114" s="305"/>
      <c r="BB114" s="305"/>
      <c r="BC114" s="305"/>
      <c r="BD114" s="305"/>
      <c r="BE114" s="306"/>
      <c r="BW114" s="310"/>
      <c r="BX114" s="296"/>
      <c r="BY114" s="296"/>
      <c r="BZ114" s="296"/>
      <c r="CA114" s="296"/>
      <c r="CB114" s="296"/>
      <c r="CC114" s="296"/>
      <c r="CD114" s="296"/>
      <c r="CE114" s="296"/>
      <c r="CF114" s="296"/>
      <c r="CG114" s="296"/>
      <c r="CH114" s="296"/>
      <c r="CI114" s="296"/>
      <c r="CJ114" s="296"/>
    </row>
    <row r="115" spans="1:88">
      <c r="A115" s="1" t="s">
        <v>111</v>
      </c>
      <c r="B115" s="1" t="s">
        <v>14</v>
      </c>
      <c r="C115" s="7"/>
      <c r="D115" s="293"/>
      <c r="E115" s="305"/>
      <c r="F115" s="305"/>
      <c r="G115" s="305"/>
      <c r="H115" s="305"/>
      <c r="I115" s="305"/>
      <c r="J115" s="305"/>
      <c r="K115" s="305"/>
      <c r="L115" s="305"/>
      <c r="M115" s="305"/>
      <c r="N115" s="305"/>
      <c r="O115" s="305"/>
      <c r="P115" s="305"/>
      <c r="Q115" s="305"/>
      <c r="R115" s="305"/>
      <c r="S115" s="305"/>
      <c r="T115" s="305"/>
      <c r="U115" s="305"/>
      <c r="V115" s="305"/>
      <c r="W115" s="305"/>
      <c r="X115" s="305"/>
      <c r="Y115" s="305"/>
      <c r="Z115" s="305"/>
      <c r="AA115" s="305">
        <v>1.2</v>
      </c>
      <c r="AB115" s="305">
        <v>1.2</v>
      </c>
      <c r="AC115" s="305">
        <v>1.3</v>
      </c>
      <c r="AD115" s="305">
        <v>1.2</v>
      </c>
      <c r="AE115" s="305">
        <v>1.5</v>
      </c>
      <c r="AF115" s="305">
        <v>1.4</v>
      </c>
      <c r="AG115" s="305">
        <v>1.6</v>
      </c>
      <c r="AH115" s="305">
        <v>1.5</v>
      </c>
      <c r="AI115" s="305">
        <v>1.3</v>
      </c>
      <c r="AJ115" s="305">
        <v>1.2</v>
      </c>
      <c r="AK115" s="305">
        <v>1</v>
      </c>
      <c r="AL115" s="301">
        <v>1.3</v>
      </c>
      <c r="AM115" s="305">
        <v>1.2</v>
      </c>
      <c r="AN115" s="305">
        <v>1.1000000000000001</v>
      </c>
      <c r="AO115" s="305">
        <v>1.2</v>
      </c>
      <c r="AP115" s="305">
        <v>1.1000000000000001</v>
      </c>
      <c r="AQ115" s="305">
        <v>1.2</v>
      </c>
      <c r="AR115" s="305">
        <v>1.2</v>
      </c>
      <c r="AS115" s="305">
        <v>1.2</v>
      </c>
      <c r="AT115" s="305">
        <v>1.1000000000000001</v>
      </c>
      <c r="AU115" s="305">
        <v>1.3</v>
      </c>
      <c r="AV115" s="305">
        <v>1.2</v>
      </c>
      <c r="AW115" s="305">
        <v>1.4</v>
      </c>
      <c r="AX115" s="305">
        <v>1.5</v>
      </c>
      <c r="AY115" s="301">
        <v>1.3</v>
      </c>
      <c r="AZ115" s="305"/>
      <c r="BA115" s="305"/>
      <c r="BB115" s="305"/>
      <c r="BC115" s="305"/>
      <c r="BD115" s="305"/>
      <c r="BE115" s="306"/>
      <c r="BW115" s="310"/>
      <c r="BX115" s="296"/>
      <c r="BY115" s="296"/>
      <c r="BZ115" s="296"/>
      <c r="CA115" s="296"/>
      <c r="CB115" s="296"/>
      <c r="CC115" s="296"/>
      <c r="CD115" s="296"/>
      <c r="CE115" s="296"/>
      <c r="CF115" s="296"/>
      <c r="CG115" s="296"/>
      <c r="CH115" s="296"/>
      <c r="CI115" s="296"/>
      <c r="CJ115" s="296"/>
    </row>
    <row r="116" spans="1:88">
      <c r="A116" s="313" t="s">
        <v>112</v>
      </c>
      <c r="B116" s="313" t="s">
        <v>14</v>
      </c>
      <c r="C116" s="13"/>
      <c r="D116" s="315"/>
      <c r="E116" s="314">
        <v>0.95</v>
      </c>
      <c r="F116" s="314">
        <v>0.95</v>
      </c>
      <c r="G116" s="314">
        <v>0.95</v>
      </c>
      <c r="H116" s="314">
        <v>0.95</v>
      </c>
      <c r="I116" s="314">
        <v>0.95</v>
      </c>
      <c r="J116" s="314">
        <v>0.95</v>
      </c>
      <c r="K116" s="314">
        <v>0.95</v>
      </c>
      <c r="L116" s="314">
        <v>0.95</v>
      </c>
      <c r="M116" s="314"/>
      <c r="N116" s="314">
        <v>0.95</v>
      </c>
      <c r="O116" s="314">
        <v>0.95</v>
      </c>
      <c r="P116" s="314">
        <v>0.95</v>
      </c>
      <c r="Q116" s="314">
        <v>0.95</v>
      </c>
      <c r="R116" s="314">
        <v>0.95</v>
      </c>
      <c r="S116" s="314">
        <v>0.95</v>
      </c>
      <c r="T116" s="314">
        <v>0.95</v>
      </c>
      <c r="U116" s="314">
        <v>0.95</v>
      </c>
      <c r="V116" s="314">
        <v>0.95</v>
      </c>
      <c r="W116" s="314">
        <v>0.95</v>
      </c>
      <c r="X116" s="314">
        <v>0.95</v>
      </c>
      <c r="Y116" s="314">
        <v>0.95</v>
      </c>
      <c r="Z116" s="314">
        <v>0.95</v>
      </c>
      <c r="AA116" s="314">
        <v>0.95</v>
      </c>
      <c r="AB116" s="314">
        <v>0.95</v>
      </c>
      <c r="AC116" s="314">
        <v>0.95</v>
      </c>
      <c r="AD116" s="314">
        <v>0.95</v>
      </c>
      <c r="AE116" s="314">
        <v>0.95</v>
      </c>
      <c r="AF116" s="314">
        <v>0.95</v>
      </c>
      <c r="AG116" s="314">
        <v>0.95</v>
      </c>
      <c r="AH116" s="314">
        <v>0.95</v>
      </c>
      <c r="AI116" s="314">
        <v>0.95</v>
      </c>
      <c r="AJ116" s="314">
        <v>0.95</v>
      </c>
      <c r="AK116" s="314">
        <v>0.95</v>
      </c>
      <c r="AL116" s="314">
        <v>0.95</v>
      </c>
      <c r="AM116" s="314">
        <v>0.95</v>
      </c>
      <c r="AN116" s="314">
        <v>0.95</v>
      </c>
      <c r="AO116" s="314">
        <v>0.95</v>
      </c>
      <c r="AP116" s="314">
        <v>0.95</v>
      </c>
      <c r="AQ116" s="314">
        <v>0.95</v>
      </c>
      <c r="AR116" s="314">
        <v>0.95</v>
      </c>
      <c r="AS116" s="314">
        <v>0.95</v>
      </c>
      <c r="AT116" s="314">
        <v>0.95</v>
      </c>
      <c r="AU116" s="314">
        <v>0.95</v>
      </c>
      <c r="AV116" s="314">
        <v>0.95</v>
      </c>
      <c r="AW116" s="314">
        <v>0.95</v>
      </c>
      <c r="AX116" s="314">
        <v>0.95</v>
      </c>
      <c r="AY116" s="314">
        <v>0.95</v>
      </c>
      <c r="AZ116" s="314">
        <v>0.95</v>
      </c>
      <c r="BA116" s="314">
        <v>0.95</v>
      </c>
      <c r="BB116" s="314">
        <v>0.95</v>
      </c>
      <c r="BC116" s="314">
        <v>0.95</v>
      </c>
      <c r="BD116" s="314">
        <v>0.95</v>
      </c>
      <c r="BE116" s="315"/>
      <c r="BW116" s="310"/>
      <c r="BX116" s="334"/>
      <c r="BY116" s="334"/>
      <c r="BZ116" s="334"/>
      <c r="CA116" s="334"/>
      <c r="CB116" s="334"/>
      <c r="CC116" s="334"/>
      <c r="CD116" s="334"/>
      <c r="CE116" s="334"/>
      <c r="CF116" s="334"/>
      <c r="CG116" s="334"/>
      <c r="CH116" s="334"/>
      <c r="CI116" s="334"/>
      <c r="CJ116" s="334"/>
    </row>
    <row r="117" spans="1:88">
      <c r="A117" s="1" t="s">
        <v>113</v>
      </c>
      <c r="B117" s="1" t="s">
        <v>14</v>
      </c>
      <c r="C117" s="7"/>
      <c r="D117" s="293"/>
      <c r="E117" s="302"/>
      <c r="F117" s="302"/>
      <c r="G117" s="302"/>
      <c r="H117" s="302"/>
      <c r="I117" s="302"/>
      <c r="J117" s="302"/>
      <c r="K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1"/>
      <c r="AM117" s="302"/>
      <c r="AN117" s="302"/>
      <c r="AO117" s="302"/>
      <c r="AP117" s="302"/>
      <c r="AQ117" s="302"/>
      <c r="AR117" s="302"/>
      <c r="AS117" s="302"/>
      <c r="AT117" s="302"/>
      <c r="AU117" s="302"/>
      <c r="AV117" s="302"/>
      <c r="AW117" s="302"/>
      <c r="AX117" s="302"/>
      <c r="AY117" s="301"/>
      <c r="AZ117" s="302"/>
      <c r="BA117" s="302"/>
      <c r="BB117" s="302"/>
      <c r="BC117" s="302"/>
      <c r="BD117" s="302"/>
      <c r="BE117" s="303"/>
      <c r="BW117" s="310"/>
      <c r="BX117" s="335"/>
      <c r="BY117" s="335"/>
      <c r="BZ117" s="335"/>
      <c r="CA117" s="335"/>
      <c r="CB117" s="335"/>
      <c r="CC117" s="335"/>
      <c r="CD117" s="335"/>
      <c r="CE117" s="335"/>
      <c r="CF117" s="335"/>
      <c r="CG117" s="335"/>
      <c r="CH117" s="335"/>
      <c r="CI117" s="335"/>
      <c r="CJ117" s="335"/>
    </row>
    <row r="118" spans="1:88">
      <c r="A118" s="318" t="s">
        <v>114</v>
      </c>
      <c r="B118" s="318" t="s">
        <v>115</v>
      </c>
      <c r="C118" s="16"/>
      <c r="D118" s="308"/>
      <c r="E118" s="341">
        <f t="shared" ref="E118:AJ118" si="21">IF(SUM(E113:E115)=0,"--",SUM(E113:E115))</f>
        <v>3.5</v>
      </c>
      <c r="F118" s="341">
        <f t="shared" si="21"/>
        <v>3.8</v>
      </c>
      <c r="G118" s="341">
        <f t="shared" si="21"/>
        <v>3.8</v>
      </c>
      <c r="H118" s="341">
        <f t="shared" si="21"/>
        <v>4.5</v>
      </c>
      <c r="I118" s="341">
        <f t="shared" si="21"/>
        <v>4.2</v>
      </c>
      <c r="J118" s="341">
        <f t="shared" si="21"/>
        <v>4</v>
      </c>
      <c r="K118" s="341">
        <f t="shared" si="21"/>
        <v>4.5999999999999996</v>
      </c>
      <c r="L118" s="341">
        <f t="shared" si="21"/>
        <v>5</v>
      </c>
      <c r="M118" s="341" t="str">
        <f t="shared" si="21"/>
        <v>--</v>
      </c>
      <c r="N118" s="341">
        <f t="shared" si="21"/>
        <v>5</v>
      </c>
      <c r="O118" s="341">
        <f t="shared" si="21"/>
        <v>3.7</v>
      </c>
      <c r="P118" s="341">
        <f t="shared" si="21"/>
        <v>3.6</v>
      </c>
      <c r="Q118" s="341">
        <f t="shared" si="21"/>
        <v>4.33</v>
      </c>
      <c r="R118" s="341">
        <f t="shared" si="21"/>
        <v>5.5</v>
      </c>
      <c r="S118" s="341">
        <f t="shared" si="21"/>
        <v>5.5</v>
      </c>
      <c r="T118" s="341">
        <f t="shared" si="21"/>
        <v>5.5</v>
      </c>
      <c r="U118" s="341">
        <f t="shared" si="21"/>
        <v>5</v>
      </c>
      <c r="V118" s="341">
        <f t="shared" si="21"/>
        <v>4.9000000000000004</v>
      </c>
      <c r="W118" s="341">
        <f t="shared" si="21"/>
        <v>4.0999999999999996</v>
      </c>
      <c r="X118" s="341">
        <f t="shared" si="21"/>
        <v>3.8</v>
      </c>
      <c r="Y118" s="341">
        <f t="shared" si="21"/>
        <v>3.7</v>
      </c>
      <c r="Z118" s="341">
        <f t="shared" si="21"/>
        <v>3.4</v>
      </c>
      <c r="AA118" s="341">
        <f t="shared" si="21"/>
        <v>4.0999999999999996</v>
      </c>
      <c r="AB118" s="341">
        <f t="shared" si="21"/>
        <v>3.5999999999999996</v>
      </c>
      <c r="AC118" s="341">
        <f t="shared" si="21"/>
        <v>5</v>
      </c>
      <c r="AD118" s="341">
        <f t="shared" si="21"/>
        <v>4.8</v>
      </c>
      <c r="AE118" s="341">
        <f t="shared" si="21"/>
        <v>5.7</v>
      </c>
      <c r="AF118" s="341">
        <f t="shared" si="21"/>
        <v>5.0999999999999996</v>
      </c>
      <c r="AG118" s="341">
        <f t="shared" si="21"/>
        <v>5.6999999999999993</v>
      </c>
      <c r="AH118" s="341">
        <f t="shared" si="21"/>
        <v>6.7</v>
      </c>
      <c r="AI118" s="341">
        <f t="shared" si="21"/>
        <v>6.7</v>
      </c>
      <c r="AJ118" s="341">
        <f t="shared" si="21"/>
        <v>5.8</v>
      </c>
      <c r="AK118" s="341">
        <f t="shared" ref="AK118:BD118" si="22">IF(SUM(AK113:AK115)=0,"--",SUM(AK113:AK115))</f>
        <v>5.4</v>
      </c>
      <c r="AL118" s="341">
        <f t="shared" si="22"/>
        <v>6</v>
      </c>
      <c r="AM118" s="341">
        <f t="shared" si="22"/>
        <v>6.2</v>
      </c>
      <c r="AN118" s="341">
        <f t="shared" si="22"/>
        <v>6.6</v>
      </c>
      <c r="AO118" s="341">
        <f t="shared" si="22"/>
        <v>6.3</v>
      </c>
      <c r="AP118" s="341">
        <f t="shared" si="22"/>
        <v>5.8000000000000007</v>
      </c>
      <c r="AQ118" s="341">
        <f t="shared" si="22"/>
        <v>6</v>
      </c>
      <c r="AR118" s="341">
        <f t="shared" si="22"/>
        <v>5.7</v>
      </c>
      <c r="AS118" s="341">
        <f t="shared" si="22"/>
        <v>5.0999999999999996</v>
      </c>
      <c r="AT118" s="341">
        <f t="shared" si="22"/>
        <v>4.8000000000000007</v>
      </c>
      <c r="AU118" s="341">
        <f t="shared" si="22"/>
        <v>4.0999999999999996</v>
      </c>
      <c r="AV118" s="341">
        <f t="shared" si="22"/>
        <v>2.8</v>
      </c>
      <c r="AW118" s="341">
        <f t="shared" si="22"/>
        <v>3.3</v>
      </c>
      <c r="AX118" s="341">
        <f t="shared" si="22"/>
        <v>4</v>
      </c>
      <c r="AY118" s="341">
        <f t="shared" si="22"/>
        <v>3.5999999999999996</v>
      </c>
      <c r="AZ118" s="341">
        <f t="shared" si="22"/>
        <v>3.4</v>
      </c>
      <c r="BA118" s="341">
        <f t="shared" si="22"/>
        <v>3.2</v>
      </c>
      <c r="BB118" s="341">
        <f t="shared" si="22"/>
        <v>3.3</v>
      </c>
      <c r="BC118" s="341">
        <f t="shared" si="22"/>
        <v>3.4</v>
      </c>
      <c r="BD118" s="341">
        <f t="shared" si="22"/>
        <v>3.3</v>
      </c>
      <c r="BE118" s="342"/>
      <c r="BW118" s="310"/>
      <c r="BX118" s="296"/>
      <c r="BY118" s="296"/>
      <c r="BZ118" s="296"/>
      <c r="CA118" s="296"/>
      <c r="CB118" s="296"/>
      <c r="CC118" s="296"/>
      <c r="CD118" s="296"/>
      <c r="CE118" s="296"/>
      <c r="CF118" s="296"/>
      <c r="CG118" s="296"/>
      <c r="CH118" s="296"/>
      <c r="CI118" s="296"/>
      <c r="CJ118" s="296"/>
    </row>
    <row r="119" spans="1:88">
      <c r="A119" s="1" t="s">
        <v>116</v>
      </c>
      <c r="C119" s="7"/>
      <c r="D119" s="293"/>
      <c r="E119" s="301"/>
      <c r="F119" s="301"/>
      <c r="G119" s="301"/>
      <c r="H119" s="301"/>
      <c r="I119" s="301"/>
      <c r="J119" s="301"/>
      <c r="K119" s="301"/>
      <c r="L119" s="301"/>
      <c r="M119" s="301"/>
      <c r="N119" s="301"/>
      <c r="O119" s="301"/>
      <c r="P119" s="301"/>
      <c r="Q119" s="301"/>
      <c r="R119" s="301"/>
      <c r="S119" s="301"/>
      <c r="T119" s="301"/>
      <c r="U119" s="343"/>
      <c r="V119" s="301"/>
      <c r="W119" s="301"/>
      <c r="X119" s="343"/>
      <c r="Y119" s="343"/>
      <c r="Z119" s="343">
        <v>37042</v>
      </c>
      <c r="AA119" s="301"/>
      <c r="AB119" s="343"/>
      <c r="AC119" s="301"/>
      <c r="AD119" s="301"/>
      <c r="AE119" s="301"/>
      <c r="AF119" s="301"/>
      <c r="AG119" s="301"/>
      <c r="AH119" s="301"/>
      <c r="AI119" s="301"/>
      <c r="AJ119" s="301"/>
      <c r="AK119" s="301"/>
      <c r="AL119" s="301"/>
      <c r="AM119" s="301"/>
      <c r="AN119" s="301"/>
      <c r="AO119" s="301"/>
      <c r="AP119" s="301"/>
      <c r="AQ119" s="301"/>
      <c r="AR119" s="301"/>
      <c r="AS119" s="301"/>
      <c r="AT119" s="301"/>
      <c r="AU119" s="301"/>
      <c r="AV119" s="301"/>
      <c r="AW119" s="343"/>
      <c r="AX119" s="301"/>
      <c r="AY119" s="301"/>
      <c r="AZ119" s="301"/>
      <c r="BA119" s="301"/>
      <c r="BB119" s="301"/>
      <c r="BC119" s="301"/>
      <c r="BD119" s="301"/>
      <c r="BE119" s="293"/>
      <c r="BW119" s="310"/>
      <c r="BX119" s="294"/>
      <c r="BY119" s="294"/>
      <c r="BZ119" s="294"/>
      <c r="CA119" s="294"/>
      <c r="CB119" s="294"/>
      <c r="CC119" s="294"/>
      <c r="CD119" s="294"/>
      <c r="CE119" s="294"/>
      <c r="CF119" s="294"/>
      <c r="CG119" s="294"/>
      <c r="CH119" s="294"/>
      <c r="CI119" s="294"/>
      <c r="CJ119" s="294"/>
    </row>
    <row r="120" spans="1:88">
      <c r="A120" s="1" t="s">
        <v>117</v>
      </c>
      <c r="C120" s="7"/>
      <c r="D120" s="293"/>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c r="AK120" s="301"/>
      <c r="AL120" s="301"/>
      <c r="AM120" s="301"/>
      <c r="AN120" s="301"/>
      <c r="AO120" s="301"/>
      <c r="AP120" s="301"/>
      <c r="AQ120" s="301"/>
      <c r="AR120" s="301"/>
      <c r="AS120" s="301"/>
      <c r="AT120" s="301"/>
      <c r="AU120" s="301"/>
      <c r="AV120" s="301"/>
      <c r="AW120" s="343"/>
      <c r="AX120" s="343"/>
      <c r="AY120" s="343">
        <v>37215</v>
      </c>
      <c r="AZ120" s="301"/>
      <c r="BA120" s="301"/>
      <c r="BB120" s="343"/>
      <c r="BC120" s="301"/>
      <c r="BD120" s="301"/>
      <c r="BE120" s="293"/>
      <c r="BW120" s="310"/>
      <c r="BX120" s="294"/>
      <c r="BY120" s="294"/>
      <c r="BZ120" s="294"/>
      <c r="CA120" s="294"/>
      <c r="CB120" s="294"/>
      <c r="CC120" s="294"/>
      <c r="CD120" s="294"/>
      <c r="CE120" s="294"/>
      <c r="CF120" s="294"/>
      <c r="CG120" s="294"/>
      <c r="CH120" s="294"/>
      <c r="CI120" s="294"/>
      <c r="CJ120" s="294"/>
    </row>
    <row r="121" spans="1:88">
      <c r="A121" s="1" t="s">
        <v>118</v>
      </c>
      <c r="C121" s="7"/>
      <c r="D121" s="293"/>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c r="AK121" s="301"/>
      <c r="AL121" s="301"/>
      <c r="AM121" s="301"/>
      <c r="AN121" s="301"/>
      <c r="AO121" s="301"/>
      <c r="AP121" s="301"/>
      <c r="AQ121" s="301"/>
      <c r="AR121" s="301"/>
      <c r="AS121" s="301"/>
      <c r="AT121" s="301"/>
      <c r="AU121" s="301"/>
      <c r="AV121" s="301"/>
      <c r="AW121" s="343"/>
      <c r="AX121" s="301"/>
      <c r="AY121" s="344"/>
      <c r="AZ121" s="343">
        <v>37222</v>
      </c>
      <c r="BA121" s="301"/>
      <c r="BB121" s="301"/>
      <c r="BC121" s="301"/>
      <c r="BD121" s="301"/>
      <c r="BE121" s="293"/>
      <c r="BW121" s="310"/>
      <c r="BX121" s="294"/>
      <c r="BY121" s="294"/>
      <c r="BZ121" s="294"/>
      <c r="CA121" s="294"/>
      <c r="CB121" s="294"/>
      <c r="CC121" s="294"/>
      <c r="CD121" s="294"/>
      <c r="CE121" s="294"/>
      <c r="CF121" s="294"/>
      <c r="CG121" s="294"/>
      <c r="CH121" s="294"/>
      <c r="CI121" s="294"/>
      <c r="CJ121" s="294"/>
    </row>
    <row r="122" spans="1:88">
      <c r="A122" s="1" t="s">
        <v>119</v>
      </c>
      <c r="C122" s="7"/>
      <c r="D122" s="293"/>
      <c r="E122" s="301"/>
      <c r="F122" s="301"/>
      <c r="G122" s="301"/>
      <c r="H122" s="301"/>
      <c r="I122" s="301"/>
      <c r="J122" s="301"/>
      <c r="K122" s="301"/>
      <c r="L122" s="301"/>
      <c r="M122" s="301"/>
      <c r="N122" s="301"/>
      <c r="O122" s="301"/>
      <c r="P122" s="301"/>
      <c r="Q122" s="301"/>
      <c r="R122" s="343"/>
      <c r="S122" s="343"/>
      <c r="T122" s="343"/>
      <c r="U122" s="343">
        <v>37008</v>
      </c>
      <c r="V122" s="301"/>
      <c r="W122" s="301"/>
      <c r="X122" s="301"/>
      <c r="Y122" s="301"/>
      <c r="Z122" s="301"/>
      <c r="AA122" s="301"/>
      <c r="AB122" s="301"/>
      <c r="AC122" s="301"/>
      <c r="AD122" s="301"/>
      <c r="AE122" s="301"/>
      <c r="AF122" s="301"/>
      <c r="AG122" s="301"/>
      <c r="AH122" s="301"/>
      <c r="AI122" s="301"/>
      <c r="AJ122" s="301"/>
      <c r="AK122" s="301"/>
      <c r="AL122" s="301"/>
      <c r="AM122" s="301"/>
      <c r="AN122" s="301"/>
      <c r="AO122" s="301"/>
      <c r="AP122" s="301"/>
      <c r="AQ122" s="301"/>
      <c r="AR122" s="301"/>
      <c r="AS122" s="301"/>
      <c r="AT122" s="301"/>
      <c r="AU122" s="301"/>
      <c r="AV122" s="301"/>
      <c r="AW122" s="301"/>
      <c r="AX122" s="301"/>
      <c r="AY122" s="344"/>
      <c r="AZ122" s="301"/>
      <c r="BA122" s="301"/>
      <c r="BB122" s="301"/>
      <c r="BC122" s="301"/>
      <c r="BD122" s="301"/>
      <c r="BE122" s="293"/>
      <c r="BW122" s="310"/>
      <c r="BX122" s="294"/>
      <c r="BY122" s="294"/>
      <c r="BZ122" s="294"/>
      <c r="CA122" s="294"/>
      <c r="CB122" s="294"/>
      <c r="CC122" s="294"/>
      <c r="CD122" s="294"/>
      <c r="CE122" s="294"/>
      <c r="CF122" s="294"/>
      <c r="CG122" s="294"/>
      <c r="CH122" s="294"/>
      <c r="CI122" s="294"/>
      <c r="CJ122" s="294"/>
    </row>
    <row r="123" spans="1:88">
      <c r="A123" s="1" t="s">
        <v>120</v>
      </c>
      <c r="C123" s="7"/>
      <c r="D123" s="293"/>
      <c r="E123" s="301"/>
      <c r="F123" s="301"/>
      <c r="G123" s="301"/>
      <c r="H123" s="301"/>
      <c r="I123" s="301"/>
      <c r="J123" s="301"/>
      <c r="K123" s="301"/>
      <c r="L123" s="301"/>
      <c r="M123" s="301"/>
      <c r="N123" s="301"/>
      <c r="O123" s="301"/>
      <c r="P123" s="301"/>
      <c r="Q123" s="301"/>
      <c r="R123" s="343">
        <v>36984</v>
      </c>
      <c r="S123" s="343"/>
      <c r="T123" s="343"/>
      <c r="U123" s="343"/>
      <c r="V123" s="301"/>
      <c r="W123" s="301"/>
      <c r="X123" s="301"/>
      <c r="Y123" s="301"/>
      <c r="Z123" s="301"/>
      <c r="AA123" s="301"/>
      <c r="AB123" s="301"/>
      <c r="AC123" s="301"/>
      <c r="AD123" s="301"/>
      <c r="AE123" s="301"/>
      <c r="AF123" s="301"/>
      <c r="AG123" s="301"/>
      <c r="AH123" s="301"/>
      <c r="AI123" s="301"/>
      <c r="AJ123" s="301"/>
      <c r="AK123" s="301"/>
      <c r="AL123" s="301"/>
      <c r="AM123" s="301"/>
      <c r="AN123" s="301"/>
      <c r="AO123" s="301"/>
      <c r="AP123" s="301"/>
      <c r="AQ123" s="301"/>
      <c r="AR123" s="301"/>
      <c r="AS123" s="301"/>
      <c r="AT123" s="301"/>
      <c r="AU123" s="301"/>
      <c r="AV123" s="301"/>
      <c r="AW123" s="301"/>
      <c r="AX123" s="301"/>
      <c r="AY123" s="344"/>
      <c r="AZ123" s="301"/>
      <c r="BA123" s="301"/>
      <c r="BB123" s="301"/>
      <c r="BC123" s="301"/>
      <c r="BD123" s="301"/>
      <c r="BE123" s="293"/>
      <c r="BW123" s="310"/>
      <c r="BX123" s="294"/>
      <c r="BY123" s="294"/>
      <c r="BZ123" s="294"/>
      <c r="CA123" s="294"/>
      <c r="CB123" s="294"/>
      <c r="CC123" s="294"/>
      <c r="CD123" s="294"/>
      <c r="CE123" s="294"/>
      <c r="CF123" s="294"/>
      <c r="CG123" s="294"/>
      <c r="CH123" s="294"/>
      <c r="CI123" s="294"/>
      <c r="CJ123" s="294"/>
    </row>
    <row r="124" spans="1:88">
      <c r="A124" s="1" t="s">
        <v>121</v>
      </c>
      <c r="C124" s="7"/>
      <c r="D124" s="293"/>
      <c r="E124" s="301"/>
      <c r="F124" s="301"/>
      <c r="G124" s="301"/>
      <c r="H124" s="301"/>
      <c r="I124" s="301"/>
      <c r="J124" s="301"/>
      <c r="K124" s="301"/>
      <c r="L124" s="301"/>
      <c r="M124" s="301"/>
      <c r="N124" s="301"/>
      <c r="O124" s="301"/>
      <c r="P124" s="301"/>
      <c r="Q124" s="301"/>
      <c r="R124" s="343"/>
      <c r="S124" s="343"/>
      <c r="T124" s="343"/>
      <c r="U124" s="343"/>
      <c r="V124" s="343">
        <v>37011</v>
      </c>
      <c r="W124" s="301"/>
      <c r="X124" s="301"/>
      <c r="Y124" s="301"/>
      <c r="Z124" s="301"/>
      <c r="AA124" s="301"/>
      <c r="AB124" s="301"/>
      <c r="AC124" s="301"/>
      <c r="AD124" s="301"/>
      <c r="AE124" s="301"/>
      <c r="AF124" s="301"/>
      <c r="AG124" s="301"/>
      <c r="AH124" s="301"/>
      <c r="AI124" s="301"/>
      <c r="AJ124" s="301"/>
      <c r="AK124" s="301"/>
      <c r="AL124" s="301"/>
      <c r="AM124" s="301"/>
      <c r="AN124" s="301"/>
      <c r="AO124" s="301"/>
      <c r="AP124" s="301"/>
      <c r="AQ124" s="301"/>
      <c r="AR124" s="301"/>
      <c r="AS124" s="301"/>
      <c r="AT124" s="301"/>
      <c r="AU124" s="301"/>
      <c r="AV124" s="301"/>
      <c r="AW124" s="301"/>
      <c r="AX124" s="301"/>
      <c r="AY124" s="344"/>
      <c r="AZ124" s="301"/>
      <c r="BA124" s="301"/>
      <c r="BB124" s="301"/>
      <c r="BC124" s="301"/>
      <c r="BD124" s="301"/>
      <c r="BE124" s="293"/>
      <c r="BW124" s="310"/>
      <c r="BX124" s="294"/>
      <c r="BY124" s="294"/>
      <c r="BZ124" s="294"/>
      <c r="CA124" s="294"/>
      <c r="CB124" s="294"/>
      <c r="CC124" s="294"/>
      <c r="CD124" s="294"/>
      <c r="CE124" s="294"/>
      <c r="CF124" s="294"/>
      <c r="CG124" s="294"/>
      <c r="CH124" s="294"/>
      <c r="CI124" s="294"/>
      <c r="CJ124" s="294"/>
    </row>
    <row r="125" spans="1:88">
      <c r="C125" s="7"/>
      <c r="D125" s="293"/>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c r="AK125" s="301"/>
      <c r="AL125" s="301"/>
      <c r="AM125" s="301"/>
      <c r="AN125" s="301"/>
      <c r="AO125" s="301"/>
      <c r="AP125" s="301"/>
      <c r="AQ125" s="301"/>
      <c r="AR125" s="301"/>
      <c r="AS125" s="301"/>
      <c r="AT125" s="301"/>
      <c r="AU125" s="301"/>
      <c r="AV125" s="301"/>
      <c r="AW125" s="301"/>
      <c r="AX125" s="301"/>
      <c r="AY125" s="301"/>
      <c r="AZ125" s="301"/>
      <c r="BA125" s="301"/>
      <c r="BB125" s="301"/>
      <c r="BC125" s="301"/>
      <c r="BD125" s="301"/>
      <c r="BE125" s="293"/>
      <c r="BW125" s="310"/>
      <c r="BX125" s="294"/>
      <c r="BY125" s="294"/>
      <c r="BZ125" s="294"/>
      <c r="CA125" s="294"/>
      <c r="CB125" s="294"/>
      <c r="CC125" s="294"/>
      <c r="CD125" s="294"/>
      <c r="CE125" s="294"/>
      <c r="CF125" s="294"/>
      <c r="CG125" s="294"/>
      <c r="CH125" s="294"/>
      <c r="CI125" s="294"/>
      <c r="CJ125" s="294"/>
    </row>
    <row r="126" spans="1:88">
      <c r="A126" s="4" t="s">
        <v>122</v>
      </c>
      <c r="C126" s="7"/>
      <c r="D126" s="293"/>
      <c r="E126" s="314"/>
      <c r="F126" s="314"/>
      <c r="G126" s="314"/>
      <c r="H126" s="314"/>
      <c r="I126" s="314"/>
      <c r="J126" s="314"/>
      <c r="K126" s="314"/>
      <c r="L126" s="301"/>
      <c r="M126" s="314"/>
      <c r="N126" s="314"/>
      <c r="O126" s="314"/>
      <c r="P126" s="314"/>
      <c r="Q126" s="314"/>
      <c r="R126" s="314"/>
      <c r="S126" s="314"/>
      <c r="T126" s="314"/>
      <c r="U126" s="314"/>
      <c r="V126" s="314"/>
      <c r="W126" s="314"/>
      <c r="X126" s="314"/>
      <c r="Y126" s="314"/>
      <c r="Z126" s="314"/>
      <c r="AA126" s="314"/>
      <c r="AB126" s="314"/>
      <c r="AC126" s="301"/>
      <c r="AD126" s="314"/>
      <c r="AE126" s="314"/>
      <c r="AF126" s="314"/>
      <c r="AG126" s="314"/>
      <c r="AH126" s="314"/>
      <c r="AI126" s="314"/>
      <c r="AJ126" s="314"/>
      <c r="AK126" s="314"/>
      <c r="AL126" s="301"/>
      <c r="AM126" s="314"/>
      <c r="AN126" s="314"/>
      <c r="AO126" s="314"/>
      <c r="AP126" s="314"/>
      <c r="AQ126" s="314"/>
      <c r="AR126" s="314"/>
      <c r="AS126" s="314"/>
      <c r="AT126" s="314"/>
      <c r="AU126" s="314"/>
      <c r="AV126" s="314"/>
      <c r="AW126" s="314"/>
      <c r="AX126" s="314"/>
      <c r="AY126" s="301"/>
      <c r="AZ126" s="314"/>
      <c r="BA126" s="314"/>
      <c r="BB126" s="314"/>
      <c r="BC126" s="314"/>
      <c r="BD126" s="314"/>
      <c r="BE126" s="293"/>
      <c r="BW126" s="310"/>
      <c r="BX126" s="294"/>
      <c r="BY126" s="294"/>
      <c r="BZ126" s="294"/>
      <c r="CA126" s="294"/>
      <c r="CB126" s="335"/>
      <c r="CC126" s="294"/>
      <c r="CD126" s="294"/>
      <c r="CE126" s="294"/>
      <c r="CF126" s="335"/>
      <c r="CG126" s="294"/>
      <c r="CH126" s="294"/>
      <c r="CI126" s="294"/>
      <c r="CJ126" s="296"/>
    </row>
    <row r="127" spans="1:88">
      <c r="A127" s="1" t="s">
        <v>123</v>
      </c>
      <c r="B127" s="1" t="s">
        <v>14</v>
      </c>
      <c r="C127" s="7"/>
      <c r="D127" s="293"/>
      <c r="E127" s="314">
        <v>1.1200000000000001</v>
      </c>
      <c r="F127" s="314">
        <v>1.1499999999999999</v>
      </c>
      <c r="G127" s="314">
        <v>1.1100000000000001</v>
      </c>
      <c r="H127" s="314">
        <v>1.1200000000000001</v>
      </c>
      <c r="I127" s="314">
        <v>1.08</v>
      </c>
      <c r="J127" s="314">
        <v>1.05</v>
      </c>
      <c r="K127" s="314">
        <v>1.1399999999999999</v>
      </c>
      <c r="L127" s="314">
        <v>1.07</v>
      </c>
      <c r="M127" s="314">
        <v>1.05</v>
      </c>
      <c r="N127" s="314">
        <v>1.08</v>
      </c>
      <c r="O127" s="314">
        <v>1.04</v>
      </c>
      <c r="P127" s="314">
        <v>1.05</v>
      </c>
      <c r="Q127" s="314">
        <v>0.97499999999999998</v>
      </c>
      <c r="R127" s="314">
        <v>0.98</v>
      </c>
      <c r="S127" s="314">
        <v>1.05</v>
      </c>
      <c r="T127" s="314">
        <v>1</v>
      </c>
      <c r="U127" s="314">
        <v>1.02</v>
      </c>
      <c r="V127" s="314"/>
      <c r="W127" s="314">
        <v>1.05</v>
      </c>
      <c r="X127" s="314">
        <v>1.04</v>
      </c>
      <c r="Y127" s="314">
        <v>1.05</v>
      </c>
      <c r="Z127" s="314">
        <v>1.05</v>
      </c>
      <c r="AA127" s="314">
        <v>0.96</v>
      </c>
      <c r="AB127" s="314">
        <v>0.95</v>
      </c>
      <c r="AC127" s="314">
        <v>0.98</v>
      </c>
      <c r="AD127" s="314">
        <v>0.96</v>
      </c>
      <c r="AE127" s="314">
        <v>0.93</v>
      </c>
      <c r="AF127" s="314">
        <v>0.97</v>
      </c>
      <c r="AG127" s="345">
        <v>1.01</v>
      </c>
      <c r="AH127" s="345">
        <v>1.01</v>
      </c>
      <c r="AI127" s="314">
        <v>1.05</v>
      </c>
      <c r="AJ127" s="314">
        <v>1.04</v>
      </c>
      <c r="AK127" s="314">
        <v>1.08</v>
      </c>
      <c r="AL127" s="314">
        <v>1.1000000000000001</v>
      </c>
      <c r="AM127" s="314">
        <v>1.07</v>
      </c>
      <c r="AN127" s="314">
        <v>1.04</v>
      </c>
      <c r="AO127" s="314">
        <v>1.1200000000000001</v>
      </c>
      <c r="AP127" s="314">
        <v>1.05</v>
      </c>
      <c r="AQ127" s="314">
        <v>1.1299999999999999</v>
      </c>
      <c r="AR127" s="314">
        <v>1.07</v>
      </c>
      <c r="AS127" s="314">
        <v>1.1000000000000001</v>
      </c>
      <c r="AT127" s="314">
        <v>1.1000000000000001</v>
      </c>
      <c r="AU127" s="314">
        <v>1.08</v>
      </c>
      <c r="AV127" s="314">
        <v>1.1100000000000001</v>
      </c>
      <c r="AW127" s="314">
        <v>1.1100000000000001</v>
      </c>
      <c r="AX127" s="314">
        <v>1.05</v>
      </c>
      <c r="AY127" s="301">
        <v>1.1100000000000001</v>
      </c>
      <c r="AZ127" s="314">
        <v>1.1399999999999999</v>
      </c>
      <c r="BA127" s="314">
        <v>1.19</v>
      </c>
      <c r="BB127" s="314">
        <v>1.1499999999999999</v>
      </c>
      <c r="BC127" s="314">
        <v>1.1599999999999999</v>
      </c>
      <c r="BD127" s="314">
        <v>1.18</v>
      </c>
      <c r="BE127" s="315"/>
      <c r="BW127" s="310"/>
      <c r="BX127" s="334"/>
      <c r="BY127" s="334"/>
      <c r="BZ127" s="334"/>
      <c r="CA127" s="334"/>
      <c r="CB127" s="334"/>
      <c r="CC127" s="334"/>
      <c r="CD127" s="334"/>
      <c r="CE127" s="334"/>
      <c r="CF127" s="334"/>
      <c r="CG127" s="334"/>
      <c r="CH127" s="334"/>
      <c r="CI127" s="334"/>
      <c r="CJ127" s="334"/>
    </row>
    <row r="128" spans="1:88">
      <c r="A128" s="1" t="s">
        <v>124</v>
      </c>
      <c r="B128" s="1" t="s">
        <v>14</v>
      </c>
      <c r="C128" s="7"/>
      <c r="D128" s="293"/>
      <c r="E128" s="314">
        <v>0.22</v>
      </c>
      <c r="F128" s="314">
        <v>0.43</v>
      </c>
      <c r="G128" s="314">
        <v>0.44</v>
      </c>
      <c r="H128" s="314">
        <v>0.57999999999999996</v>
      </c>
      <c r="I128" s="314">
        <v>0.45</v>
      </c>
      <c r="J128" s="314">
        <v>0.44</v>
      </c>
      <c r="K128" s="314">
        <v>0.48</v>
      </c>
      <c r="L128" s="314">
        <v>0.44</v>
      </c>
      <c r="M128" s="314">
        <v>0.38</v>
      </c>
      <c r="N128" s="314">
        <v>0.48</v>
      </c>
      <c r="O128" s="314">
        <v>0.46</v>
      </c>
      <c r="P128" s="314">
        <v>0.42</v>
      </c>
      <c r="Q128" s="314">
        <v>0.42499999999999999</v>
      </c>
      <c r="R128" s="314">
        <v>0.41</v>
      </c>
      <c r="S128" s="314">
        <v>0.36</v>
      </c>
      <c r="T128" s="314">
        <v>0.37</v>
      </c>
      <c r="U128" s="314">
        <v>0.33</v>
      </c>
      <c r="V128" s="314"/>
      <c r="W128" s="314">
        <v>0.33</v>
      </c>
      <c r="X128" s="314">
        <v>0.34</v>
      </c>
      <c r="Y128" s="314">
        <v>0.34</v>
      </c>
      <c r="Z128" s="314">
        <v>0.25</v>
      </c>
      <c r="AA128" s="314">
        <v>0</v>
      </c>
      <c r="AB128" s="314">
        <v>0</v>
      </c>
      <c r="AC128" s="314">
        <v>0</v>
      </c>
      <c r="AD128" s="314">
        <v>0</v>
      </c>
      <c r="AE128" s="314">
        <v>0</v>
      </c>
      <c r="AF128" s="314">
        <v>0.06</v>
      </c>
      <c r="AG128" s="345">
        <v>0.09</v>
      </c>
      <c r="AH128" s="345">
        <v>0.09</v>
      </c>
      <c r="AI128" s="314">
        <v>0.08</v>
      </c>
      <c r="AJ128" s="314">
        <v>0.09</v>
      </c>
      <c r="AK128" s="314">
        <v>0.08</v>
      </c>
      <c r="AL128" s="314">
        <v>0.1</v>
      </c>
      <c r="AM128" s="314">
        <v>0.12</v>
      </c>
      <c r="AN128" s="314">
        <v>0.12</v>
      </c>
      <c r="AO128" s="314">
        <v>0.12</v>
      </c>
      <c r="AP128" s="314">
        <v>0.14000000000000001</v>
      </c>
      <c r="AQ128" s="314">
        <v>0.12</v>
      </c>
      <c r="AR128" s="314">
        <v>0.13</v>
      </c>
      <c r="AS128" s="314">
        <v>0.12</v>
      </c>
      <c r="AT128" s="314">
        <v>0.12</v>
      </c>
      <c r="AU128" s="314">
        <v>0.14000000000000001</v>
      </c>
      <c r="AV128" s="314">
        <v>0.13</v>
      </c>
      <c r="AW128" s="314">
        <v>0.12</v>
      </c>
      <c r="AX128" s="314">
        <v>0.15</v>
      </c>
      <c r="AY128" s="301">
        <v>0.26</v>
      </c>
      <c r="AZ128" s="314">
        <v>0.3</v>
      </c>
      <c r="BA128" s="314">
        <v>0.28999999999999998</v>
      </c>
      <c r="BB128" s="314">
        <v>0.31</v>
      </c>
      <c r="BC128" s="314">
        <v>0.33</v>
      </c>
      <c r="BD128" s="314">
        <v>0.3</v>
      </c>
      <c r="BE128" s="315"/>
      <c r="BW128" s="310"/>
      <c r="BX128" s="334"/>
      <c r="BY128" s="334"/>
      <c r="BZ128" s="334"/>
      <c r="CA128" s="334"/>
      <c r="CB128" s="334"/>
      <c r="CC128" s="334"/>
      <c r="CD128" s="334"/>
      <c r="CE128" s="334"/>
      <c r="CF128" s="334"/>
      <c r="CG128" s="334"/>
      <c r="CH128" s="334"/>
      <c r="CI128" s="334"/>
      <c r="CJ128" s="334"/>
    </row>
    <row r="129" spans="1:59">
      <c r="C129" s="7"/>
      <c r="D129" s="293"/>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293"/>
    </row>
    <row r="130" spans="1:59">
      <c r="A130" s="346"/>
      <c r="B130" s="346"/>
      <c r="C130" s="37"/>
      <c r="D130" s="293"/>
      <c r="E130" s="347"/>
      <c r="F130" s="347"/>
      <c r="G130" s="347"/>
      <c r="H130" s="347"/>
      <c r="I130" s="347"/>
      <c r="J130" s="347"/>
      <c r="K130" s="347"/>
      <c r="L130" s="347"/>
      <c r="M130" s="347"/>
      <c r="N130" s="347"/>
      <c r="O130" s="347"/>
      <c r="P130" s="347"/>
      <c r="Q130" s="347"/>
      <c r="R130" s="347"/>
      <c r="S130" s="347"/>
      <c r="T130" s="347"/>
      <c r="U130" s="347"/>
      <c r="V130" s="347"/>
      <c r="W130" s="347"/>
      <c r="X130" s="347"/>
      <c r="Y130" s="347"/>
      <c r="Z130" s="347"/>
      <c r="AA130" s="347"/>
      <c r="AB130" s="347"/>
      <c r="AC130" s="347"/>
      <c r="AD130" s="347"/>
      <c r="AE130" s="347"/>
      <c r="AF130" s="347"/>
      <c r="AG130" s="347"/>
      <c r="AH130" s="347"/>
      <c r="AI130" s="347"/>
      <c r="AJ130" s="347"/>
      <c r="AK130" s="347"/>
      <c r="AL130" s="347"/>
      <c r="AM130" s="347"/>
      <c r="AN130" s="347"/>
      <c r="AO130" s="347"/>
      <c r="AP130" s="347"/>
      <c r="AQ130" s="347"/>
      <c r="AR130" s="347"/>
      <c r="AS130" s="347"/>
      <c r="AT130" s="347"/>
      <c r="AU130" s="347"/>
      <c r="AV130" s="347"/>
      <c r="AW130" s="347"/>
      <c r="AX130" s="347"/>
      <c r="AY130" s="347"/>
      <c r="AZ130" s="347"/>
      <c r="BA130" s="347"/>
      <c r="BB130" s="347"/>
      <c r="BC130" s="347"/>
      <c r="BD130" s="347"/>
      <c r="BE130" s="293"/>
    </row>
    <row r="131" spans="1:59">
      <c r="A131" s="346"/>
      <c r="B131" s="346"/>
      <c r="C131" s="37"/>
      <c r="D131" s="293"/>
      <c r="E131" s="347"/>
      <c r="F131" s="347"/>
      <c r="G131" s="347"/>
      <c r="H131" s="347"/>
      <c r="I131" s="347"/>
      <c r="J131" s="347"/>
      <c r="K131" s="347"/>
      <c r="L131" s="347"/>
      <c r="M131" s="347"/>
      <c r="N131" s="347"/>
      <c r="O131" s="347"/>
      <c r="P131" s="347"/>
      <c r="Q131" s="347"/>
      <c r="R131" s="347"/>
      <c r="S131" s="347"/>
      <c r="T131" s="347"/>
      <c r="U131" s="347"/>
      <c r="V131" s="347"/>
      <c r="W131" s="347"/>
      <c r="X131" s="347"/>
      <c r="Y131" s="347"/>
      <c r="Z131" s="347"/>
      <c r="AA131" s="347"/>
      <c r="AB131" s="347"/>
      <c r="AC131" s="347"/>
      <c r="AD131" s="347"/>
      <c r="AE131" s="347"/>
      <c r="AF131" s="347"/>
      <c r="AG131" s="347"/>
      <c r="AH131" s="347"/>
      <c r="AI131" s="347"/>
      <c r="AJ131" s="347"/>
      <c r="AK131" s="347"/>
      <c r="AL131" s="347"/>
      <c r="AM131" s="347"/>
      <c r="AN131" s="347"/>
      <c r="AO131" s="347"/>
      <c r="AP131" s="347"/>
      <c r="AQ131" s="347"/>
      <c r="AR131" s="347"/>
      <c r="AS131" s="347"/>
      <c r="AT131" s="347"/>
      <c r="AU131" s="347"/>
      <c r="AV131" s="347"/>
      <c r="AW131" s="347"/>
      <c r="AX131" s="347"/>
      <c r="AY131" s="347"/>
      <c r="AZ131" s="347"/>
      <c r="BA131" s="347"/>
      <c r="BB131" s="347"/>
      <c r="BC131" s="347"/>
      <c r="BD131" s="347"/>
      <c r="BE131" s="293"/>
    </row>
    <row r="132" spans="1:59">
      <c r="A132" s="346"/>
      <c r="B132" s="346"/>
      <c r="C132" s="37"/>
      <c r="D132" s="293"/>
      <c r="E132" s="347"/>
      <c r="F132" s="347"/>
      <c r="G132" s="347"/>
      <c r="H132" s="347"/>
      <c r="I132" s="347"/>
      <c r="J132" s="347"/>
      <c r="K132" s="347"/>
      <c r="L132" s="347"/>
      <c r="M132" s="347"/>
      <c r="N132" s="347"/>
      <c r="O132" s="347"/>
      <c r="P132" s="347"/>
      <c r="Q132" s="347"/>
      <c r="R132" s="347"/>
      <c r="S132" s="347"/>
      <c r="T132" s="347"/>
      <c r="U132" s="347"/>
      <c r="V132" s="347"/>
      <c r="W132" s="347"/>
      <c r="X132" s="347"/>
      <c r="Y132" s="347"/>
      <c r="Z132" s="347"/>
      <c r="AA132" s="347"/>
      <c r="AB132" s="347"/>
      <c r="AC132" s="347"/>
      <c r="AD132" s="347"/>
      <c r="AE132" s="347"/>
      <c r="AF132" s="347"/>
      <c r="AG132" s="347"/>
      <c r="AH132" s="347"/>
      <c r="AI132" s="347"/>
      <c r="AJ132" s="347"/>
      <c r="AK132" s="347"/>
      <c r="AL132" s="347"/>
      <c r="AM132" s="347"/>
      <c r="AN132" s="347"/>
      <c r="AO132" s="347"/>
      <c r="AP132" s="347"/>
      <c r="AQ132" s="347"/>
      <c r="AR132" s="347"/>
      <c r="AS132" s="347"/>
      <c r="AT132" s="347"/>
      <c r="AU132" s="347"/>
      <c r="AV132" s="347"/>
      <c r="AW132" s="347"/>
      <c r="AX132" s="347"/>
      <c r="AY132" s="347"/>
      <c r="AZ132" s="347"/>
      <c r="BA132" s="347"/>
      <c r="BB132" s="347"/>
      <c r="BC132" s="347"/>
      <c r="BD132" s="347"/>
      <c r="BE132" s="293"/>
    </row>
    <row r="133" spans="1:59">
      <c r="A133" s="38"/>
      <c r="C133" s="7"/>
      <c r="D133" s="293"/>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293"/>
    </row>
    <row r="134" spans="1:59">
      <c r="A134" s="39" t="str">
        <f>A5</f>
        <v>2001 - BUFFALO POUND WATER QUALITY DATA</v>
      </c>
      <c r="B134" s="38"/>
      <c r="C134" s="7"/>
      <c r="D134" s="40"/>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0"/>
    </row>
    <row r="135" spans="1:59">
      <c r="A135" s="42" t="s">
        <v>125</v>
      </c>
      <c r="B135" s="43" t="s">
        <v>2</v>
      </c>
      <c r="C135" s="44"/>
      <c r="D135" s="40"/>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0"/>
    </row>
    <row r="136" spans="1:59">
      <c r="A136" s="38"/>
      <c r="B136" s="38"/>
      <c r="C136" s="7"/>
      <c r="D136" s="40"/>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0"/>
    </row>
    <row r="137" spans="1:59">
      <c r="A137" s="45" t="s">
        <v>3</v>
      </c>
      <c r="B137" s="46" t="s">
        <v>126</v>
      </c>
      <c r="C137" s="47"/>
      <c r="D137" s="48"/>
      <c r="E137" s="49">
        <f>JANWK1</f>
        <v>36892</v>
      </c>
      <c r="F137" s="49">
        <f t="shared" ref="F137:AK137" si="23">E137+7</f>
        <v>36899</v>
      </c>
      <c r="G137" s="49">
        <f t="shared" si="23"/>
        <v>36906</v>
      </c>
      <c r="H137" s="49">
        <f t="shared" si="23"/>
        <v>36913</v>
      </c>
      <c r="I137" s="49">
        <f t="shared" si="23"/>
        <v>36920</v>
      </c>
      <c r="J137" s="49">
        <f t="shared" si="23"/>
        <v>36927</v>
      </c>
      <c r="K137" s="49">
        <f t="shared" si="23"/>
        <v>36934</v>
      </c>
      <c r="L137" s="49">
        <f t="shared" si="23"/>
        <v>36941</v>
      </c>
      <c r="M137" s="49">
        <f t="shared" si="23"/>
        <v>36948</v>
      </c>
      <c r="N137" s="49">
        <f t="shared" si="23"/>
        <v>36955</v>
      </c>
      <c r="O137" s="49">
        <f t="shared" si="23"/>
        <v>36962</v>
      </c>
      <c r="P137" s="49">
        <f t="shared" si="23"/>
        <v>36969</v>
      </c>
      <c r="Q137" s="49">
        <f t="shared" si="23"/>
        <v>36976</v>
      </c>
      <c r="R137" s="49">
        <f t="shared" si="23"/>
        <v>36983</v>
      </c>
      <c r="S137" s="49">
        <f t="shared" si="23"/>
        <v>36990</v>
      </c>
      <c r="T137" s="49">
        <f t="shared" si="23"/>
        <v>36997</v>
      </c>
      <c r="U137" s="49">
        <f t="shared" si="23"/>
        <v>37004</v>
      </c>
      <c r="V137" s="49">
        <f t="shared" si="23"/>
        <v>37011</v>
      </c>
      <c r="W137" s="49">
        <f t="shared" si="23"/>
        <v>37018</v>
      </c>
      <c r="X137" s="49">
        <f t="shared" si="23"/>
        <v>37025</v>
      </c>
      <c r="Y137" s="49">
        <f t="shared" si="23"/>
        <v>37032</v>
      </c>
      <c r="Z137" s="49">
        <f t="shared" si="23"/>
        <v>37039</v>
      </c>
      <c r="AA137" s="49">
        <f t="shared" si="23"/>
        <v>37046</v>
      </c>
      <c r="AB137" s="49">
        <f t="shared" si="23"/>
        <v>37053</v>
      </c>
      <c r="AC137" s="49">
        <f t="shared" si="23"/>
        <v>37060</v>
      </c>
      <c r="AD137" s="49">
        <f t="shared" si="23"/>
        <v>37067</v>
      </c>
      <c r="AE137" s="49">
        <f t="shared" si="23"/>
        <v>37074</v>
      </c>
      <c r="AF137" s="49">
        <f t="shared" si="23"/>
        <v>37081</v>
      </c>
      <c r="AG137" s="49">
        <f t="shared" si="23"/>
        <v>37088</v>
      </c>
      <c r="AH137" s="49">
        <f t="shared" si="23"/>
        <v>37095</v>
      </c>
      <c r="AI137" s="49">
        <f t="shared" si="23"/>
        <v>37102</v>
      </c>
      <c r="AJ137" s="49">
        <f t="shared" si="23"/>
        <v>37109</v>
      </c>
      <c r="AK137" s="49">
        <f t="shared" si="23"/>
        <v>37116</v>
      </c>
      <c r="AL137" s="49">
        <f t="shared" ref="AL137:BD137" si="24">AK137+7</f>
        <v>37123</v>
      </c>
      <c r="AM137" s="49">
        <f t="shared" si="24"/>
        <v>37130</v>
      </c>
      <c r="AN137" s="49">
        <f t="shared" si="24"/>
        <v>37137</v>
      </c>
      <c r="AO137" s="49">
        <f t="shared" si="24"/>
        <v>37144</v>
      </c>
      <c r="AP137" s="49">
        <f t="shared" si="24"/>
        <v>37151</v>
      </c>
      <c r="AQ137" s="49">
        <f t="shared" si="24"/>
        <v>37158</v>
      </c>
      <c r="AR137" s="49">
        <f t="shared" si="24"/>
        <v>37165</v>
      </c>
      <c r="AS137" s="49">
        <f t="shared" si="24"/>
        <v>37172</v>
      </c>
      <c r="AT137" s="49">
        <f t="shared" si="24"/>
        <v>37179</v>
      </c>
      <c r="AU137" s="49">
        <f t="shared" si="24"/>
        <v>37186</v>
      </c>
      <c r="AV137" s="49">
        <f t="shared" si="24"/>
        <v>37193</v>
      </c>
      <c r="AW137" s="49">
        <f t="shared" si="24"/>
        <v>37200</v>
      </c>
      <c r="AX137" s="49">
        <f t="shared" si="24"/>
        <v>37207</v>
      </c>
      <c r="AY137" s="49">
        <f t="shared" si="24"/>
        <v>37214</v>
      </c>
      <c r="AZ137" s="49">
        <f t="shared" si="24"/>
        <v>37221</v>
      </c>
      <c r="BA137" s="49">
        <f t="shared" si="24"/>
        <v>37228</v>
      </c>
      <c r="BB137" s="49">
        <f t="shared" si="24"/>
        <v>37235</v>
      </c>
      <c r="BC137" s="49">
        <f t="shared" si="24"/>
        <v>37242</v>
      </c>
      <c r="BD137" s="49">
        <f t="shared" si="24"/>
        <v>37249</v>
      </c>
      <c r="BE137" s="40"/>
      <c r="BG137" s="50"/>
    </row>
    <row r="138" spans="1:59">
      <c r="A138" s="38"/>
      <c r="B138" s="38"/>
      <c r="C138" s="7"/>
      <c r="D138" s="40"/>
      <c r="E138" s="51" t="s">
        <v>5</v>
      </c>
      <c r="F138" s="51" t="s">
        <v>5</v>
      </c>
      <c r="G138" s="51" t="s">
        <v>5</v>
      </c>
      <c r="H138" s="51" t="s">
        <v>5</v>
      </c>
      <c r="I138" s="51" t="s">
        <v>5</v>
      </c>
      <c r="J138" s="51" t="s">
        <v>5</v>
      </c>
      <c r="K138" s="51" t="s">
        <v>5</v>
      </c>
      <c r="L138" s="51" t="s">
        <v>5</v>
      </c>
      <c r="M138" s="51" t="s">
        <v>5</v>
      </c>
      <c r="N138" s="51" t="s">
        <v>5</v>
      </c>
      <c r="O138" s="51" t="s">
        <v>5</v>
      </c>
      <c r="P138" s="51" t="s">
        <v>5</v>
      </c>
      <c r="Q138" s="51" t="s">
        <v>5</v>
      </c>
      <c r="R138" s="51" t="s">
        <v>5</v>
      </c>
      <c r="S138" s="51" t="s">
        <v>5</v>
      </c>
      <c r="T138" s="51" t="s">
        <v>5</v>
      </c>
      <c r="U138" s="51" t="s">
        <v>5</v>
      </c>
      <c r="V138" s="51" t="s">
        <v>5</v>
      </c>
      <c r="W138" s="51" t="s">
        <v>5</v>
      </c>
      <c r="X138" s="51" t="s">
        <v>5</v>
      </c>
      <c r="Y138" s="51" t="s">
        <v>5</v>
      </c>
      <c r="Z138" s="51" t="s">
        <v>5</v>
      </c>
      <c r="AA138" s="51" t="s">
        <v>5</v>
      </c>
      <c r="AB138" s="51" t="s">
        <v>5</v>
      </c>
      <c r="AC138" s="51" t="s">
        <v>5</v>
      </c>
      <c r="AD138" s="51" t="s">
        <v>5</v>
      </c>
      <c r="AE138" s="51" t="s">
        <v>5</v>
      </c>
      <c r="AF138" s="51" t="s">
        <v>5</v>
      </c>
      <c r="AG138" s="51" t="s">
        <v>5</v>
      </c>
      <c r="AH138" s="51" t="s">
        <v>5</v>
      </c>
      <c r="AI138" s="51" t="s">
        <v>5</v>
      </c>
      <c r="AJ138" s="51" t="s">
        <v>5</v>
      </c>
      <c r="AK138" s="51" t="s">
        <v>5</v>
      </c>
      <c r="AL138" s="51" t="s">
        <v>5</v>
      </c>
      <c r="AM138" s="51" t="s">
        <v>5</v>
      </c>
      <c r="AN138" s="51" t="s">
        <v>5</v>
      </c>
      <c r="AO138" s="51" t="s">
        <v>5</v>
      </c>
      <c r="AP138" s="51" t="s">
        <v>5</v>
      </c>
      <c r="AQ138" s="51" t="s">
        <v>5</v>
      </c>
      <c r="AR138" s="51" t="s">
        <v>5</v>
      </c>
      <c r="AS138" s="51" t="s">
        <v>5</v>
      </c>
      <c r="AT138" s="51" t="s">
        <v>5</v>
      </c>
      <c r="AU138" s="51" t="s">
        <v>5</v>
      </c>
      <c r="AV138" s="51" t="s">
        <v>5</v>
      </c>
      <c r="AW138" s="51" t="s">
        <v>5</v>
      </c>
      <c r="AX138" s="51" t="s">
        <v>5</v>
      </c>
      <c r="AY138" s="51" t="s">
        <v>5</v>
      </c>
      <c r="AZ138" s="51" t="s">
        <v>5</v>
      </c>
      <c r="BA138" s="51" t="s">
        <v>5</v>
      </c>
      <c r="BB138" s="51" t="s">
        <v>5</v>
      </c>
      <c r="BC138" s="51" t="s">
        <v>5</v>
      </c>
      <c r="BD138" s="51" t="s">
        <v>5</v>
      </c>
      <c r="BE138" s="40"/>
      <c r="BG138" s="50"/>
    </row>
    <row r="139" spans="1:59">
      <c r="A139" s="38"/>
      <c r="B139" s="38"/>
      <c r="C139" s="7"/>
      <c r="D139" s="40"/>
      <c r="E139" s="51">
        <f t="shared" ref="E139:AJ139" si="25">E137+4</f>
        <v>36896</v>
      </c>
      <c r="F139" s="51">
        <f t="shared" si="25"/>
        <v>36903</v>
      </c>
      <c r="G139" s="51">
        <f t="shared" si="25"/>
        <v>36910</v>
      </c>
      <c r="H139" s="51">
        <f t="shared" si="25"/>
        <v>36917</v>
      </c>
      <c r="I139" s="51">
        <f t="shared" si="25"/>
        <v>36924</v>
      </c>
      <c r="J139" s="51">
        <f t="shared" si="25"/>
        <v>36931</v>
      </c>
      <c r="K139" s="51">
        <f t="shared" si="25"/>
        <v>36938</v>
      </c>
      <c r="L139" s="51">
        <f t="shared" si="25"/>
        <v>36945</v>
      </c>
      <c r="M139" s="51">
        <f t="shared" si="25"/>
        <v>36952</v>
      </c>
      <c r="N139" s="51">
        <f t="shared" si="25"/>
        <v>36959</v>
      </c>
      <c r="O139" s="51">
        <f t="shared" si="25"/>
        <v>36966</v>
      </c>
      <c r="P139" s="51">
        <f t="shared" si="25"/>
        <v>36973</v>
      </c>
      <c r="Q139" s="51">
        <f t="shared" si="25"/>
        <v>36980</v>
      </c>
      <c r="R139" s="51">
        <f t="shared" si="25"/>
        <v>36987</v>
      </c>
      <c r="S139" s="51">
        <f t="shared" si="25"/>
        <v>36994</v>
      </c>
      <c r="T139" s="51">
        <f t="shared" si="25"/>
        <v>37001</v>
      </c>
      <c r="U139" s="51">
        <f t="shared" si="25"/>
        <v>37008</v>
      </c>
      <c r="V139" s="51">
        <f t="shared" si="25"/>
        <v>37015</v>
      </c>
      <c r="W139" s="51">
        <f t="shared" si="25"/>
        <v>37022</v>
      </c>
      <c r="X139" s="51">
        <f t="shared" si="25"/>
        <v>37029</v>
      </c>
      <c r="Y139" s="51">
        <f t="shared" si="25"/>
        <v>37036</v>
      </c>
      <c r="Z139" s="51">
        <f t="shared" si="25"/>
        <v>37043</v>
      </c>
      <c r="AA139" s="51">
        <f t="shared" si="25"/>
        <v>37050</v>
      </c>
      <c r="AB139" s="51">
        <f t="shared" si="25"/>
        <v>37057</v>
      </c>
      <c r="AC139" s="51">
        <f t="shared" si="25"/>
        <v>37064</v>
      </c>
      <c r="AD139" s="51">
        <f t="shared" si="25"/>
        <v>37071</v>
      </c>
      <c r="AE139" s="51">
        <f t="shared" si="25"/>
        <v>37078</v>
      </c>
      <c r="AF139" s="51">
        <f t="shared" si="25"/>
        <v>37085</v>
      </c>
      <c r="AG139" s="51">
        <f t="shared" si="25"/>
        <v>37092</v>
      </c>
      <c r="AH139" s="51">
        <f t="shared" si="25"/>
        <v>37099</v>
      </c>
      <c r="AI139" s="51">
        <f t="shared" si="25"/>
        <v>37106</v>
      </c>
      <c r="AJ139" s="51">
        <f t="shared" si="25"/>
        <v>37113</v>
      </c>
      <c r="AK139" s="51">
        <f t="shared" ref="AK139:BD139" si="26">AK137+4</f>
        <v>37120</v>
      </c>
      <c r="AL139" s="51">
        <f t="shared" si="26"/>
        <v>37127</v>
      </c>
      <c r="AM139" s="51">
        <f t="shared" si="26"/>
        <v>37134</v>
      </c>
      <c r="AN139" s="51">
        <f t="shared" si="26"/>
        <v>37141</v>
      </c>
      <c r="AO139" s="51">
        <f t="shared" si="26"/>
        <v>37148</v>
      </c>
      <c r="AP139" s="51">
        <f t="shared" si="26"/>
        <v>37155</v>
      </c>
      <c r="AQ139" s="51">
        <f t="shared" si="26"/>
        <v>37162</v>
      </c>
      <c r="AR139" s="51">
        <f t="shared" si="26"/>
        <v>37169</v>
      </c>
      <c r="AS139" s="51">
        <f t="shared" si="26"/>
        <v>37176</v>
      </c>
      <c r="AT139" s="51">
        <f t="shared" si="26"/>
        <v>37183</v>
      </c>
      <c r="AU139" s="51">
        <f t="shared" si="26"/>
        <v>37190</v>
      </c>
      <c r="AV139" s="51">
        <f t="shared" si="26"/>
        <v>37197</v>
      </c>
      <c r="AW139" s="51">
        <f t="shared" si="26"/>
        <v>37204</v>
      </c>
      <c r="AX139" s="51">
        <f t="shared" si="26"/>
        <v>37211</v>
      </c>
      <c r="AY139" s="51">
        <f t="shared" si="26"/>
        <v>37218</v>
      </c>
      <c r="AZ139" s="51">
        <f t="shared" si="26"/>
        <v>37225</v>
      </c>
      <c r="BA139" s="51">
        <f t="shared" si="26"/>
        <v>37232</v>
      </c>
      <c r="BB139" s="51">
        <f t="shared" si="26"/>
        <v>37239</v>
      </c>
      <c r="BC139" s="51">
        <f t="shared" si="26"/>
        <v>37246</v>
      </c>
      <c r="BD139" s="51">
        <f t="shared" si="26"/>
        <v>37253</v>
      </c>
      <c r="BE139" s="40"/>
      <c r="BG139" s="50"/>
    </row>
    <row r="140" spans="1:59">
      <c r="A140" s="38"/>
      <c r="B140" s="38"/>
      <c r="C140" s="7"/>
      <c r="D140" s="40"/>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0"/>
      <c r="BG140" s="50"/>
    </row>
    <row r="141" spans="1:59">
      <c r="A141" s="45" t="s">
        <v>8</v>
      </c>
      <c r="B141" s="38"/>
      <c r="C141" s="7"/>
      <c r="D141" s="40"/>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0"/>
      <c r="BG141" s="50"/>
    </row>
    <row r="142" spans="1:59">
      <c r="A142" s="38"/>
      <c r="B142" s="38"/>
      <c r="C142" s="7"/>
      <c r="D142" s="40"/>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0"/>
      <c r="BG142" s="50"/>
    </row>
    <row r="143" spans="1:59">
      <c r="A143" s="38" t="s">
        <v>9</v>
      </c>
      <c r="B143" s="38" t="s">
        <v>10</v>
      </c>
      <c r="C143" s="18"/>
      <c r="D143" s="40"/>
      <c r="E143" s="52">
        <v>0</v>
      </c>
      <c r="F143" s="52">
        <v>0</v>
      </c>
      <c r="G143" s="52">
        <v>0</v>
      </c>
      <c r="H143" s="52">
        <v>0</v>
      </c>
      <c r="I143" s="52">
        <v>0</v>
      </c>
      <c r="J143" s="52">
        <v>0</v>
      </c>
      <c r="K143" s="52">
        <v>0</v>
      </c>
      <c r="L143" s="52">
        <v>0</v>
      </c>
      <c r="M143" s="52"/>
      <c r="N143" s="52">
        <v>0</v>
      </c>
      <c r="O143" s="52">
        <v>0</v>
      </c>
      <c r="P143" s="52">
        <v>0</v>
      </c>
      <c r="Q143" s="52">
        <v>0</v>
      </c>
      <c r="R143" s="52">
        <v>0</v>
      </c>
      <c r="S143" s="52">
        <v>0</v>
      </c>
      <c r="T143" s="52"/>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41">
        <v>0</v>
      </c>
      <c r="AM143" s="52">
        <v>0</v>
      </c>
      <c r="AN143" s="52">
        <v>0</v>
      </c>
      <c r="AO143" s="52">
        <v>0</v>
      </c>
      <c r="AP143" s="52">
        <v>0</v>
      </c>
      <c r="AQ143" s="52">
        <v>0</v>
      </c>
      <c r="AR143" s="52">
        <v>0</v>
      </c>
      <c r="AS143" s="52">
        <v>0</v>
      </c>
      <c r="AT143" s="52">
        <v>0</v>
      </c>
      <c r="AU143" s="52">
        <v>0</v>
      </c>
      <c r="AV143" s="52">
        <v>0</v>
      </c>
      <c r="AW143" s="52">
        <v>0</v>
      </c>
      <c r="AX143" s="52">
        <v>0</v>
      </c>
      <c r="AY143" s="41">
        <v>0</v>
      </c>
      <c r="AZ143" s="52">
        <v>0</v>
      </c>
      <c r="BA143" s="52">
        <v>0</v>
      </c>
      <c r="BB143" s="52">
        <v>0</v>
      </c>
      <c r="BC143" s="52">
        <v>0</v>
      </c>
      <c r="BD143" s="52"/>
      <c r="BE143" s="53"/>
      <c r="BF143" s="8">
        <f t="shared" ref="BF143:BF174" si="27">COUNT(E143:BD143)</f>
        <v>49</v>
      </c>
      <c r="BG143" s="50"/>
    </row>
    <row r="144" spans="1:59">
      <c r="A144" s="38" t="s">
        <v>11</v>
      </c>
      <c r="B144" s="38" t="s">
        <v>12</v>
      </c>
      <c r="C144" s="18"/>
      <c r="D144" s="40"/>
      <c r="E144" s="52">
        <v>712</v>
      </c>
      <c r="F144" s="52">
        <v>717</v>
      </c>
      <c r="G144" s="52">
        <v>719</v>
      </c>
      <c r="H144" s="52">
        <v>722</v>
      </c>
      <c r="I144" s="52">
        <v>726</v>
      </c>
      <c r="J144" s="52">
        <v>729</v>
      </c>
      <c r="K144" s="52">
        <v>736</v>
      </c>
      <c r="L144" s="52">
        <v>746</v>
      </c>
      <c r="M144" s="52"/>
      <c r="N144" s="52">
        <v>756</v>
      </c>
      <c r="O144" s="52">
        <v>757</v>
      </c>
      <c r="P144" s="52">
        <v>762</v>
      </c>
      <c r="Q144" s="52">
        <v>744</v>
      </c>
      <c r="R144" s="52">
        <v>729</v>
      </c>
      <c r="S144" s="52">
        <v>720</v>
      </c>
      <c r="T144" s="52"/>
      <c r="U144" s="52">
        <v>751</v>
      </c>
      <c r="V144" s="52">
        <v>597</v>
      </c>
      <c r="W144" s="52">
        <v>587</v>
      </c>
      <c r="X144" s="52">
        <v>604</v>
      </c>
      <c r="Y144" s="52">
        <v>607</v>
      </c>
      <c r="Z144" s="52">
        <v>609</v>
      </c>
      <c r="AA144" s="52">
        <v>624</v>
      </c>
      <c r="AB144" s="52">
        <v>616</v>
      </c>
      <c r="AC144" s="52">
        <v>610</v>
      </c>
      <c r="AD144" s="52">
        <v>603</v>
      </c>
      <c r="AE144" s="52">
        <v>600</v>
      </c>
      <c r="AF144" s="52">
        <v>598</v>
      </c>
      <c r="AG144" s="52">
        <v>582</v>
      </c>
      <c r="AH144" s="52">
        <v>564</v>
      </c>
      <c r="AI144" s="52">
        <v>564</v>
      </c>
      <c r="AJ144" s="52">
        <v>552</v>
      </c>
      <c r="AK144" s="52">
        <v>536</v>
      </c>
      <c r="AL144" s="41">
        <v>546</v>
      </c>
      <c r="AM144" s="52">
        <v>551</v>
      </c>
      <c r="AN144" s="52">
        <v>551</v>
      </c>
      <c r="AO144" s="52">
        <v>553</v>
      </c>
      <c r="AP144" s="52">
        <v>544</v>
      </c>
      <c r="AQ144" s="52">
        <v>546</v>
      </c>
      <c r="AR144" s="52">
        <v>552</v>
      </c>
      <c r="AS144" s="52">
        <v>553</v>
      </c>
      <c r="AT144" s="52">
        <v>568</v>
      </c>
      <c r="AU144" s="52">
        <v>562</v>
      </c>
      <c r="AV144" s="52">
        <v>565</v>
      </c>
      <c r="AW144" s="52">
        <v>566</v>
      </c>
      <c r="AX144" s="52">
        <v>565</v>
      </c>
      <c r="AY144" s="41">
        <v>567</v>
      </c>
      <c r="AZ144" s="52">
        <v>574</v>
      </c>
      <c r="BA144" s="52">
        <v>587</v>
      </c>
      <c r="BB144" s="52">
        <v>608</v>
      </c>
      <c r="BC144" s="52">
        <v>619</v>
      </c>
      <c r="BD144" s="52"/>
      <c r="BE144" s="53"/>
      <c r="BF144" s="8">
        <f t="shared" si="27"/>
        <v>49</v>
      </c>
      <c r="BG144" s="50"/>
    </row>
    <row r="145" spans="1:256">
      <c r="A145" s="54" t="s">
        <v>127</v>
      </c>
      <c r="B145" s="54" t="s">
        <v>14</v>
      </c>
      <c r="C145" s="19"/>
      <c r="D145" s="40"/>
      <c r="E145" s="55">
        <v>12.5</v>
      </c>
      <c r="F145" s="55">
        <v>12.6</v>
      </c>
      <c r="G145" s="55">
        <v>13.1</v>
      </c>
      <c r="H145" s="55">
        <v>12.3</v>
      </c>
      <c r="I145" s="55">
        <v>12.6</v>
      </c>
      <c r="J145" s="55">
        <v>12.4</v>
      </c>
      <c r="K145" s="55">
        <v>11.8</v>
      </c>
      <c r="L145" s="55">
        <v>11.5</v>
      </c>
      <c r="M145" s="55"/>
      <c r="N145" s="55">
        <v>12</v>
      </c>
      <c r="O145" s="55">
        <v>10.6</v>
      </c>
      <c r="P145" s="55">
        <v>12.3</v>
      </c>
      <c r="Q145" s="55">
        <v>11.8</v>
      </c>
      <c r="R145" s="55">
        <v>12.5</v>
      </c>
      <c r="S145" s="55">
        <v>12.1</v>
      </c>
      <c r="T145" s="55">
        <v>12.5</v>
      </c>
      <c r="U145" s="55">
        <v>11.6</v>
      </c>
      <c r="V145" s="55">
        <v>11.4</v>
      </c>
      <c r="W145" s="55">
        <v>10.7</v>
      </c>
      <c r="X145" s="55">
        <v>10</v>
      </c>
      <c r="Y145" s="55">
        <v>10.6</v>
      </c>
      <c r="Z145" s="55">
        <v>9.6</v>
      </c>
      <c r="AA145" s="55">
        <v>9.5</v>
      </c>
      <c r="AB145" s="55">
        <v>9.8000000000000007</v>
      </c>
      <c r="AC145" s="55">
        <v>9.1999999999999993</v>
      </c>
      <c r="AD145" s="55">
        <v>8.8000000000000007</v>
      </c>
      <c r="AE145" s="55">
        <v>9</v>
      </c>
      <c r="AF145" s="55">
        <v>8.5</v>
      </c>
      <c r="AG145" s="55">
        <v>8.5</v>
      </c>
      <c r="AH145" s="55">
        <v>8.4</v>
      </c>
      <c r="AI145" s="55">
        <v>8.4</v>
      </c>
      <c r="AJ145" s="55">
        <v>8.1999999999999993</v>
      </c>
      <c r="AK145" s="55">
        <v>8.4</v>
      </c>
      <c r="AL145" s="56">
        <v>9</v>
      </c>
      <c r="AM145" s="55">
        <v>9</v>
      </c>
      <c r="AN145" s="55">
        <v>9.1</v>
      </c>
      <c r="AO145" s="55">
        <v>10</v>
      </c>
      <c r="AP145" s="55">
        <v>9.6</v>
      </c>
      <c r="AQ145" s="55">
        <v>10</v>
      </c>
      <c r="AR145" s="55">
        <v>9.4</v>
      </c>
      <c r="AS145" s="55">
        <v>10.9</v>
      </c>
      <c r="AT145" s="55">
        <v>11.3</v>
      </c>
      <c r="AU145" s="55">
        <v>11.7</v>
      </c>
      <c r="AV145" s="55">
        <v>12.5</v>
      </c>
      <c r="AW145" s="55">
        <v>12.6</v>
      </c>
      <c r="AX145" s="55">
        <v>13</v>
      </c>
      <c r="AY145" s="41">
        <v>13.4</v>
      </c>
      <c r="AZ145" s="55">
        <v>12.8</v>
      </c>
      <c r="BA145" s="55">
        <v>12.6</v>
      </c>
      <c r="BB145" s="55">
        <v>12.9</v>
      </c>
      <c r="BC145" s="55">
        <v>12.5</v>
      </c>
      <c r="BD145" s="55">
        <v>13.5</v>
      </c>
      <c r="BE145" s="57"/>
      <c r="BF145" s="8">
        <f t="shared" si="27"/>
        <v>51</v>
      </c>
      <c r="BG145" s="50"/>
    </row>
    <row r="146" spans="1:256">
      <c r="A146" s="58" t="s">
        <v>128</v>
      </c>
      <c r="B146" s="58" t="s">
        <v>15</v>
      </c>
      <c r="C146" s="59" t="s">
        <v>16</v>
      </c>
      <c r="D146" s="60"/>
      <c r="E146" s="341">
        <f t="shared" ref="E146:AJ146" si="28">IF(OR(ISBLANK(E158),ISBLANK(E145)),"uncalcuable",((E145/VLOOKUP(E158,_86TABLE_OXYGEN,2))*100))</f>
        <v>92.661230541141578</v>
      </c>
      <c r="F146" s="341">
        <f t="shared" si="28"/>
        <v>93.195266272189343</v>
      </c>
      <c r="G146" s="341">
        <f t="shared" si="28"/>
        <v>97.907324364723465</v>
      </c>
      <c r="H146" s="341">
        <f t="shared" si="28"/>
        <v>92.481203007518801</v>
      </c>
      <c r="I146" s="341">
        <f t="shared" si="28"/>
        <v>93.959731543624159</v>
      </c>
      <c r="J146" s="341">
        <f t="shared" si="28"/>
        <v>92.953523238380811</v>
      </c>
      <c r="K146" s="341">
        <f t="shared" si="28"/>
        <v>89.191232048374914</v>
      </c>
      <c r="L146" s="341">
        <f t="shared" si="28"/>
        <v>86.206896551724142</v>
      </c>
      <c r="M146" s="341" t="str">
        <f t="shared" si="28"/>
        <v>uncalcuable</v>
      </c>
      <c r="N146" s="341">
        <f t="shared" si="28"/>
        <v>90.429540316503392</v>
      </c>
      <c r="O146" s="341">
        <f t="shared" si="28"/>
        <v>80.792682926829272</v>
      </c>
      <c r="P146" s="341">
        <f t="shared" si="28"/>
        <v>92.481203007518801</v>
      </c>
      <c r="Q146" s="341">
        <f t="shared" si="28"/>
        <v>91.331269349845215</v>
      </c>
      <c r="R146" s="341">
        <f t="shared" si="28"/>
        <v>97.809076682316118</v>
      </c>
      <c r="S146" s="341">
        <f t="shared" si="28"/>
        <v>96.184419713831474</v>
      </c>
      <c r="T146" s="341">
        <f t="shared" si="28"/>
        <v>101.46103896103895</v>
      </c>
      <c r="U146" s="341">
        <f t="shared" si="28"/>
        <v>96.026490066225165</v>
      </c>
      <c r="V146" s="341">
        <f t="shared" si="28"/>
        <v>96.528365791701944</v>
      </c>
      <c r="W146" s="341">
        <f t="shared" si="28"/>
        <v>97.096188747731389</v>
      </c>
      <c r="X146" s="341">
        <f t="shared" si="28"/>
        <v>97.751710654936446</v>
      </c>
      <c r="Y146" s="341">
        <f t="shared" si="28"/>
        <v>99.34395501405811</v>
      </c>
      <c r="Z146" s="341">
        <f t="shared" si="28"/>
        <v>97.067745197168847</v>
      </c>
      <c r="AA146" s="341">
        <f t="shared" si="28"/>
        <v>95.09509509509509</v>
      </c>
      <c r="AB146" s="341">
        <f t="shared" si="28"/>
        <v>101.87110187110189</v>
      </c>
      <c r="AC146" s="341">
        <f t="shared" si="28"/>
        <v>96.033402922755727</v>
      </c>
      <c r="AD146" s="341">
        <f t="shared" si="28"/>
        <v>97.560975609756113</v>
      </c>
      <c r="AE146" s="341">
        <f t="shared" si="28"/>
        <v>97.613882863340564</v>
      </c>
      <c r="AF146" s="341">
        <f t="shared" si="28"/>
        <v>95.291479820627799</v>
      </c>
      <c r="AG146" s="341">
        <f t="shared" si="28"/>
        <v>96.045197740112997</v>
      </c>
      <c r="AH146" s="341">
        <f t="shared" si="28"/>
        <v>97.109826589595372</v>
      </c>
      <c r="AI146" s="341">
        <f t="shared" si="28"/>
        <v>95.454545454545453</v>
      </c>
      <c r="AJ146" s="341">
        <f t="shared" si="28"/>
        <v>96.470588235294102</v>
      </c>
      <c r="AK146" s="341">
        <f t="shared" ref="AK146:BD146" si="29">IF(OR(ISBLANK(AK158),ISBLANK(AK145)),"uncalcuable",((AK145/VLOOKUP(AK158,_86TABLE_OXYGEN,2))*100))</f>
        <v>94.382022471910105</v>
      </c>
      <c r="AL146" s="341">
        <f t="shared" si="29"/>
        <v>101.12359550561798</v>
      </c>
      <c r="AM146" s="341">
        <f t="shared" si="29"/>
        <v>99.337748344370851</v>
      </c>
      <c r="AN146" s="341">
        <f t="shared" si="29"/>
        <v>96.500530222693527</v>
      </c>
      <c r="AO146" s="341">
        <f t="shared" si="29"/>
        <v>101.5228426395939</v>
      </c>
      <c r="AP146" s="341">
        <f t="shared" si="29"/>
        <v>95.617529880478088</v>
      </c>
      <c r="AQ146" s="341">
        <f t="shared" si="29"/>
        <v>96.246390760346472</v>
      </c>
      <c r="AR146" s="341">
        <f t="shared" si="29"/>
        <v>92.885375494071155</v>
      </c>
      <c r="AS146" s="341">
        <f t="shared" si="29"/>
        <v>96.63120567375887</v>
      </c>
      <c r="AT146" s="341">
        <f t="shared" si="29"/>
        <v>91.720779220779221</v>
      </c>
      <c r="AU146" s="341">
        <f t="shared" si="29"/>
        <v>93.749999999999986</v>
      </c>
      <c r="AV146" s="341">
        <f t="shared" si="29"/>
        <v>94.696969696969703</v>
      </c>
      <c r="AW146" s="341">
        <f t="shared" si="29"/>
        <v>96.256684491978604</v>
      </c>
      <c r="AX146" s="341">
        <f t="shared" si="29"/>
        <v>96.942580164056665</v>
      </c>
      <c r="AY146" s="341">
        <f t="shared" si="29"/>
        <v>98.529411764705884</v>
      </c>
      <c r="AZ146" s="341">
        <f t="shared" si="29"/>
        <v>88.704088704088718</v>
      </c>
      <c r="BA146" s="341">
        <f t="shared" si="29"/>
        <v>119.88582302568982</v>
      </c>
      <c r="BB146" s="341">
        <f t="shared" si="29"/>
        <v>92.473118279569903</v>
      </c>
      <c r="BC146" s="341">
        <f t="shared" si="29"/>
        <v>91.174325309992696</v>
      </c>
      <c r="BD146" s="341">
        <f t="shared" si="29"/>
        <v>99.264705882352942</v>
      </c>
      <c r="BE146" s="57"/>
      <c r="BF146" s="8">
        <f t="shared" si="27"/>
        <v>51</v>
      </c>
      <c r="BG146" s="50"/>
    </row>
    <row r="147" spans="1:256">
      <c r="A147" s="36" t="s">
        <v>129</v>
      </c>
      <c r="B147" s="36" t="s">
        <v>19</v>
      </c>
      <c r="C147" s="11"/>
      <c r="D147" s="40"/>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41"/>
      <c r="AM147" s="52"/>
      <c r="AN147" s="52"/>
      <c r="AO147" s="52"/>
      <c r="AP147" s="52"/>
      <c r="AQ147" s="52"/>
      <c r="AR147" s="52"/>
      <c r="AS147" s="52"/>
      <c r="AT147" s="52"/>
      <c r="AU147" s="52"/>
      <c r="AV147" s="52"/>
      <c r="AW147" s="52"/>
      <c r="AX147" s="52"/>
      <c r="AY147" s="41"/>
      <c r="AZ147" s="52"/>
      <c r="BA147" s="52"/>
      <c r="BB147" s="52"/>
      <c r="BC147" s="52"/>
      <c r="BD147" s="52"/>
      <c r="BE147" s="53"/>
      <c r="BF147" s="8">
        <f t="shared" si="27"/>
        <v>0</v>
      </c>
      <c r="BG147" s="50"/>
    </row>
    <row r="148" spans="1:256">
      <c r="A148" s="36" t="s">
        <v>130</v>
      </c>
      <c r="B148" s="36" t="s">
        <v>19</v>
      </c>
      <c r="C148" s="11" t="s">
        <v>16</v>
      </c>
      <c r="D148" s="40"/>
      <c r="E148" s="52">
        <v>4</v>
      </c>
      <c r="F148" s="52">
        <v>5</v>
      </c>
      <c r="G148" s="52">
        <v>4</v>
      </c>
      <c r="H148" s="52">
        <v>4</v>
      </c>
      <c r="I148" s="52"/>
      <c r="J148" s="52">
        <v>5</v>
      </c>
      <c r="K148" s="52"/>
      <c r="L148" s="52">
        <v>6</v>
      </c>
      <c r="M148" s="52"/>
      <c r="N148" s="52">
        <v>4</v>
      </c>
      <c r="O148" s="52"/>
      <c r="P148" s="52">
        <v>6</v>
      </c>
      <c r="Q148" s="52">
        <v>16</v>
      </c>
      <c r="R148" s="52">
        <v>23</v>
      </c>
      <c r="S148" s="52">
        <v>18</v>
      </c>
      <c r="T148" s="52">
        <v>14</v>
      </c>
      <c r="U148" s="52">
        <v>12</v>
      </c>
      <c r="V148" s="52">
        <v>11</v>
      </c>
      <c r="W148" s="52">
        <v>12</v>
      </c>
      <c r="X148" s="52">
        <v>10</v>
      </c>
      <c r="Y148" s="52">
        <v>10</v>
      </c>
      <c r="Z148" s="52">
        <v>11</v>
      </c>
      <c r="AA148" s="52">
        <v>0</v>
      </c>
      <c r="AB148" s="52">
        <v>0</v>
      </c>
      <c r="AC148" s="52">
        <v>0</v>
      </c>
      <c r="AD148" s="52">
        <v>0</v>
      </c>
      <c r="AE148" s="52">
        <v>0</v>
      </c>
      <c r="AF148" s="52">
        <v>1</v>
      </c>
      <c r="AG148" s="52">
        <v>0</v>
      </c>
      <c r="AH148" s="52">
        <v>1</v>
      </c>
      <c r="AI148" s="52">
        <v>2</v>
      </c>
      <c r="AJ148" s="52">
        <v>2</v>
      </c>
      <c r="AK148" s="52">
        <v>1</v>
      </c>
      <c r="AL148" s="41">
        <v>4</v>
      </c>
      <c r="AM148" s="52">
        <v>3</v>
      </c>
      <c r="AN148" s="52">
        <v>6</v>
      </c>
      <c r="AO148" s="52">
        <v>5</v>
      </c>
      <c r="AP148" s="52">
        <v>5</v>
      </c>
      <c r="AQ148" s="52">
        <v>6</v>
      </c>
      <c r="AR148" s="52">
        <v>8</v>
      </c>
      <c r="AS148" s="52">
        <v>5</v>
      </c>
      <c r="AT148" s="52">
        <v>6</v>
      </c>
      <c r="AU148" s="52">
        <v>7</v>
      </c>
      <c r="AV148" s="52">
        <v>6</v>
      </c>
      <c r="AW148" s="52">
        <v>3</v>
      </c>
      <c r="AX148" s="52">
        <v>5</v>
      </c>
      <c r="AY148" s="41">
        <v>5</v>
      </c>
      <c r="AZ148" s="52">
        <v>11</v>
      </c>
      <c r="BA148" s="52">
        <v>16</v>
      </c>
      <c r="BB148" s="52">
        <v>12</v>
      </c>
      <c r="BC148" s="52">
        <v>16</v>
      </c>
      <c r="BD148" s="52"/>
      <c r="BE148" s="53"/>
      <c r="BF148" s="8">
        <f t="shared" si="27"/>
        <v>47</v>
      </c>
      <c r="BG148" s="50"/>
    </row>
    <row r="149" spans="1:256">
      <c r="A149" s="61" t="s">
        <v>131</v>
      </c>
      <c r="B149" s="36" t="s">
        <v>19</v>
      </c>
      <c r="C149" s="11"/>
      <c r="D149" s="40"/>
      <c r="E149" s="52"/>
      <c r="F149" s="52"/>
      <c r="G149" s="52"/>
      <c r="H149" s="52"/>
      <c r="I149" s="52"/>
      <c r="J149" s="52"/>
      <c r="K149" s="52"/>
      <c r="L149" s="52"/>
      <c r="M149" s="52"/>
      <c r="N149" s="52"/>
      <c r="O149" s="52"/>
      <c r="P149" s="52"/>
      <c r="Q149" s="52"/>
      <c r="R149" s="52"/>
      <c r="S149" s="52"/>
      <c r="T149" s="52"/>
      <c r="U149" s="52"/>
      <c r="V149" s="52"/>
      <c r="W149" s="52"/>
      <c r="X149" s="52"/>
      <c r="Y149" s="52"/>
      <c r="Z149" s="52"/>
      <c r="AA149" s="52">
        <v>38</v>
      </c>
      <c r="AB149" s="52">
        <v>27</v>
      </c>
      <c r="AC149" s="52">
        <v>85</v>
      </c>
      <c r="AD149" s="52">
        <v>133</v>
      </c>
      <c r="AE149" s="52">
        <v>116</v>
      </c>
      <c r="AF149" s="52">
        <v>90</v>
      </c>
      <c r="AG149" s="52">
        <v>87</v>
      </c>
      <c r="AH149" s="52">
        <v>80</v>
      </c>
      <c r="AI149" s="52">
        <v>115</v>
      </c>
      <c r="AJ149" s="52">
        <v>55</v>
      </c>
      <c r="AK149" s="52">
        <v>52</v>
      </c>
      <c r="AL149" s="41">
        <v>82</v>
      </c>
      <c r="AM149" s="52">
        <v>90</v>
      </c>
      <c r="AN149" s="52">
        <v>80</v>
      </c>
      <c r="AO149" s="52">
        <v>93</v>
      </c>
      <c r="AP149" s="52">
        <v>50</v>
      </c>
      <c r="AQ149" s="52">
        <v>40</v>
      </c>
      <c r="AR149" s="52">
        <v>37</v>
      </c>
      <c r="AS149" s="52">
        <v>33</v>
      </c>
      <c r="AT149" s="52">
        <v>20</v>
      </c>
      <c r="AU149" s="52">
        <v>23</v>
      </c>
      <c r="AV149" s="52">
        <v>17</v>
      </c>
      <c r="AW149" s="52">
        <v>11</v>
      </c>
      <c r="AX149" s="52">
        <v>15</v>
      </c>
      <c r="AY149" s="41">
        <v>11</v>
      </c>
      <c r="AZ149" s="52"/>
      <c r="BA149" s="52"/>
      <c r="BB149" s="52"/>
      <c r="BC149" s="52"/>
      <c r="BD149" s="52"/>
      <c r="BE149" s="53"/>
      <c r="BF149" s="8">
        <f t="shared" si="27"/>
        <v>25</v>
      </c>
      <c r="BG149" s="50"/>
    </row>
    <row r="150" spans="1:256" ht="33" customHeight="1">
      <c r="A150" s="62" t="s">
        <v>132</v>
      </c>
      <c r="B150" s="63" t="s">
        <v>15</v>
      </c>
      <c r="C150" s="64"/>
      <c r="D150" s="65"/>
      <c r="E150" s="66">
        <f t="shared" ref="E150:AJ150" si="30">IF(OR(ISBLANK(E19),(AND(ISBLANK(E148),ISBLANK(E149)))),"uncalcuable",IF(AND(ISBLANK(E149),COUNT(E148)&gt;0),(E19-E148)/E19,(E19-E149)/E19))</f>
        <v>0.66666666666666663</v>
      </c>
      <c r="F150" s="66">
        <f t="shared" si="30"/>
        <v>0.6875</v>
      </c>
      <c r="G150" s="66">
        <f t="shared" si="30"/>
        <v>0.66666666666666663</v>
      </c>
      <c r="H150" s="66">
        <f t="shared" si="30"/>
        <v>0.7142857142857143</v>
      </c>
      <c r="I150" s="66" t="str">
        <f t="shared" si="30"/>
        <v>uncalcuable</v>
      </c>
      <c r="J150" s="66">
        <f t="shared" si="30"/>
        <v>0.5</v>
      </c>
      <c r="K150" s="66" t="str">
        <f t="shared" si="30"/>
        <v>uncalcuable</v>
      </c>
      <c r="L150" s="66">
        <f t="shared" si="30"/>
        <v>0.66666666666666663</v>
      </c>
      <c r="M150" s="66" t="str">
        <f t="shared" si="30"/>
        <v>uncalcuable</v>
      </c>
      <c r="N150" s="66">
        <f t="shared" si="30"/>
        <v>0.6</v>
      </c>
      <c r="O150" s="66" t="str">
        <f t="shared" si="30"/>
        <v>uncalcuable</v>
      </c>
      <c r="P150" s="66">
        <f t="shared" si="30"/>
        <v>0.5714285714285714</v>
      </c>
      <c r="Q150" s="66">
        <f t="shared" si="30"/>
        <v>0.54285714285714282</v>
      </c>
      <c r="R150" s="66">
        <f t="shared" si="30"/>
        <v>0.58181818181818179</v>
      </c>
      <c r="S150" s="66">
        <f t="shared" si="30"/>
        <v>0.90526315789473688</v>
      </c>
      <c r="T150" s="66">
        <f t="shared" si="30"/>
        <v>0.86</v>
      </c>
      <c r="U150" s="66">
        <f t="shared" si="30"/>
        <v>0.94</v>
      </c>
      <c r="V150" s="66">
        <f t="shared" si="30"/>
        <v>0.91538461538461535</v>
      </c>
      <c r="W150" s="66">
        <f t="shared" si="30"/>
        <v>0.85882352941176465</v>
      </c>
      <c r="X150" s="66">
        <f t="shared" si="30"/>
        <v>0.88888888888888884</v>
      </c>
      <c r="Y150" s="66">
        <f t="shared" si="30"/>
        <v>0.875</v>
      </c>
      <c r="Z150" s="66">
        <f t="shared" si="30"/>
        <v>0.89</v>
      </c>
      <c r="AA150" s="66">
        <f t="shared" si="30"/>
        <v>0.55294117647058827</v>
      </c>
      <c r="AB150" s="66">
        <f t="shared" si="30"/>
        <v>0.82</v>
      </c>
      <c r="AC150" s="66">
        <f t="shared" si="30"/>
        <v>0.57499999999999996</v>
      </c>
      <c r="AD150" s="66">
        <f t="shared" si="30"/>
        <v>0.59076923076923082</v>
      </c>
      <c r="AE150" s="66">
        <f t="shared" si="30"/>
        <v>0.30120481927710846</v>
      </c>
      <c r="AF150" s="66">
        <f t="shared" si="30"/>
        <v>0.55000000000000004</v>
      </c>
      <c r="AG150" s="66">
        <f t="shared" si="30"/>
        <v>0</v>
      </c>
      <c r="AH150" s="66">
        <f t="shared" si="30"/>
        <v>0.13978494623655913</v>
      </c>
      <c r="AI150" s="66">
        <f t="shared" si="30"/>
        <v>0.08</v>
      </c>
      <c r="AJ150" s="66">
        <f t="shared" si="30"/>
        <v>0.42105263157894735</v>
      </c>
      <c r="AK150" s="66">
        <f t="shared" ref="AK150:BD150" si="31">IF(OR(ISBLANK(AK19),(AND(ISBLANK(AK148),ISBLANK(AK149)))),"uncalcuable",IF(AND(ISBLANK(AK149),COUNT(AK148)&gt;0),(AK19-AK148)/AK19,(AK19-AK149)/AK19))</f>
        <v>0.5357142857142857</v>
      </c>
      <c r="AL150" s="66">
        <f t="shared" si="31"/>
        <v>0.1368421052631579</v>
      </c>
      <c r="AM150" s="66">
        <f t="shared" si="31"/>
        <v>0.4</v>
      </c>
      <c r="AN150" s="66">
        <f t="shared" si="31"/>
        <v>0.44444444444444442</v>
      </c>
      <c r="AO150" s="66">
        <f t="shared" si="31"/>
        <v>0.23770491803278687</v>
      </c>
      <c r="AP150" s="66">
        <f t="shared" si="31"/>
        <v>0.375</v>
      </c>
      <c r="AQ150" s="66">
        <f t="shared" si="31"/>
        <v>0.33333333333333331</v>
      </c>
      <c r="AR150" s="66">
        <f t="shared" si="31"/>
        <v>0.53749999999999998</v>
      </c>
      <c r="AS150" s="66">
        <f t="shared" si="31"/>
        <v>0.23255813953488372</v>
      </c>
      <c r="AT150" s="66">
        <f t="shared" si="31"/>
        <v>0.6</v>
      </c>
      <c r="AU150" s="66">
        <f t="shared" si="31"/>
        <v>0.23333333333333334</v>
      </c>
      <c r="AV150" s="66">
        <f t="shared" si="31"/>
        <v>-6.25E-2</v>
      </c>
      <c r="AW150" s="66">
        <f t="shared" si="31"/>
        <v>0.42105263157894735</v>
      </c>
      <c r="AX150" s="66">
        <f t="shared" si="31"/>
        <v>0.31818181818181818</v>
      </c>
      <c r="AY150" s="66">
        <f t="shared" si="31"/>
        <v>0.35294117647058826</v>
      </c>
      <c r="AZ150" s="66">
        <f t="shared" si="31"/>
        <v>0.59259259259259256</v>
      </c>
      <c r="BA150" s="66">
        <f t="shared" si="31"/>
        <v>0</v>
      </c>
      <c r="BB150" s="66">
        <f t="shared" si="31"/>
        <v>0.55555555555555558</v>
      </c>
      <c r="BC150" s="66">
        <f t="shared" si="31"/>
        <v>0.46666666666666667</v>
      </c>
      <c r="BD150" s="66" t="str">
        <f t="shared" si="31"/>
        <v>uncalcuable</v>
      </c>
      <c r="BE150" s="53"/>
      <c r="BF150" s="8">
        <f t="shared" si="27"/>
        <v>47</v>
      </c>
      <c r="BG150" s="50"/>
    </row>
    <row r="151" spans="1:256" ht="17">
      <c r="A151" s="62" t="s">
        <v>133</v>
      </c>
      <c r="B151" s="63" t="s">
        <v>15</v>
      </c>
      <c r="C151" s="64"/>
      <c r="D151" s="65"/>
      <c r="E151" s="66">
        <f t="shared" ref="E151:AJ151" si="32">IF(OR(COUNT(E19)=0,COUNT(E148)=0),"uncalcuable",(E19-E148)/E19)</f>
        <v>0.66666666666666663</v>
      </c>
      <c r="F151" s="66">
        <f t="shared" si="32"/>
        <v>0.6875</v>
      </c>
      <c r="G151" s="66">
        <f t="shared" si="32"/>
        <v>0.66666666666666663</v>
      </c>
      <c r="H151" s="66">
        <f t="shared" si="32"/>
        <v>0.7142857142857143</v>
      </c>
      <c r="I151" s="66" t="str">
        <f t="shared" si="32"/>
        <v>uncalcuable</v>
      </c>
      <c r="J151" s="66">
        <f t="shared" si="32"/>
        <v>0.5</v>
      </c>
      <c r="K151" s="66" t="str">
        <f t="shared" si="32"/>
        <v>uncalcuable</v>
      </c>
      <c r="L151" s="66">
        <f t="shared" si="32"/>
        <v>0.66666666666666663</v>
      </c>
      <c r="M151" s="66" t="str">
        <f t="shared" si="32"/>
        <v>uncalcuable</v>
      </c>
      <c r="N151" s="66">
        <f t="shared" si="32"/>
        <v>0.6</v>
      </c>
      <c r="O151" s="66" t="str">
        <f t="shared" si="32"/>
        <v>uncalcuable</v>
      </c>
      <c r="P151" s="66">
        <f t="shared" si="32"/>
        <v>0.5714285714285714</v>
      </c>
      <c r="Q151" s="66">
        <f t="shared" si="32"/>
        <v>0.54285714285714282</v>
      </c>
      <c r="R151" s="66">
        <f t="shared" si="32"/>
        <v>0.58181818181818179</v>
      </c>
      <c r="S151" s="66">
        <f t="shared" si="32"/>
        <v>0.90526315789473688</v>
      </c>
      <c r="T151" s="66">
        <f t="shared" si="32"/>
        <v>0.86</v>
      </c>
      <c r="U151" s="66">
        <f t="shared" si="32"/>
        <v>0.94</v>
      </c>
      <c r="V151" s="66">
        <f t="shared" si="32"/>
        <v>0.91538461538461535</v>
      </c>
      <c r="W151" s="66">
        <f t="shared" si="32"/>
        <v>0.85882352941176465</v>
      </c>
      <c r="X151" s="66">
        <f t="shared" si="32"/>
        <v>0.88888888888888884</v>
      </c>
      <c r="Y151" s="66">
        <f t="shared" si="32"/>
        <v>0.875</v>
      </c>
      <c r="Z151" s="66">
        <f t="shared" si="32"/>
        <v>0.89</v>
      </c>
      <c r="AA151" s="66">
        <f t="shared" si="32"/>
        <v>1</v>
      </c>
      <c r="AB151" s="66">
        <f t="shared" si="32"/>
        <v>1</v>
      </c>
      <c r="AC151" s="66">
        <f t="shared" si="32"/>
        <v>1</v>
      </c>
      <c r="AD151" s="66">
        <f t="shared" si="32"/>
        <v>1</v>
      </c>
      <c r="AE151" s="66">
        <f t="shared" si="32"/>
        <v>1</v>
      </c>
      <c r="AF151" s="66">
        <f t="shared" si="32"/>
        <v>0.995</v>
      </c>
      <c r="AG151" s="66">
        <f t="shared" si="32"/>
        <v>1</v>
      </c>
      <c r="AH151" s="66">
        <f t="shared" si="32"/>
        <v>0.989247311827957</v>
      </c>
      <c r="AI151" s="66">
        <f t="shared" si="32"/>
        <v>0.98399999999999999</v>
      </c>
      <c r="AJ151" s="66">
        <f t="shared" si="32"/>
        <v>0.97894736842105268</v>
      </c>
      <c r="AK151" s="66">
        <f t="shared" ref="AK151:BD151" si="33">IF(OR(COUNT(AK19)=0,COUNT(AK148)=0),"uncalcuable",(AK19-AK148)/AK19)</f>
        <v>0.9910714285714286</v>
      </c>
      <c r="AL151" s="66">
        <f t="shared" si="33"/>
        <v>0.95789473684210524</v>
      </c>
      <c r="AM151" s="66">
        <f t="shared" si="33"/>
        <v>0.98</v>
      </c>
      <c r="AN151" s="66">
        <f t="shared" si="33"/>
        <v>0.95833333333333337</v>
      </c>
      <c r="AO151" s="66">
        <f t="shared" si="33"/>
        <v>0.95901639344262291</v>
      </c>
      <c r="AP151" s="66">
        <f t="shared" si="33"/>
        <v>0.9375</v>
      </c>
      <c r="AQ151" s="66">
        <f t="shared" si="33"/>
        <v>0.9</v>
      </c>
      <c r="AR151" s="66">
        <f t="shared" si="33"/>
        <v>0.9</v>
      </c>
      <c r="AS151" s="66">
        <f t="shared" si="33"/>
        <v>0.88372093023255816</v>
      </c>
      <c r="AT151" s="66">
        <f t="shared" si="33"/>
        <v>0.88</v>
      </c>
      <c r="AU151" s="66">
        <f t="shared" si="33"/>
        <v>0.76666666666666672</v>
      </c>
      <c r="AV151" s="66">
        <f t="shared" si="33"/>
        <v>0.625</v>
      </c>
      <c r="AW151" s="66">
        <f t="shared" si="33"/>
        <v>0.84210526315789469</v>
      </c>
      <c r="AX151" s="66">
        <f t="shared" si="33"/>
        <v>0.77272727272727271</v>
      </c>
      <c r="AY151" s="66">
        <f t="shared" si="33"/>
        <v>0.70588235294117652</v>
      </c>
      <c r="AZ151" s="66">
        <f t="shared" si="33"/>
        <v>0.59259259259259256</v>
      </c>
      <c r="BA151" s="66">
        <f t="shared" si="33"/>
        <v>0</v>
      </c>
      <c r="BB151" s="66">
        <f t="shared" si="33"/>
        <v>0.55555555555555558</v>
      </c>
      <c r="BC151" s="66">
        <f t="shared" si="33"/>
        <v>0.46666666666666667</v>
      </c>
      <c r="BD151" s="66" t="str">
        <f t="shared" si="33"/>
        <v>uncalcuable</v>
      </c>
      <c r="BE151" s="53"/>
      <c r="BF151" s="8">
        <f t="shared" si="27"/>
        <v>47</v>
      </c>
      <c r="BG151" s="50"/>
    </row>
    <row r="152" spans="1:256">
      <c r="A152" s="36" t="s">
        <v>20</v>
      </c>
      <c r="B152" s="36" t="s">
        <v>134</v>
      </c>
      <c r="C152" s="11"/>
      <c r="D152" s="53"/>
      <c r="E152" s="52">
        <v>122</v>
      </c>
      <c r="F152" s="52">
        <v>86</v>
      </c>
      <c r="G152" s="52"/>
      <c r="H152" s="52">
        <v>87</v>
      </c>
      <c r="I152" s="52">
        <v>106</v>
      </c>
      <c r="J152" s="52"/>
      <c r="K152" s="52"/>
      <c r="L152" s="52">
        <v>170</v>
      </c>
      <c r="M152" s="52"/>
      <c r="N152" s="52">
        <v>50</v>
      </c>
      <c r="O152" s="52">
        <v>119</v>
      </c>
      <c r="P152" s="52"/>
      <c r="Q152" s="52">
        <v>512</v>
      </c>
      <c r="R152" s="52"/>
      <c r="S152" s="52">
        <v>689</v>
      </c>
      <c r="T152" s="52"/>
      <c r="U152" s="52">
        <v>311</v>
      </c>
      <c r="V152" s="52">
        <v>95</v>
      </c>
      <c r="W152" s="52">
        <v>128</v>
      </c>
      <c r="X152" s="52">
        <v>151.79</v>
      </c>
      <c r="Y152" s="52">
        <v>150</v>
      </c>
      <c r="Z152" s="52">
        <v>255.06</v>
      </c>
      <c r="AA152" s="52">
        <v>564.38</v>
      </c>
      <c r="AB152" s="52">
        <v>477</v>
      </c>
      <c r="AC152" s="52">
        <v>200</v>
      </c>
      <c r="AD152" s="52">
        <v>374</v>
      </c>
      <c r="AE152" s="52">
        <v>369</v>
      </c>
      <c r="AF152" s="52">
        <v>265</v>
      </c>
      <c r="AG152" s="52">
        <v>279</v>
      </c>
      <c r="AH152" s="67">
        <v>524</v>
      </c>
      <c r="AI152" s="52">
        <v>228</v>
      </c>
      <c r="AJ152" s="52">
        <v>149</v>
      </c>
      <c r="AK152" s="52">
        <v>116</v>
      </c>
      <c r="AL152" s="52">
        <v>116</v>
      </c>
      <c r="AM152" s="52">
        <v>136</v>
      </c>
      <c r="AN152" s="52">
        <v>122</v>
      </c>
      <c r="AO152" s="52">
        <v>79</v>
      </c>
      <c r="AP152" s="52">
        <v>55</v>
      </c>
      <c r="AQ152" s="52">
        <v>78</v>
      </c>
      <c r="AR152" s="52">
        <v>65</v>
      </c>
      <c r="AS152" s="52">
        <v>89</v>
      </c>
      <c r="AT152" s="52"/>
      <c r="AU152" s="52">
        <v>50</v>
      </c>
      <c r="AV152" s="52">
        <v>48</v>
      </c>
      <c r="AW152" s="52">
        <v>40</v>
      </c>
      <c r="AX152" s="52">
        <v>35</v>
      </c>
      <c r="AY152" s="52">
        <v>87</v>
      </c>
      <c r="AZ152" s="52"/>
      <c r="BA152" s="52">
        <v>138</v>
      </c>
      <c r="BB152" s="52">
        <v>113</v>
      </c>
      <c r="BC152" s="52">
        <v>101</v>
      </c>
      <c r="BD152" s="52"/>
      <c r="BE152" s="53"/>
      <c r="BF152" s="8">
        <f t="shared" si="27"/>
        <v>42</v>
      </c>
      <c r="BG152" s="5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68" t="s">
        <v>22</v>
      </c>
      <c r="B153" s="68" t="s">
        <v>23</v>
      </c>
      <c r="C153" s="11" t="s">
        <v>16</v>
      </c>
      <c r="D153" s="40"/>
      <c r="E153" s="69">
        <v>7.27</v>
      </c>
      <c r="F153" s="69">
        <v>7.46</v>
      </c>
      <c r="G153" s="69">
        <v>7.43</v>
      </c>
      <c r="H153" s="69">
        <v>7.38</v>
      </c>
      <c r="I153" s="69">
        <v>7.25</v>
      </c>
      <c r="J153" s="69">
        <v>7.24</v>
      </c>
      <c r="K153" s="69">
        <v>7.42</v>
      </c>
      <c r="L153" s="69">
        <v>7.24</v>
      </c>
      <c r="M153" s="69"/>
      <c r="N153" s="69">
        <v>7.4</v>
      </c>
      <c r="O153" s="69">
        <v>7.1</v>
      </c>
      <c r="P153" s="69">
        <v>7.26</v>
      </c>
      <c r="Q153" s="69">
        <v>7.28</v>
      </c>
      <c r="R153" s="69">
        <v>7.2</v>
      </c>
      <c r="S153" s="69">
        <v>7.41</v>
      </c>
      <c r="T153" s="69">
        <v>7.46</v>
      </c>
      <c r="U153" s="69">
        <v>7.43</v>
      </c>
      <c r="V153" s="69">
        <v>7.25</v>
      </c>
      <c r="W153" s="69">
        <v>7.32</v>
      </c>
      <c r="X153" s="69">
        <v>7.32</v>
      </c>
      <c r="Y153" s="69">
        <v>7.3</v>
      </c>
      <c r="Z153" s="69">
        <v>7.27</v>
      </c>
      <c r="AA153" s="69">
        <v>7.58</v>
      </c>
      <c r="AB153" s="69">
        <v>7.34</v>
      </c>
      <c r="AC153" s="69">
        <v>7.41</v>
      </c>
      <c r="AD153" s="69">
        <v>7.45</v>
      </c>
      <c r="AE153" s="69">
        <v>7.64</v>
      </c>
      <c r="AF153" s="69">
        <v>7.36</v>
      </c>
      <c r="AG153" s="69">
        <v>7.39</v>
      </c>
      <c r="AH153" s="69">
        <v>7.39</v>
      </c>
      <c r="AI153" s="69">
        <v>7.44</v>
      </c>
      <c r="AJ153" s="69">
        <v>7.33</v>
      </c>
      <c r="AK153" s="69">
        <v>7.26</v>
      </c>
      <c r="AL153" s="41">
        <v>7.19</v>
      </c>
      <c r="AM153" s="69">
        <v>7.08</v>
      </c>
      <c r="AN153" s="69">
        <v>7.14</v>
      </c>
      <c r="AO153" s="69">
        <v>7.25</v>
      </c>
      <c r="AP153" s="69">
        <v>7.19</v>
      </c>
      <c r="AQ153" s="69">
        <v>7.25</v>
      </c>
      <c r="AR153" s="69">
        <v>7.19</v>
      </c>
      <c r="AS153" s="69">
        <v>7.26</v>
      </c>
      <c r="AT153" s="69">
        <v>7.3</v>
      </c>
      <c r="AU153" s="69">
        <v>7.31</v>
      </c>
      <c r="AV153" s="69">
        <v>7.18</v>
      </c>
      <c r="AW153" s="69">
        <v>7.2</v>
      </c>
      <c r="AX153" s="69">
        <v>7.08</v>
      </c>
      <c r="AY153" s="41">
        <v>7.33</v>
      </c>
      <c r="AZ153" s="69">
        <v>7.43</v>
      </c>
      <c r="BA153" s="69">
        <v>7.14</v>
      </c>
      <c r="BB153" s="69">
        <v>7.33</v>
      </c>
      <c r="BC153" s="69">
        <v>7.3</v>
      </c>
      <c r="BD153" s="69">
        <v>7.3</v>
      </c>
      <c r="BE153" s="70"/>
      <c r="BF153" s="8">
        <f t="shared" si="27"/>
        <v>51</v>
      </c>
      <c r="BG153" s="50"/>
    </row>
    <row r="154" spans="1:256">
      <c r="A154" s="68" t="s">
        <v>135</v>
      </c>
      <c r="B154" s="68" t="s">
        <v>23</v>
      </c>
      <c r="C154" s="11"/>
      <c r="D154" s="40"/>
      <c r="E154" s="69">
        <v>7.2</v>
      </c>
      <c r="F154" s="69">
        <v>7.16</v>
      </c>
      <c r="G154" s="69">
        <v>7.17</v>
      </c>
      <c r="H154" s="69">
        <v>7.03</v>
      </c>
      <c r="I154" s="69">
        <v>7.06</v>
      </c>
      <c r="J154" s="69">
        <v>7.02</v>
      </c>
      <c r="K154" s="69">
        <v>7.09</v>
      </c>
      <c r="L154" s="69">
        <v>7.04</v>
      </c>
      <c r="M154" s="69"/>
      <c r="N154" s="69">
        <v>7.13</v>
      </c>
      <c r="O154" s="69">
        <v>7.06</v>
      </c>
      <c r="P154" s="69">
        <v>7.08</v>
      </c>
      <c r="Q154" s="69">
        <v>7.02</v>
      </c>
      <c r="R154" s="69"/>
      <c r="S154" s="69">
        <v>7.02</v>
      </c>
      <c r="T154" s="69">
        <v>7.07</v>
      </c>
      <c r="U154" s="69">
        <v>7.09</v>
      </c>
      <c r="V154" s="69">
        <v>6.98</v>
      </c>
      <c r="W154" s="69">
        <v>7.05</v>
      </c>
      <c r="X154" s="69">
        <v>7.03</v>
      </c>
      <c r="Y154" s="69">
        <v>7.06</v>
      </c>
      <c r="Z154" s="69">
        <v>7.09</v>
      </c>
      <c r="AA154" s="69">
        <v>7.1</v>
      </c>
      <c r="AB154" s="69">
        <v>7.13</v>
      </c>
      <c r="AC154" s="69">
        <v>7.12</v>
      </c>
      <c r="AD154" s="69">
        <v>6.98</v>
      </c>
      <c r="AE154" s="69">
        <v>7.25</v>
      </c>
      <c r="AF154" s="69">
        <v>6.94</v>
      </c>
      <c r="AG154" s="69">
        <v>7</v>
      </c>
      <c r="AH154" s="69">
        <v>6.96</v>
      </c>
      <c r="AI154" s="69">
        <v>6.97</v>
      </c>
      <c r="AJ154" s="71">
        <v>7.03</v>
      </c>
      <c r="AK154" s="69">
        <v>6.96</v>
      </c>
      <c r="AL154" s="41">
        <v>6.95</v>
      </c>
      <c r="AM154" s="69">
        <v>6.83</v>
      </c>
      <c r="AN154" s="69">
        <v>6.89</v>
      </c>
      <c r="AO154" s="69">
        <v>6.79</v>
      </c>
      <c r="AP154" s="69">
        <v>6.94</v>
      </c>
      <c r="AQ154" s="69">
        <v>6.9</v>
      </c>
      <c r="AR154" s="69">
        <v>6.97</v>
      </c>
      <c r="AS154" s="69">
        <v>6.94</v>
      </c>
      <c r="AT154" s="69">
        <v>6.96</v>
      </c>
      <c r="AU154" s="69">
        <v>6.92</v>
      </c>
      <c r="AV154" s="69">
        <v>6.95</v>
      </c>
      <c r="AW154" s="69">
        <v>6.94</v>
      </c>
      <c r="AX154" s="69">
        <v>6.78</v>
      </c>
      <c r="AY154" s="41">
        <v>7.08</v>
      </c>
      <c r="AZ154" s="69">
        <v>7.16</v>
      </c>
      <c r="BA154" s="69">
        <v>7.13</v>
      </c>
      <c r="BB154" s="69">
        <v>7.17</v>
      </c>
      <c r="BC154" s="69">
        <v>7.19</v>
      </c>
      <c r="BD154" s="69"/>
      <c r="BE154" s="70"/>
      <c r="BF154" s="8">
        <f t="shared" si="27"/>
        <v>49</v>
      </c>
      <c r="BG154" s="50"/>
    </row>
    <row r="155" spans="1:256">
      <c r="A155" s="54" t="s">
        <v>24</v>
      </c>
      <c r="B155" s="54" t="s">
        <v>14</v>
      </c>
      <c r="C155" s="19"/>
      <c r="D155" s="40"/>
      <c r="E155" s="55"/>
      <c r="F155" s="55">
        <v>0.4</v>
      </c>
      <c r="G155" s="55">
        <v>0.4</v>
      </c>
      <c r="H155" s="55">
        <v>0.2</v>
      </c>
      <c r="I155" s="55"/>
      <c r="J155" s="55">
        <v>0.4</v>
      </c>
      <c r="K155" s="55"/>
      <c r="L155" s="55">
        <v>0.5</v>
      </c>
      <c r="M155" s="55"/>
      <c r="N155" s="55">
        <v>0.6</v>
      </c>
      <c r="O155" s="55"/>
      <c r="P155" s="55">
        <v>0.5</v>
      </c>
      <c r="Q155" s="55">
        <v>0.4</v>
      </c>
      <c r="R155" s="55"/>
      <c r="S155" s="55">
        <v>0.2</v>
      </c>
      <c r="T155" s="55"/>
      <c r="U155" s="55">
        <v>0.5</v>
      </c>
      <c r="V155" s="55">
        <v>0.2</v>
      </c>
      <c r="W155" s="55">
        <v>0.2</v>
      </c>
      <c r="X155" s="55">
        <v>0.2</v>
      </c>
      <c r="Y155" s="55">
        <v>0.1</v>
      </c>
      <c r="Z155" s="55">
        <v>0.4</v>
      </c>
      <c r="AA155" s="55">
        <v>0.2</v>
      </c>
      <c r="AB155" s="55">
        <v>0.3</v>
      </c>
      <c r="AC155" s="55">
        <v>0.4</v>
      </c>
      <c r="AD155" s="55">
        <v>0.2</v>
      </c>
      <c r="AE155" s="55">
        <v>0</v>
      </c>
      <c r="AF155" s="55">
        <v>0.2</v>
      </c>
      <c r="AG155" s="55">
        <v>0.2</v>
      </c>
      <c r="AH155" s="55">
        <v>0.3</v>
      </c>
      <c r="AI155" s="55">
        <v>0.4</v>
      </c>
      <c r="AJ155" s="55">
        <v>0.5</v>
      </c>
      <c r="AK155" s="55">
        <v>0.3</v>
      </c>
      <c r="AL155" s="41">
        <v>0.4</v>
      </c>
      <c r="AM155" s="55">
        <v>0.2</v>
      </c>
      <c r="AN155" s="55">
        <v>0.3</v>
      </c>
      <c r="AO155" s="55">
        <v>0.3</v>
      </c>
      <c r="AP155" s="55">
        <v>0.3</v>
      </c>
      <c r="AQ155" s="55">
        <v>0.3</v>
      </c>
      <c r="AR155" s="55">
        <v>0.4</v>
      </c>
      <c r="AS155" s="55">
        <v>0.3</v>
      </c>
      <c r="AT155" s="55">
        <v>0.3</v>
      </c>
      <c r="AU155" s="55">
        <v>0.2</v>
      </c>
      <c r="AV155" s="55">
        <v>0.3</v>
      </c>
      <c r="AW155" s="55">
        <v>0.2</v>
      </c>
      <c r="AX155" s="55">
        <v>0.4</v>
      </c>
      <c r="AY155" s="41">
        <v>0.4</v>
      </c>
      <c r="AZ155" s="55">
        <v>0.3</v>
      </c>
      <c r="BA155" s="55">
        <v>0.6</v>
      </c>
      <c r="BB155" s="55">
        <v>0.7</v>
      </c>
      <c r="BC155" s="55">
        <v>0.3</v>
      </c>
      <c r="BD155" s="55"/>
      <c r="BE155" s="57"/>
      <c r="BF155" s="8">
        <f t="shared" si="27"/>
        <v>44</v>
      </c>
      <c r="BG155" s="50"/>
    </row>
    <row r="156" spans="1:256">
      <c r="A156" s="38" t="s">
        <v>25</v>
      </c>
      <c r="B156" s="54" t="s">
        <v>14</v>
      </c>
      <c r="C156" s="19"/>
      <c r="D156" s="40"/>
      <c r="E156" s="55"/>
      <c r="F156" s="55">
        <v>0.1</v>
      </c>
      <c r="G156" s="55">
        <v>0.2</v>
      </c>
      <c r="H156" s="55">
        <v>0.2</v>
      </c>
      <c r="I156" s="55"/>
      <c r="J156" s="55">
        <v>0.2</v>
      </c>
      <c r="K156" s="55"/>
      <c r="L156" s="55">
        <v>0.3</v>
      </c>
      <c r="M156" s="55"/>
      <c r="N156" s="55">
        <v>0.2</v>
      </c>
      <c r="O156" s="55"/>
      <c r="P156" s="55">
        <v>0.4</v>
      </c>
      <c r="Q156" s="55">
        <v>0.3</v>
      </c>
      <c r="R156" s="55"/>
      <c r="S156" s="55">
        <v>0.1</v>
      </c>
      <c r="T156" s="55"/>
      <c r="U156" s="55">
        <v>0.5</v>
      </c>
      <c r="V156" s="55">
        <v>0.2</v>
      </c>
      <c r="W156" s="55">
        <v>0.1</v>
      </c>
      <c r="X156" s="55">
        <v>0.2</v>
      </c>
      <c r="Y156" s="55">
        <v>0.3</v>
      </c>
      <c r="Z156" s="55">
        <v>0.7</v>
      </c>
      <c r="AA156" s="55">
        <v>0.1</v>
      </c>
      <c r="AB156" s="55">
        <v>0.2</v>
      </c>
      <c r="AC156" s="55">
        <v>0.2</v>
      </c>
      <c r="AD156" s="55">
        <v>0.2</v>
      </c>
      <c r="AE156" s="55">
        <v>0</v>
      </c>
      <c r="AF156" s="55">
        <v>0.2</v>
      </c>
      <c r="AG156" s="55">
        <v>0.1</v>
      </c>
      <c r="AH156" s="55">
        <v>0.2</v>
      </c>
      <c r="AI156" s="55">
        <v>0.3</v>
      </c>
      <c r="AJ156" s="55">
        <v>0.2</v>
      </c>
      <c r="AK156" s="55">
        <v>0.2</v>
      </c>
      <c r="AL156" s="41">
        <v>0.4</v>
      </c>
      <c r="AM156" s="55">
        <v>0.2</v>
      </c>
      <c r="AN156" s="55">
        <v>0.2</v>
      </c>
      <c r="AO156" s="55">
        <v>0.1</v>
      </c>
      <c r="AP156" s="55">
        <v>0.2</v>
      </c>
      <c r="AQ156" s="55">
        <v>0.3</v>
      </c>
      <c r="AR156" s="55">
        <v>0.3</v>
      </c>
      <c r="AS156" s="55">
        <v>0.2</v>
      </c>
      <c r="AT156" s="55">
        <v>0.2</v>
      </c>
      <c r="AU156" s="55">
        <v>0.2</v>
      </c>
      <c r="AV156" s="55">
        <v>0.2</v>
      </c>
      <c r="AW156" s="55">
        <v>0.2</v>
      </c>
      <c r="AX156" s="55">
        <v>0.2</v>
      </c>
      <c r="AY156" s="41">
        <v>0.3</v>
      </c>
      <c r="AZ156" s="55">
        <v>0.3</v>
      </c>
      <c r="BA156" s="55">
        <v>0.3</v>
      </c>
      <c r="BB156" s="55">
        <v>0.3</v>
      </c>
      <c r="BC156" s="55">
        <v>0.2</v>
      </c>
      <c r="BD156" s="55"/>
      <c r="BE156" s="57"/>
      <c r="BF156" s="8">
        <f t="shared" si="27"/>
        <v>44</v>
      </c>
      <c r="BG156" s="50"/>
    </row>
    <row r="157" spans="1:256">
      <c r="A157" s="38" t="s">
        <v>26</v>
      </c>
      <c r="B157" s="54" t="s">
        <v>14</v>
      </c>
      <c r="C157" s="19"/>
      <c r="D157" s="40"/>
      <c r="E157" s="55"/>
      <c r="F157" s="55">
        <v>0.3</v>
      </c>
      <c r="G157" s="55">
        <v>0.2</v>
      </c>
      <c r="H157" s="55">
        <v>0</v>
      </c>
      <c r="I157" s="55"/>
      <c r="J157" s="55">
        <v>0.2</v>
      </c>
      <c r="K157" s="55"/>
      <c r="L157" s="55">
        <v>0.2</v>
      </c>
      <c r="M157" s="55"/>
      <c r="N157" s="55">
        <v>0.4</v>
      </c>
      <c r="O157" s="55"/>
      <c r="P157" s="55">
        <v>0.1</v>
      </c>
      <c r="Q157" s="55">
        <v>0.1</v>
      </c>
      <c r="R157" s="55"/>
      <c r="S157" s="55">
        <v>0.1</v>
      </c>
      <c r="T157" s="55"/>
      <c r="U157" s="55">
        <v>0</v>
      </c>
      <c r="V157" s="55">
        <v>0</v>
      </c>
      <c r="W157" s="55">
        <v>0.1</v>
      </c>
      <c r="X157" s="55">
        <v>0</v>
      </c>
      <c r="Y157" s="55">
        <v>0.1</v>
      </c>
      <c r="Z157" s="55">
        <v>0.3</v>
      </c>
      <c r="AA157" s="55">
        <v>0.1</v>
      </c>
      <c r="AB157" s="55">
        <v>0.1</v>
      </c>
      <c r="AC157" s="55">
        <v>0.2</v>
      </c>
      <c r="AD157" s="55">
        <v>0</v>
      </c>
      <c r="AE157" s="55">
        <v>0</v>
      </c>
      <c r="AF157" s="55">
        <v>20.9</v>
      </c>
      <c r="AG157" s="55">
        <v>0.1</v>
      </c>
      <c r="AH157" s="55">
        <v>0.1</v>
      </c>
      <c r="AI157" s="55">
        <v>0.1</v>
      </c>
      <c r="AJ157" s="55">
        <v>0.3</v>
      </c>
      <c r="AK157" s="55">
        <v>0.1</v>
      </c>
      <c r="AL157" s="41">
        <v>0</v>
      </c>
      <c r="AM157" s="55">
        <v>0</v>
      </c>
      <c r="AN157" s="55">
        <v>0.1</v>
      </c>
      <c r="AO157" s="55">
        <v>0.2</v>
      </c>
      <c r="AP157" s="55">
        <v>0.1</v>
      </c>
      <c r="AQ157" s="55">
        <v>0</v>
      </c>
      <c r="AR157" s="55">
        <v>0.1</v>
      </c>
      <c r="AS157" s="55">
        <v>0.1</v>
      </c>
      <c r="AT157" s="55">
        <v>0.1</v>
      </c>
      <c r="AU157" s="55">
        <v>0</v>
      </c>
      <c r="AV157" s="55">
        <v>0.1</v>
      </c>
      <c r="AW157" s="55">
        <v>0</v>
      </c>
      <c r="AX157" s="55">
        <v>0.2</v>
      </c>
      <c r="AY157" s="41">
        <v>0.1</v>
      </c>
      <c r="AZ157" s="55">
        <v>0</v>
      </c>
      <c r="BA157" s="55">
        <v>0.3</v>
      </c>
      <c r="BB157" s="55">
        <v>0.4</v>
      </c>
      <c r="BC157" s="55">
        <v>0.1</v>
      </c>
      <c r="BD157" s="55"/>
      <c r="BE157" s="57"/>
      <c r="BF157" s="8">
        <f t="shared" si="27"/>
        <v>44</v>
      </c>
      <c r="BG157" s="50"/>
    </row>
    <row r="158" spans="1:256">
      <c r="A158" s="38" t="s">
        <v>27</v>
      </c>
      <c r="B158" s="35" t="s">
        <v>28</v>
      </c>
      <c r="C158" s="72"/>
      <c r="D158" s="40"/>
      <c r="E158" s="55">
        <v>2.9</v>
      </c>
      <c r="F158" s="55">
        <v>2.8</v>
      </c>
      <c r="G158" s="55">
        <v>3.2</v>
      </c>
      <c r="H158" s="55">
        <v>3.4</v>
      </c>
      <c r="I158" s="55">
        <v>3.1</v>
      </c>
      <c r="J158" s="55">
        <v>3.3</v>
      </c>
      <c r="K158" s="55">
        <v>3.6</v>
      </c>
      <c r="L158" s="55">
        <v>3.3</v>
      </c>
      <c r="M158" s="55"/>
      <c r="N158" s="55">
        <v>3.5</v>
      </c>
      <c r="O158" s="55">
        <v>3.9</v>
      </c>
      <c r="P158" s="55">
        <v>3.4</v>
      </c>
      <c r="Q158" s="55">
        <v>4.5</v>
      </c>
      <c r="R158" s="55">
        <v>4.9000000000000004</v>
      </c>
      <c r="S158" s="55">
        <v>5.5</v>
      </c>
      <c r="T158" s="55">
        <v>6.3</v>
      </c>
      <c r="U158" s="55">
        <v>7.1</v>
      </c>
      <c r="V158" s="55">
        <v>8</v>
      </c>
      <c r="W158" s="55">
        <v>10.9</v>
      </c>
      <c r="X158" s="55">
        <v>14.2</v>
      </c>
      <c r="Y158" s="55">
        <v>12.3</v>
      </c>
      <c r="Z158" s="55">
        <v>15.8</v>
      </c>
      <c r="AA158" s="55">
        <v>15.3</v>
      </c>
      <c r="AB158" s="55">
        <v>17.100000000000001</v>
      </c>
      <c r="AC158" s="55">
        <v>17.3</v>
      </c>
      <c r="AD158" s="55">
        <v>20.3</v>
      </c>
      <c r="AE158" s="55">
        <v>19.2</v>
      </c>
      <c r="AF158" s="55">
        <v>20.9</v>
      </c>
      <c r="AG158" s="55">
        <v>21.3</v>
      </c>
      <c r="AH158" s="55">
        <v>22.5</v>
      </c>
      <c r="AI158" s="55">
        <v>21.6</v>
      </c>
      <c r="AJ158" s="55">
        <v>23.4</v>
      </c>
      <c r="AK158" s="55">
        <v>21</v>
      </c>
      <c r="AL158" s="56">
        <v>21</v>
      </c>
      <c r="AM158" s="55">
        <v>20.100000000000001</v>
      </c>
      <c r="AN158" s="55">
        <v>18.100000000000001</v>
      </c>
      <c r="AO158" s="55">
        <v>16</v>
      </c>
      <c r="AP158" s="55">
        <v>15.1</v>
      </c>
      <c r="AQ158" s="55">
        <v>13.5</v>
      </c>
      <c r="AR158" s="55">
        <v>14.7</v>
      </c>
      <c r="AS158" s="55">
        <v>9.9</v>
      </c>
      <c r="AT158" s="55">
        <v>6.3</v>
      </c>
      <c r="AU158" s="55">
        <v>5.8</v>
      </c>
      <c r="AV158" s="55">
        <v>3.7</v>
      </c>
      <c r="AW158" s="55">
        <v>4</v>
      </c>
      <c r="AX158" s="55">
        <v>3.1</v>
      </c>
      <c r="AY158" s="41">
        <v>2.6</v>
      </c>
      <c r="AZ158" s="55">
        <v>0.5</v>
      </c>
      <c r="BA158" s="55">
        <v>13</v>
      </c>
      <c r="BB158" s="55">
        <v>1.7</v>
      </c>
      <c r="BC158" s="55">
        <v>2.2999999999999998</v>
      </c>
      <c r="BD158" s="55">
        <v>2.6</v>
      </c>
      <c r="BE158" s="57"/>
      <c r="BF158" s="8">
        <f t="shared" si="27"/>
        <v>51</v>
      </c>
      <c r="BG158" s="50"/>
    </row>
    <row r="159" spans="1:256">
      <c r="A159" s="68" t="s">
        <v>29</v>
      </c>
      <c r="B159" s="68" t="s">
        <v>30</v>
      </c>
      <c r="C159" s="27"/>
      <c r="D159" s="40"/>
      <c r="E159" s="69">
        <v>0.08</v>
      </c>
      <c r="F159" s="69">
        <v>0.14000000000000001</v>
      </c>
      <c r="G159" s="69">
        <v>0.08</v>
      </c>
      <c r="H159" s="69">
        <v>0.08</v>
      </c>
      <c r="I159" s="69">
        <v>0.09</v>
      </c>
      <c r="J159" s="69">
        <v>0.08</v>
      </c>
      <c r="K159" s="69">
        <v>7.0000000000000007E-2</v>
      </c>
      <c r="L159" s="69">
        <v>7.0000000000000007E-2</v>
      </c>
      <c r="M159" s="69"/>
      <c r="N159" s="69">
        <v>7.0000000000000007E-2</v>
      </c>
      <c r="O159" s="69">
        <v>0.1</v>
      </c>
      <c r="P159" s="69">
        <v>0.08</v>
      </c>
      <c r="Q159" s="69">
        <v>0.11</v>
      </c>
      <c r="R159" s="69">
        <v>7.0000000000000007E-2</v>
      </c>
      <c r="S159" s="69">
        <v>0.08</v>
      </c>
      <c r="T159" s="69">
        <v>0.08</v>
      </c>
      <c r="U159" s="69">
        <v>0.11</v>
      </c>
      <c r="V159" s="69">
        <v>7.0000000000000007E-2</v>
      </c>
      <c r="W159" s="69">
        <v>0.08</v>
      </c>
      <c r="X159" s="69">
        <v>0.08</v>
      </c>
      <c r="Y159" s="69">
        <v>0.06</v>
      </c>
      <c r="Z159" s="69">
        <v>0.06</v>
      </c>
      <c r="AA159" s="69">
        <v>0.08</v>
      </c>
      <c r="AB159" s="69">
        <v>0.08</v>
      </c>
      <c r="AC159" s="69">
        <v>0.08</v>
      </c>
      <c r="AD159" s="69">
        <v>0.1</v>
      </c>
      <c r="AE159" s="69">
        <v>0.12</v>
      </c>
      <c r="AF159" s="69">
        <v>0.1</v>
      </c>
      <c r="AG159" s="69">
        <v>0.09</v>
      </c>
      <c r="AH159" s="69">
        <v>0.12</v>
      </c>
      <c r="AI159" s="69">
        <v>0.12</v>
      </c>
      <c r="AJ159" s="69">
        <v>0.1</v>
      </c>
      <c r="AK159" s="69">
        <v>0.09</v>
      </c>
      <c r="AL159" s="41">
        <v>0.09</v>
      </c>
      <c r="AM159" s="69">
        <v>0.09</v>
      </c>
      <c r="AN159" s="69">
        <v>0.1</v>
      </c>
      <c r="AO159" s="69">
        <v>0.09</v>
      </c>
      <c r="AP159" s="69">
        <v>0.09</v>
      </c>
      <c r="AQ159" s="69">
        <v>0.09</v>
      </c>
      <c r="AR159" s="69">
        <v>0.09</v>
      </c>
      <c r="AS159" s="69">
        <v>0.09</v>
      </c>
      <c r="AT159" s="69">
        <v>0.09</v>
      </c>
      <c r="AU159" s="69">
        <v>0.09</v>
      </c>
      <c r="AV159" s="69">
        <v>0.08</v>
      </c>
      <c r="AW159" s="69">
        <v>0.1</v>
      </c>
      <c r="AX159" s="69">
        <v>0.06</v>
      </c>
      <c r="AY159" s="41">
        <v>7.0000000000000007E-2</v>
      </c>
      <c r="AZ159" s="69">
        <v>0.12</v>
      </c>
      <c r="BA159" s="69">
        <v>0.13</v>
      </c>
      <c r="BB159" s="69">
        <v>0.15</v>
      </c>
      <c r="BC159" s="69">
        <v>0.15</v>
      </c>
      <c r="BD159" s="69">
        <v>0.15</v>
      </c>
      <c r="BE159" s="70"/>
      <c r="BF159" s="8">
        <f t="shared" si="27"/>
        <v>51</v>
      </c>
      <c r="BG159" s="50"/>
    </row>
    <row r="160" spans="1:256">
      <c r="A160" s="73" t="s">
        <v>136</v>
      </c>
      <c r="B160" s="73" t="s">
        <v>32</v>
      </c>
      <c r="C160" s="74"/>
      <c r="D160" s="60"/>
      <c r="E160" s="75" t="str">
        <f t="shared" ref="E160:AH160" si="34">IF(AND(AND(AND(AND(AND(AND(AND(E169,E171),E172),E174),E175),E176),E177&gt;0),E215&gt;0),(E169+E170+E171+E172+E174+E175+E176+E177+E215),"uncalcuable")</f>
        <v>uncalcuable</v>
      </c>
      <c r="F160" s="75">
        <f t="shared" si="34"/>
        <v>550.65</v>
      </c>
      <c r="G160" s="75">
        <f t="shared" si="34"/>
        <v>560.32999999999993</v>
      </c>
      <c r="H160" s="75">
        <f t="shared" si="34"/>
        <v>558.26</v>
      </c>
      <c r="I160" s="75">
        <f t="shared" si="34"/>
        <v>566.79999999999995</v>
      </c>
      <c r="J160" s="75">
        <f t="shared" si="34"/>
        <v>567.5100000000001</v>
      </c>
      <c r="K160" s="75" t="str">
        <f t="shared" si="34"/>
        <v>uncalcuable</v>
      </c>
      <c r="L160" s="75">
        <f t="shared" si="34"/>
        <v>574.27999999999986</v>
      </c>
      <c r="M160" s="75" t="e">
        <f t="shared" si="34"/>
        <v>#VALUE!</v>
      </c>
      <c r="N160" s="75">
        <f t="shared" si="34"/>
        <v>590.25</v>
      </c>
      <c r="O160" s="75">
        <f t="shared" si="34"/>
        <v>590.59</v>
      </c>
      <c r="P160" s="75">
        <f t="shared" si="34"/>
        <v>582.30000000000007</v>
      </c>
      <c r="Q160" s="75">
        <f t="shared" si="34"/>
        <v>581.16</v>
      </c>
      <c r="R160" s="75">
        <f t="shared" si="34"/>
        <v>561.46</v>
      </c>
      <c r="S160" s="75">
        <f t="shared" si="34"/>
        <v>554.36</v>
      </c>
      <c r="T160" s="75">
        <f t="shared" si="34"/>
        <v>568.9</v>
      </c>
      <c r="U160" s="75">
        <f t="shared" si="34"/>
        <v>584</v>
      </c>
      <c r="V160" s="75">
        <f t="shared" si="34"/>
        <v>448.98</v>
      </c>
      <c r="W160" s="75">
        <f t="shared" si="34"/>
        <v>444.59000000000003</v>
      </c>
      <c r="X160" s="75">
        <f t="shared" si="34"/>
        <v>453.89</v>
      </c>
      <c r="Y160" s="75">
        <f t="shared" si="34"/>
        <v>455.03</v>
      </c>
      <c r="Z160" s="75">
        <f t="shared" si="34"/>
        <v>463.13000000000005</v>
      </c>
      <c r="AA160" s="75">
        <f t="shared" si="34"/>
        <v>476.21999999999997</v>
      </c>
      <c r="AB160" s="75">
        <f t="shared" si="34"/>
        <v>471.35999999999996</v>
      </c>
      <c r="AC160" s="75">
        <f t="shared" si="34"/>
        <v>463</v>
      </c>
      <c r="AD160" s="75">
        <f t="shared" si="34"/>
        <v>447.84000000000003</v>
      </c>
      <c r="AE160" s="75" t="str">
        <f t="shared" si="34"/>
        <v>uncalcuable</v>
      </c>
      <c r="AF160" s="75">
        <f t="shared" si="34"/>
        <v>445.2</v>
      </c>
      <c r="AG160" s="75">
        <f t="shared" si="34"/>
        <v>433.32</v>
      </c>
      <c r="AH160" s="75">
        <f t="shared" si="34"/>
        <v>414.71</v>
      </c>
      <c r="AI160" s="75">
        <v>0</v>
      </c>
      <c r="AJ160" s="75">
        <f t="shared" ref="AJ160:BD160" si="35">IF(AND(AND(AND(AND(AND(AND(AND(AJ169,AJ171),AJ172),AJ174),AJ175),AJ176),AJ177&gt;0),AJ215&gt;0),(AJ169+AJ170+AJ171+AJ172+AJ174+AJ175+AJ176+AJ177+AJ215),"uncalcuable")</f>
        <v>401.46</v>
      </c>
      <c r="AK160" s="75">
        <f t="shared" si="35"/>
        <v>401.75</v>
      </c>
      <c r="AL160" s="75">
        <f t="shared" si="35"/>
        <v>401.98</v>
      </c>
      <c r="AM160" s="75">
        <f t="shared" si="35"/>
        <v>399.38000000000005</v>
      </c>
      <c r="AN160" s="75">
        <f t="shared" si="35"/>
        <v>405.43999999999994</v>
      </c>
      <c r="AO160" s="75">
        <f t="shared" si="35"/>
        <v>404.18999999999994</v>
      </c>
      <c r="AP160" s="75">
        <f t="shared" si="35"/>
        <v>402.98999999999995</v>
      </c>
      <c r="AQ160" s="75">
        <f t="shared" si="35"/>
        <v>404.78999999999996</v>
      </c>
      <c r="AR160" s="75">
        <f t="shared" si="35"/>
        <v>408.06</v>
      </c>
      <c r="AS160" s="75">
        <f t="shared" si="35"/>
        <v>410.16</v>
      </c>
      <c r="AT160" s="75">
        <f t="shared" si="35"/>
        <v>418.55</v>
      </c>
      <c r="AU160" s="75">
        <f t="shared" si="35"/>
        <v>417.90999999999997</v>
      </c>
      <c r="AV160" s="75">
        <f t="shared" si="35"/>
        <v>416.66</v>
      </c>
      <c r="AW160" s="75">
        <f t="shared" si="35"/>
        <v>422.8</v>
      </c>
      <c r="AX160" s="75">
        <f t="shared" si="35"/>
        <v>420.68</v>
      </c>
      <c r="AY160" s="75">
        <f t="shared" si="35"/>
        <v>427.40999999999997</v>
      </c>
      <c r="AZ160" s="75">
        <f t="shared" si="35"/>
        <v>430.97</v>
      </c>
      <c r="BA160" s="75">
        <f t="shared" si="35"/>
        <v>449.91</v>
      </c>
      <c r="BB160" s="75">
        <f t="shared" si="35"/>
        <v>462.07</v>
      </c>
      <c r="BC160" s="75">
        <f t="shared" si="35"/>
        <v>473.72999999999996</v>
      </c>
      <c r="BD160" s="75" t="e">
        <f t="shared" si="35"/>
        <v>#VALUE!</v>
      </c>
      <c r="BE160" s="53"/>
      <c r="BF160" s="8">
        <f t="shared" si="27"/>
        <v>47</v>
      </c>
      <c r="BG160" s="50"/>
    </row>
    <row r="161" spans="1:59">
      <c r="A161" s="73" t="s">
        <v>137</v>
      </c>
      <c r="B161" s="73" t="s">
        <v>138</v>
      </c>
      <c r="C161" s="74"/>
      <c r="D161" s="60"/>
      <c r="E161" s="76">
        <f t="shared" ref="E161:AJ161" si="36">IF(AND(E20,E152&gt;0),LOG10(E20/E152),"uncalcuable")</f>
        <v>1.952339792345875</v>
      </c>
      <c r="F161" s="76">
        <f t="shared" si="36"/>
        <v>2.1171170717614221</v>
      </c>
      <c r="G161" s="76" t="str">
        <f t="shared" si="36"/>
        <v>uncalcuable</v>
      </c>
      <c r="H161" s="76">
        <f t="shared" si="36"/>
        <v>2.0473867787621027</v>
      </c>
      <c r="I161" s="76">
        <f t="shared" si="36"/>
        <v>1.9772489428837121</v>
      </c>
      <c r="J161" s="76" t="str">
        <f t="shared" si="36"/>
        <v>uncalcuable</v>
      </c>
      <c r="K161" s="76" t="str">
        <f t="shared" si="36"/>
        <v>uncalcuable</v>
      </c>
      <c r="L161" s="76">
        <f t="shared" si="36"/>
        <v>1.9118779617759891</v>
      </c>
      <c r="M161" s="76" t="str">
        <f t="shared" si="36"/>
        <v>uncalcuable</v>
      </c>
      <c r="N161" s="76">
        <f t="shared" si="36"/>
        <v>2.4384980469073123</v>
      </c>
      <c r="O161" s="76">
        <f t="shared" si="36"/>
        <v>2.1787110058313042</v>
      </c>
      <c r="P161" s="76" t="str">
        <f t="shared" si="36"/>
        <v>uncalcuable</v>
      </c>
      <c r="Q161" s="76">
        <f t="shared" si="36"/>
        <v>1.9765881708582376</v>
      </c>
      <c r="R161" s="76" t="str">
        <f t="shared" si="36"/>
        <v>uncalcuable</v>
      </c>
      <c r="S161" s="76">
        <f t="shared" si="36"/>
        <v>1.9215165939902599</v>
      </c>
      <c r="T161" s="76" t="str">
        <f t="shared" si="36"/>
        <v>uncalcuable</v>
      </c>
      <c r="U161" s="76">
        <f t="shared" si="36"/>
        <v>2.1527895952127216</v>
      </c>
      <c r="V161" s="76">
        <f t="shared" si="36"/>
        <v>2.6389514176677982</v>
      </c>
      <c r="W161" s="76">
        <f t="shared" si="36"/>
        <v>2.6567119401161112</v>
      </c>
      <c r="X161" s="76">
        <f t="shared" si="36"/>
        <v>2.5592853184075071</v>
      </c>
      <c r="Y161" s="76">
        <f t="shared" si="36"/>
        <v>2.5683112620131796</v>
      </c>
      <c r="Z161" s="76">
        <f t="shared" si="36"/>
        <v>2.3593364266269861</v>
      </c>
      <c r="AA161" s="76">
        <f t="shared" si="36"/>
        <v>1.8704520642193427</v>
      </c>
      <c r="AB161" s="76">
        <f t="shared" si="36"/>
        <v>2.0377270997743264</v>
      </c>
      <c r="AC161" s="76">
        <f t="shared" si="36"/>
        <v>2.4055171069763763</v>
      </c>
      <c r="AD161" s="76">
        <f t="shared" si="36"/>
        <v>2.1696340489193933</v>
      </c>
      <c r="AE161" s="76">
        <f t="shared" si="36"/>
        <v>2.2347613839759584</v>
      </c>
      <c r="AF161" s="76">
        <f t="shared" si="36"/>
        <v>2.1135397563138913</v>
      </c>
      <c r="AG161" s="76">
        <f t="shared" si="36"/>
        <v>2.24366024719086</v>
      </c>
      <c r="AH161" s="76">
        <f t="shared" si="36"/>
        <v>2.0469923123668963</v>
      </c>
      <c r="AI161" s="76">
        <f t="shared" si="36"/>
        <v>2.4792620447576934</v>
      </c>
      <c r="AJ161" s="76">
        <f t="shared" si="36"/>
        <v>2.5601313943705928</v>
      </c>
      <c r="AK161" s="76">
        <f t="shared" ref="AK161:BD161" si="37">IF(AND(AK20,AK152&gt;0),LOG10(AK20/AK152),"uncalcuable")</f>
        <v>2.5654814113082511</v>
      </c>
      <c r="AL161" s="76">
        <f t="shared" si="37"/>
        <v>2.5433078989993616</v>
      </c>
      <c r="AM161" s="76">
        <f t="shared" si="37"/>
        <v>2.3941038793865363</v>
      </c>
      <c r="AN161" s="76">
        <f t="shared" si="37"/>
        <v>2.4891628463149913</v>
      </c>
      <c r="AO161" s="76">
        <f t="shared" si="37"/>
        <v>2.5796678464876859</v>
      </c>
      <c r="AP161" s="76">
        <f t="shared" si="37"/>
        <v>2.9619989058475724</v>
      </c>
      <c r="AQ161" s="76">
        <f t="shared" si="37"/>
        <v>2.7075810933685069</v>
      </c>
      <c r="AR161" s="76">
        <f t="shared" si="37"/>
        <v>2.8448020462260399</v>
      </c>
      <c r="AS161" s="76">
        <f t="shared" si="37"/>
        <v>2.9308860994732568</v>
      </c>
      <c r="AT161" s="76" t="str">
        <f t="shared" si="37"/>
        <v>uncalcuable</v>
      </c>
      <c r="AU161" s="76">
        <f t="shared" si="37"/>
        <v>2.7659068671221672</v>
      </c>
      <c r="AV161" s="76">
        <f t="shared" si="37"/>
        <v>2.9305882421227865</v>
      </c>
      <c r="AW161" s="76">
        <f t="shared" si="37"/>
        <v>3.1280113325759746</v>
      </c>
      <c r="AX161" s="76">
        <f t="shared" si="37"/>
        <v>3.0245560310749973</v>
      </c>
      <c r="AY161" s="76">
        <f t="shared" si="37"/>
        <v>2.5325054450816631</v>
      </c>
      <c r="AZ161" s="76" t="str">
        <f t="shared" si="37"/>
        <v>uncalcuable</v>
      </c>
      <c r="BA161" s="76">
        <f t="shared" si="37"/>
        <v>1.9901006682684732</v>
      </c>
      <c r="BB161" s="76">
        <f t="shared" si="37"/>
        <v>2.1104407190864585</v>
      </c>
      <c r="BC161" s="76">
        <f t="shared" si="37"/>
        <v>2.214476624329095</v>
      </c>
      <c r="BD161" s="76" t="str">
        <f t="shared" si="37"/>
        <v>uncalcuable</v>
      </c>
      <c r="BE161" s="70"/>
      <c r="BF161" s="8">
        <f t="shared" si="27"/>
        <v>42</v>
      </c>
      <c r="BG161" s="50"/>
    </row>
    <row r="162" spans="1:59">
      <c r="A162" s="73" t="s">
        <v>139</v>
      </c>
      <c r="B162" s="73" t="s">
        <v>138</v>
      </c>
      <c r="C162" s="74"/>
      <c r="D162" s="60"/>
      <c r="E162" s="76">
        <f t="shared" ref="E162:AJ162" si="38">IF(AND(E26,E159&gt;0),LOG10(E26/E159),"uncalcuable")</f>
        <v>1.4716583590181602</v>
      </c>
      <c r="F162" s="76">
        <f t="shared" si="38"/>
        <v>1.2267839672918686</v>
      </c>
      <c r="G162" s="76">
        <f t="shared" si="38"/>
        <v>1.4065401804339552</v>
      </c>
      <c r="H162" s="76">
        <f t="shared" si="38"/>
        <v>1.3710678622717363</v>
      </c>
      <c r="I162" s="76">
        <f t="shared" si="38"/>
        <v>1.3489535479811641</v>
      </c>
      <c r="J162" s="76">
        <f t="shared" si="38"/>
        <v>1.4529358702011792</v>
      </c>
      <c r="K162" s="76">
        <f t="shared" si="38"/>
        <v>1.449368186147336</v>
      </c>
      <c r="L162" s="76">
        <f t="shared" si="38"/>
        <v>1.4992942336708539</v>
      </c>
      <c r="M162" s="76" t="str">
        <f t="shared" si="38"/>
        <v>uncalcuable</v>
      </c>
      <c r="N162" s="76">
        <f t="shared" si="38"/>
        <v>1.4559319556497243</v>
      </c>
      <c r="O162" s="76">
        <f t="shared" si="38"/>
        <v>1.3159703454569176</v>
      </c>
      <c r="P162" s="76">
        <f t="shared" si="38"/>
        <v>1.3247967176217299</v>
      </c>
      <c r="Q162" s="76">
        <f t="shared" si="38"/>
        <v>1.3333556608518788</v>
      </c>
      <c r="R162" s="76">
        <f t="shared" si="38"/>
        <v>1.7676858167054785</v>
      </c>
      <c r="S162" s="76">
        <f t="shared" si="38"/>
        <v>1.6879746200345556</v>
      </c>
      <c r="T162" s="76">
        <f t="shared" si="38"/>
        <v>1.7708520116421442</v>
      </c>
      <c r="U162" s="76">
        <f t="shared" si="38"/>
        <v>1.7060191227281982</v>
      </c>
      <c r="V162" s="76">
        <f t="shared" si="38"/>
        <v>1.895264649479987</v>
      </c>
      <c r="W162" s="76">
        <f t="shared" si="38"/>
        <v>2.2240148113728639</v>
      </c>
      <c r="X162" s="76">
        <f t="shared" si="38"/>
        <v>1.769007870943774</v>
      </c>
      <c r="Y162" s="76">
        <f t="shared" si="38"/>
        <v>2.2108533653148932</v>
      </c>
      <c r="Z162" s="76">
        <f t="shared" si="38"/>
        <v>1.9653585143447863</v>
      </c>
      <c r="AA162" s="76">
        <f t="shared" si="38"/>
        <v>2.1012313867906989</v>
      </c>
      <c r="AB162" s="76">
        <f t="shared" si="38"/>
        <v>2.13433651094868</v>
      </c>
      <c r="AC162" s="76">
        <f t="shared" si="38"/>
        <v>2.2928096654172903</v>
      </c>
      <c r="AD162" s="76">
        <f t="shared" si="38"/>
        <v>2.1238516409670858</v>
      </c>
      <c r="AE162" s="76">
        <f t="shared" si="38"/>
        <v>1.8883667301712372</v>
      </c>
      <c r="AF162" s="76">
        <f t="shared" si="38"/>
        <v>1.9469432706978254</v>
      </c>
      <c r="AG162" s="76">
        <f t="shared" si="38"/>
        <v>1.9653585143447863</v>
      </c>
      <c r="AH162" s="76">
        <f t="shared" si="38"/>
        <v>2.0446703949194611</v>
      </c>
      <c r="AI162" s="76">
        <f t="shared" si="38"/>
        <v>2.0761547914174372</v>
      </c>
      <c r="AJ162" s="76">
        <f t="shared" si="38"/>
        <v>2.0899051114393981</v>
      </c>
      <c r="AK162" s="76">
        <f t="shared" ref="AK162:BD162" si="39">IF(AND(AK26,AK159&gt;0),LOG10(AK26/AK159),"uncalcuable")</f>
        <v>2.0585947152658473</v>
      </c>
      <c r="AL162" s="76">
        <f t="shared" si="39"/>
        <v>1.8951769043575746</v>
      </c>
      <c r="AM162" s="76">
        <f t="shared" si="39"/>
        <v>2.2332782113971383</v>
      </c>
      <c r="AN162" s="76">
        <f t="shared" si="39"/>
        <v>2.2041199826559246</v>
      </c>
      <c r="AO162" s="76">
        <f t="shared" si="39"/>
        <v>1.8381491800589291</v>
      </c>
      <c r="AP162" s="76">
        <f t="shared" si="39"/>
        <v>1.765916793966632</v>
      </c>
      <c r="AQ162" s="76">
        <f t="shared" si="39"/>
        <v>1.9433845818511166</v>
      </c>
      <c r="AR162" s="76">
        <f t="shared" si="39"/>
        <v>1.9601006476801159</v>
      </c>
      <c r="AS162" s="76">
        <f t="shared" si="39"/>
        <v>2.0271229996392197</v>
      </c>
      <c r="AT162" s="76">
        <f t="shared" si="39"/>
        <v>2.3267908578084029</v>
      </c>
      <c r="AU162" s="76">
        <f t="shared" si="39"/>
        <v>1.8202744562892248</v>
      </c>
      <c r="AV162" s="76">
        <f t="shared" si="39"/>
        <v>1.8779469516291882</v>
      </c>
      <c r="AW162" s="76">
        <f t="shared" si="39"/>
        <v>2.2833012287035497</v>
      </c>
      <c r="AX162" s="76">
        <f t="shared" si="39"/>
        <v>2.1356626020000729</v>
      </c>
      <c r="AY162" s="76">
        <f t="shared" si="39"/>
        <v>1.9402317949965102</v>
      </c>
      <c r="AZ162" s="76">
        <f t="shared" si="39"/>
        <v>1.4246094370095563</v>
      </c>
      <c r="BA162" s="76">
        <f t="shared" si="39"/>
        <v>1.395259170024266</v>
      </c>
      <c r="BB162" s="76">
        <f t="shared" si="39"/>
        <v>1.0887265639538553</v>
      </c>
      <c r="BC162" s="76">
        <f t="shared" si="39"/>
        <v>1.2817906376783113</v>
      </c>
      <c r="BD162" s="76">
        <f t="shared" si="39"/>
        <v>1.5365584425715302</v>
      </c>
      <c r="BE162" s="70"/>
      <c r="BF162" s="8">
        <f t="shared" si="27"/>
        <v>51</v>
      </c>
      <c r="BG162" s="50"/>
    </row>
    <row r="163" spans="1:59">
      <c r="A163" s="77" t="s">
        <v>33</v>
      </c>
      <c r="B163" s="77" t="s">
        <v>140</v>
      </c>
      <c r="C163" s="17" t="s">
        <v>16</v>
      </c>
      <c r="D163" s="78"/>
      <c r="E163" s="321"/>
      <c r="F163" s="322">
        <v>-0.27356380971232852</v>
      </c>
      <c r="G163" s="322">
        <v>-0.29080346458338457</v>
      </c>
      <c r="H163" s="322">
        <v>-0.33242414556866162</v>
      </c>
      <c r="I163" s="322">
        <v>-0.4593546300803073</v>
      </c>
      <c r="J163" s="322">
        <v>-0.46609232949817425</v>
      </c>
      <c r="K163" s="321"/>
      <c r="L163" s="322">
        <v>-0.45029896628313448</v>
      </c>
      <c r="M163" s="321"/>
      <c r="N163" s="322">
        <v>-0.26144308294352214</v>
      </c>
      <c r="O163" s="322">
        <v>-0.55716558820356621</v>
      </c>
      <c r="P163" s="322">
        <v>-0.40661558682494725</v>
      </c>
      <c r="Q163" s="322">
        <v>-0.36134438099167632</v>
      </c>
      <c r="R163" s="322">
        <v>-0.47728317725591207</v>
      </c>
      <c r="S163" s="322">
        <v>-0.27252204553646919</v>
      </c>
      <c r="T163" s="322">
        <v>-0.18518037183253622</v>
      </c>
      <c r="U163" s="322">
        <v>-0.17388752719837797</v>
      </c>
      <c r="V163" s="322">
        <v>-0.54633484789775366</v>
      </c>
      <c r="W163" s="322">
        <v>-0.46899769036436822</v>
      </c>
      <c r="X163" s="322">
        <v>-0.38511207842539186</v>
      </c>
      <c r="Y163" s="322">
        <v>-0.42625257510213821</v>
      </c>
      <c r="Z163" s="322">
        <v>-0.38189965114137969</v>
      </c>
      <c r="AA163" s="322">
        <v>-5.6593171137598652E-2</v>
      </c>
      <c r="AB163" s="322">
        <v>-0.28601251615973933</v>
      </c>
      <c r="AC163" s="322">
        <v>-0.25370051169747843</v>
      </c>
      <c r="AD163" s="322">
        <v>-0.23257468948995719</v>
      </c>
      <c r="AE163" s="322"/>
      <c r="AF163" s="322">
        <v>-0.31335893221267153</v>
      </c>
      <c r="AG163" s="322">
        <v>-0.32521908839569669</v>
      </c>
      <c r="AH163" s="322">
        <v>-0.36530250742903103</v>
      </c>
      <c r="AI163" s="322">
        <v>-8.9328251173421691E-2</v>
      </c>
      <c r="AJ163" s="322">
        <v>-0.4303544471604317</v>
      </c>
      <c r="AK163" s="322">
        <v>-0.49948724672581246</v>
      </c>
      <c r="AL163" s="322">
        <v>-0.61336861759513184</v>
      </c>
      <c r="AM163" s="322">
        <v>-0.76268247644818121</v>
      </c>
      <c r="AN163" s="322">
        <v>-0.71966179785110551</v>
      </c>
      <c r="AO163" s="322">
        <v>-0.64513981209593307</v>
      </c>
      <c r="AP163" s="322">
        <v>-0.69211119048285763</v>
      </c>
      <c r="AQ163" s="322">
        <v>-0.63407778945156323</v>
      </c>
      <c r="AR163" s="322">
        <v>-0.66649495689507088</v>
      </c>
      <c r="AS163" s="322">
        <v>-0.64541512378687482</v>
      </c>
      <c r="AT163" s="322">
        <v>-0.66379946443127569</v>
      </c>
      <c r="AU163" s="322">
        <v>-0.64595811290341931</v>
      </c>
      <c r="AV163" s="322">
        <v>-0.79915757686483779</v>
      </c>
      <c r="AW163" s="322">
        <v>-0.73826976137547451</v>
      </c>
      <c r="AX163" s="322">
        <v>-0.86579435459181031</v>
      </c>
      <c r="AY163" s="322">
        <v>-0.59454967147047455</v>
      </c>
      <c r="AZ163" s="322">
        <v>-0.50618599214311644</v>
      </c>
      <c r="BA163" s="322">
        <v>-0.56404622591200315</v>
      </c>
      <c r="BB163" s="322">
        <v>-0.52649738848835792</v>
      </c>
      <c r="BC163" s="322">
        <v>-0.52273625243718058</v>
      </c>
      <c r="BD163" s="79"/>
      <c r="BE163" s="70"/>
      <c r="BF163" s="8">
        <f t="shared" si="27"/>
        <v>47</v>
      </c>
      <c r="BG163" s="50"/>
    </row>
    <row r="164" spans="1:59">
      <c r="A164" s="38"/>
      <c r="B164" s="38"/>
      <c r="C164" s="18"/>
      <c r="D164" s="40"/>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0"/>
      <c r="BF164" s="8">
        <f t="shared" si="27"/>
        <v>0</v>
      </c>
      <c r="BG164" s="50"/>
    </row>
    <row r="165" spans="1:59">
      <c r="A165" s="45" t="s">
        <v>35</v>
      </c>
      <c r="B165" s="38"/>
      <c r="C165" s="18"/>
      <c r="D165" s="40"/>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0"/>
      <c r="BF165" s="8">
        <f t="shared" si="27"/>
        <v>0</v>
      </c>
      <c r="BG165" s="50"/>
    </row>
    <row r="166" spans="1:59">
      <c r="A166" s="38"/>
      <c r="B166" s="38"/>
      <c r="C166" s="18"/>
      <c r="D166" s="40"/>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0"/>
      <c r="BF166" s="8">
        <f t="shared" si="27"/>
        <v>0</v>
      </c>
      <c r="BG166" s="50"/>
    </row>
    <row r="167" spans="1:59">
      <c r="A167" s="38" t="s">
        <v>36</v>
      </c>
      <c r="B167" s="38" t="s">
        <v>37</v>
      </c>
      <c r="C167" s="18" t="s">
        <v>16</v>
      </c>
      <c r="D167" s="40"/>
      <c r="E167" s="52">
        <v>0</v>
      </c>
      <c r="F167" s="52">
        <v>0</v>
      </c>
      <c r="G167" s="52">
        <v>0</v>
      </c>
      <c r="H167" s="52">
        <v>0</v>
      </c>
      <c r="I167" s="52">
        <v>0</v>
      </c>
      <c r="J167" s="52">
        <v>0</v>
      </c>
      <c r="K167" s="52">
        <v>0</v>
      </c>
      <c r="L167" s="52">
        <v>0</v>
      </c>
      <c r="M167" s="52"/>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41">
        <v>0</v>
      </c>
      <c r="AM167" s="52">
        <v>0</v>
      </c>
      <c r="AN167" s="52">
        <v>0</v>
      </c>
      <c r="AO167" s="52">
        <v>0</v>
      </c>
      <c r="AP167" s="52">
        <v>0</v>
      </c>
      <c r="AQ167" s="52">
        <v>0</v>
      </c>
      <c r="AR167" s="52">
        <v>0</v>
      </c>
      <c r="AS167" s="52">
        <v>0</v>
      </c>
      <c r="AT167" s="52">
        <v>0</v>
      </c>
      <c r="AU167" s="52">
        <v>0</v>
      </c>
      <c r="AV167" s="52">
        <v>0</v>
      </c>
      <c r="AW167" s="52">
        <v>0</v>
      </c>
      <c r="AX167" s="52">
        <v>0</v>
      </c>
      <c r="AY167" s="41">
        <v>0</v>
      </c>
      <c r="AZ167" s="52">
        <v>0</v>
      </c>
      <c r="BA167" s="52">
        <v>0</v>
      </c>
      <c r="BB167" s="52">
        <v>0</v>
      </c>
      <c r="BC167" s="52">
        <v>0</v>
      </c>
      <c r="BD167" s="52"/>
      <c r="BE167" s="53"/>
      <c r="BF167" s="8">
        <f t="shared" si="27"/>
        <v>50</v>
      </c>
      <c r="BG167" s="50"/>
    </row>
    <row r="168" spans="1:59">
      <c r="A168" s="36" t="s">
        <v>38</v>
      </c>
      <c r="B168" s="36" t="s">
        <v>37</v>
      </c>
      <c r="C168" s="11" t="s">
        <v>16</v>
      </c>
      <c r="D168" s="40"/>
      <c r="E168" s="52">
        <v>166</v>
      </c>
      <c r="F168" s="52">
        <v>169</v>
      </c>
      <c r="G168" s="52">
        <v>172</v>
      </c>
      <c r="H168" s="52">
        <v>171</v>
      </c>
      <c r="I168" s="52">
        <v>172</v>
      </c>
      <c r="J168" s="52">
        <v>172</v>
      </c>
      <c r="K168" s="52">
        <v>174</v>
      </c>
      <c r="L168" s="52">
        <v>176</v>
      </c>
      <c r="M168" s="52"/>
      <c r="N168" s="52">
        <v>182</v>
      </c>
      <c r="O168" s="52">
        <v>181</v>
      </c>
      <c r="P168" s="52">
        <v>180</v>
      </c>
      <c r="Q168" s="52">
        <v>180</v>
      </c>
      <c r="R168" s="52">
        <v>167</v>
      </c>
      <c r="S168" s="52">
        <v>166</v>
      </c>
      <c r="T168" s="52">
        <v>171</v>
      </c>
      <c r="U168" s="52">
        <v>178</v>
      </c>
      <c r="V168" s="52">
        <v>130</v>
      </c>
      <c r="W168" s="52">
        <v>131</v>
      </c>
      <c r="X168" s="52">
        <v>131</v>
      </c>
      <c r="Y168" s="52">
        <v>131</v>
      </c>
      <c r="Z168" s="52">
        <v>138</v>
      </c>
      <c r="AA168" s="52">
        <v>141</v>
      </c>
      <c r="AB168" s="52">
        <v>138</v>
      </c>
      <c r="AC168" s="52">
        <v>130</v>
      </c>
      <c r="AD168" s="52">
        <v>121</v>
      </c>
      <c r="AE168" s="52">
        <v>118</v>
      </c>
      <c r="AF168" s="52">
        <v>121</v>
      </c>
      <c r="AG168" s="52">
        <v>115</v>
      </c>
      <c r="AH168" s="52">
        <v>107</v>
      </c>
      <c r="AI168" s="52">
        <v>112</v>
      </c>
      <c r="AJ168" s="52">
        <v>102</v>
      </c>
      <c r="AK168" s="52">
        <v>101</v>
      </c>
      <c r="AL168" s="41">
        <v>100</v>
      </c>
      <c r="AM168" s="52">
        <v>94</v>
      </c>
      <c r="AN168" s="52">
        <v>97</v>
      </c>
      <c r="AO168" s="52">
        <v>96</v>
      </c>
      <c r="AP168" s="52">
        <v>102</v>
      </c>
      <c r="AQ168" s="52">
        <v>105</v>
      </c>
      <c r="AR168" s="52">
        <v>105</v>
      </c>
      <c r="AS168" s="52">
        <v>109</v>
      </c>
      <c r="AT168" s="52">
        <v>107</v>
      </c>
      <c r="AU168" s="52">
        <v>111</v>
      </c>
      <c r="AV168" s="52">
        <v>114</v>
      </c>
      <c r="AW168" s="52">
        <v>119</v>
      </c>
      <c r="AX168" s="52">
        <v>121</v>
      </c>
      <c r="AY168" s="41">
        <v>130</v>
      </c>
      <c r="AZ168" s="52">
        <v>135</v>
      </c>
      <c r="BA168" s="52">
        <v>141</v>
      </c>
      <c r="BB168" s="52">
        <v>145</v>
      </c>
      <c r="BC168" s="52">
        <v>151</v>
      </c>
      <c r="BD168" s="52"/>
      <c r="BE168" s="53"/>
      <c r="BF168" s="8">
        <f t="shared" si="27"/>
        <v>50</v>
      </c>
      <c r="BG168" s="50"/>
    </row>
    <row r="169" spans="1:59">
      <c r="A169" s="38" t="s">
        <v>39</v>
      </c>
      <c r="B169" s="38" t="s">
        <v>14</v>
      </c>
      <c r="C169" s="18" t="s">
        <v>16</v>
      </c>
      <c r="D169" s="40"/>
      <c r="E169" s="52">
        <v>202</v>
      </c>
      <c r="F169" s="52">
        <v>206</v>
      </c>
      <c r="G169" s="52">
        <v>210</v>
      </c>
      <c r="H169" s="52">
        <v>208</v>
      </c>
      <c r="I169" s="52">
        <v>210</v>
      </c>
      <c r="J169" s="52">
        <v>210</v>
      </c>
      <c r="K169" s="52">
        <v>212</v>
      </c>
      <c r="L169" s="52">
        <v>214</v>
      </c>
      <c r="M169" s="52"/>
      <c r="N169" s="52">
        <v>222</v>
      </c>
      <c r="O169" s="52">
        <v>221</v>
      </c>
      <c r="P169" s="52">
        <v>219</v>
      </c>
      <c r="Q169" s="52">
        <v>219</v>
      </c>
      <c r="R169" s="52">
        <v>204</v>
      </c>
      <c r="S169" s="52">
        <v>202</v>
      </c>
      <c r="T169" s="52">
        <v>209</v>
      </c>
      <c r="U169" s="52">
        <v>217</v>
      </c>
      <c r="V169" s="52">
        <v>158</v>
      </c>
      <c r="W169" s="52">
        <v>160</v>
      </c>
      <c r="X169" s="52">
        <v>160</v>
      </c>
      <c r="Y169" s="52">
        <v>160</v>
      </c>
      <c r="Z169" s="52">
        <v>168</v>
      </c>
      <c r="AA169" s="52">
        <v>172</v>
      </c>
      <c r="AB169" s="52">
        <v>168</v>
      </c>
      <c r="AC169" s="52">
        <v>158</v>
      </c>
      <c r="AD169" s="52">
        <v>147</v>
      </c>
      <c r="AE169" s="52">
        <v>144</v>
      </c>
      <c r="AF169" s="52">
        <v>147</v>
      </c>
      <c r="AG169" s="52">
        <v>140</v>
      </c>
      <c r="AH169" s="52">
        <v>130</v>
      </c>
      <c r="AI169" s="52">
        <v>136</v>
      </c>
      <c r="AJ169" s="52">
        <v>124</v>
      </c>
      <c r="AK169" s="52">
        <v>123</v>
      </c>
      <c r="AL169" s="41">
        <v>122</v>
      </c>
      <c r="AM169" s="52">
        <v>114</v>
      </c>
      <c r="AN169" s="52">
        <v>118</v>
      </c>
      <c r="AO169" s="52">
        <v>117</v>
      </c>
      <c r="AP169" s="52">
        <v>124</v>
      </c>
      <c r="AQ169" s="52">
        <v>128</v>
      </c>
      <c r="AR169" s="52">
        <v>128</v>
      </c>
      <c r="AS169" s="52">
        <v>133</v>
      </c>
      <c r="AT169" s="52">
        <v>130</v>
      </c>
      <c r="AU169" s="52">
        <v>135</v>
      </c>
      <c r="AV169" s="52">
        <v>139</v>
      </c>
      <c r="AW169" s="52">
        <v>145</v>
      </c>
      <c r="AX169" s="52">
        <v>147</v>
      </c>
      <c r="AY169" s="41">
        <v>158</v>
      </c>
      <c r="AZ169" s="52">
        <v>165</v>
      </c>
      <c r="BA169" s="52">
        <v>172</v>
      </c>
      <c r="BB169" s="52">
        <v>177</v>
      </c>
      <c r="BC169" s="52">
        <v>184</v>
      </c>
      <c r="BD169" s="52"/>
      <c r="BE169" s="53"/>
      <c r="BF169" s="8">
        <f t="shared" si="27"/>
        <v>50</v>
      </c>
      <c r="BG169" s="50"/>
    </row>
    <row r="170" spans="1:59">
      <c r="A170" s="36" t="s">
        <v>40</v>
      </c>
      <c r="B170" s="36" t="s">
        <v>14</v>
      </c>
      <c r="C170" s="11" t="s">
        <v>16</v>
      </c>
      <c r="D170" s="40"/>
      <c r="E170" s="52">
        <v>0</v>
      </c>
      <c r="F170" s="52">
        <v>0</v>
      </c>
      <c r="G170" s="52">
        <v>0</v>
      </c>
      <c r="H170" s="52">
        <v>0</v>
      </c>
      <c r="I170" s="52">
        <v>0</v>
      </c>
      <c r="J170" s="52">
        <v>0</v>
      </c>
      <c r="K170" s="52">
        <v>0</v>
      </c>
      <c r="L170" s="52">
        <v>0</v>
      </c>
      <c r="M170" s="52"/>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41">
        <v>0</v>
      </c>
      <c r="AM170" s="52">
        <v>0</v>
      </c>
      <c r="AN170" s="52">
        <v>0</v>
      </c>
      <c r="AO170" s="52">
        <v>0</v>
      </c>
      <c r="AP170" s="52">
        <v>0</v>
      </c>
      <c r="AQ170" s="52">
        <v>0</v>
      </c>
      <c r="AR170" s="52">
        <v>0</v>
      </c>
      <c r="AS170" s="52">
        <v>0</v>
      </c>
      <c r="AT170" s="52">
        <v>0</v>
      </c>
      <c r="AU170" s="52">
        <v>0</v>
      </c>
      <c r="AV170" s="52">
        <v>0</v>
      </c>
      <c r="AW170" s="52">
        <v>0</v>
      </c>
      <c r="AX170" s="52">
        <v>0</v>
      </c>
      <c r="AY170" s="41">
        <v>0</v>
      </c>
      <c r="AZ170" s="52">
        <v>0</v>
      </c>
      <c r="BA170" s="52">
        <v>0</v>
      </c>
      <c r="BB170" s="52">
        <v>0</v>
      </c>
      <c r="BC170" s="52">
        <v>0</v>
      </c>
      <c r="BD170" s="52"/>
      <c r="BE170" s="53"/>
      <c r="BF170" s="8">
        <f t="shared" si="27"/>
        <v>50</v>
      </c>
      <c r="BG170" s="50"/>
    </row>
    <row r="171" spans="1:59">
      <c r="A171" s="38" t="s">
        <v>41</v>
      </c>
      <c r="B171" s="38" t="s">
        <v>14</v>
      </c>
      <c r="C171" s="18" t="s">
        <v>16</v>
      </c>
      <c r="D171" s="40"/>
      <c r="E171" s="52"/>
      <c r="F171" s="52">
        <v>60</v>
      </c>
      <c r="G171" s="52">
        <v>60</v>
      </c>
      <c r="H171" s="52">
        <v>61</v>
      </c>
      <c r="I171" s="52">
        <v>62</v>
      </c>
      <c r="J171" s="52">
        <v>62</v>
      </c>
      <c r="K171" s="52"/>
      <c r="L171" s="52">
        <v>63</v>
      </c>
      <c r="M171" s="52"/>
      <c r="N171" s="52">
        <v>65</v>
      </c>
      <c r="O171" s="52">
        <v>65</v>
      </c>
      <c r="P171" s="52">
        <v>65</v>
      </c>
      <c r="Q171" s="52">
        <v>66</v>
      </c>
      <c r="R171" s="52">
        <v>64</v>
      </c>
      <c r="S171" s="52">
        <v>62</v>
      </c>
      <c r="T171" s="52">
        <v>64</v>
      </c>
      <c r="U171" s="52">
        <v>66</v>
      </c>
      <c r="V171" s="52">
        <v>53</v>
      </c>
      <c r="W171" s="52">
        <v>48</v>
      </c>
      <c r="X171" s="52">
        <v>52</v>
      </c>
      <c r="Y171" s="52">
        <v>53</v>
      </c>
      <c r="Z171" s="52">
        <v>53</v>
      </c>
      <c r="AA171" s="52">
        <v>55</v>
      </c>
      <c r="AB171" s="52">
        <v>54</v>
      </c>
      <c r="AC171" s="52">
        <v>52</v>
      </c>
      <c r="AD171" s="52">
        <v>48</v>
      </c>
      <c r="AE171" s="52">
        <v>48</v>
      </c>
      <c r="AF171" s="52">
        <v>48</v>
      </c>
      <c r="AG171" s="52">
        <v>45</v>
      </c>
      <c r="AH171" s="52">
        <v>42</v>
      </c>
      <c r="AI171" s="52">
        <v>42</v>
      </c>
      <c r="AJ171" s="52">
        <v>42</v>
      </c>
      <c r="AK171" s="52">
        <v>46</v>
      </c>
      <c r="AL171" s="41">
        <v>42</v>
      </c>
      <c r="AM171" s="52">
        <v>42</v>
      </c>
      <c r="AN171" s="52">
        <v>42</v>
      </c>
      <c r="AO171" s="52">
        <v>42</v>
      </c>
      <c r="AP171" s="52">
        <v>42</v>
      </c>
      <c r="AQ171" s="52">
        <v>43</v>
      </c>
      <c r="AR171" s="52">
        <v>44</v>
      </c>
      <c r="AS171" s="52">
        <v>45</v>
      </c>
      <c r="AT171" s="52">
        <v>46</v>
      </c>
      <c r="AU171" s="52">
        <v>46</v>
      </c>
      <c r="AV171" s="52">
        <v>46</v>
      </c>
      <c r="AW171" s="52">
        <v>48</v>
      </c>
      <c r="AX171" s="52">
        <v>48</v>
      </c>
      <c r="AY171" s="41">
        <v>48</v>
      </c>
      <c r="AZ171" s="52">
        <v>49</v>
      </c>
      <c r="BA171" s="52">
        <v>50</v>
      </c>
      <c r="BB171" s="52">
        <v>53</v>
      </c>
      <c r="BC171" s="52">
        <v>54</v>
      </c>
      <c r="BD171" s="52"/>
      <c r="BE171" s="53"/>
      <c r="BF171" s="8">
        <f t="shared" si="27"/>
        <v>48</v>
      </c>
      <c r="BG171" s="50"/>
    </row>
    <row r="172" spans="1:59">
      <c r="A172" s="36" t="s">
        <v>42</v>
      </c>
      <c r="B172" s="36" t="s">
        <v>14</v>
      </c>
      <c r="C172" s="11" t="s">
        <v>16</v>
      </c>
      <c r="D172" s="40"/>
      <c r="E172" s="52"/>
      <c r="F172" s="52">
        <v>26</v>
      </c>
      <c r="G172" s="52">
        <v>27</v>
      </c>
      <c r="H172" s="52">
        <v>27</v>
      </c>
      <c r="I172" s="52">
        <v>27</v>
      </c>
      <c r="J172" s="52">
        <v>27</v>
      </c>
      <c r="K172" s="52"/>
      <c r="L172" s="52">
        <v>27</v>
      </c>
      <c r="M172" s="52"/>
      <c r="N172" s="52">
        <v>28</v>
      </c>
      <c r="O172" s="52">
        <v>28</v>
      </c>
      <c r="P172" s="52">
        <v>27</v>
      </c>
      <c r="Q172" s="52">
        <v>26</v>
      </c>
      <c r="R172" s="52">
        <v>26</v>
      </c>
      <c r="S172" s="52">
        <v>26</v>
      </c>
      <c r="T172" s="52">
        <v>27</v>
      </c>
      <c r="U172" s="52">
        <v>28</v>
      </c>
      <c r="V172" s="52">
        <v>20</v>
      </c>
      <c r="W172" s="52">
        <v>19</v>
      </c>
      <c r="X172" s="52">
        <v>20</v>
      </c>
      <c r="Y172" s="52">
        <v>21</v>
      </c>
      <c r="Z172" s="52">
        <v>21</v>
      </c>
      <c r="AA172" s="52">
        <v>21</v>
      </c>
      <c r="AB172" s="52">
        <v>21</v>
      </c>
      <c r="AC172" s="52">
        <v>20</v>
      </c>
      <c r="AD172" s="52">
        <v>20</v>
      </c>
      <c r="AE172" s="52">
        <v>21</v>
      </c>
      <c r="AF172" s="52">
        <v>20</v>
      </c>
      <c r="AG172" s="52">
        <v>21</v>
      </c>
      <c r="AH172" s="52">
        <v>20</v>
      </c>
      <c r="AI172" s="52">
        <v>20</v>
      </c>
      <c r="AJ172" s="52">
        <v>20</v>
      </c>
      <c r="AK172" s="52">
        <v>17</v>
      </c>
      <c r="AL172" s="41">
        <v>20</v>
      </c>
      <c r="AM172" s="52">
        <v>20</v>
      </c>
      <c r="AN172" s="52">
        <v>20</v>
      </c>
      <c r="AO172" s="52">
        <v>20</v>
      </c>
      <c r="AP172" s="52">
        <v>20</v>
      </c>
      <c r="AQ172" s="52">
        <v>20</v>
      </c>
      <c r="AR172" s="52">
        <v>20</v>
      </c>
      <c r="AS172" s="52">
        <v>20</v>
      </c>
      <c r="AT172" s="52">
        <v>20</v>
      </c>
      <c r="AU172" s="52">
        <v>20</v>
      </c>
      <c r="AV172" s="52">
        <v>20</v>
      </c>
      <c r="AW172" s="52">
        <v>20</v>
      </c>
      <c r="AX172" s="52">
        <v>20</v>
      </c>
      <c r="AY172" s="41">
        <v>20</v>
      </c>
      <c r="AZ172" s="52">
        <v>20</v>
      </c>
      <c r="BA172" s="52">
        <v>20</v>
      </c>
      <c r="BB172" s="52">
        <v>22</v>
      </c>
      <c r="BC172" s="52">
        <v>23</v>
      </c>
      <c r="BD172" s="52"/>
      <c r="BE172" s="53"/>
      <c r="BF172" s="8">
        <f t="shared" si="27"/>
        <v>48</v>
      </c>
      <c r="BG172" s="50"/>
    </row>
    <row r="173" spans="1:59">
      <c r="A173" s="38" t="s">
        <v>43</v>
      </c>
      <c r="B173" s="38" t="s">
        <v>37</v>
      </c>
      <c r="C173" s="18" t="s">
        <v>16</v>
      </c>
      <c r="D173" s="40"/>
      <c r="E173" s="52"/>
      <c r="F173" s="52">
        <v>259</v>
      </c>
      <c r="G173" s="52">
        <v>261</v>
      </c>
      <c r="H173" s="52">
        <v>262</v>
      </c>
      <c r="I173" s="52">
        <v>265</v>
      </c>
      <c r="J173" s="52">
        <v>265</v>
      </c>
      <c r="K173" s="52"/>
      <c r="L173" s="52">
        <v>271</v>
      </c>
      <c r="M173" s="52"/>
      <c r="N173" s="52">
        <v>277</v>
      </c>
      <c r="O173" s="52">
        <v>277</v>
      </c>
      <c r="P173" s="52">
        <v>276</v>
      </c>
      <c r="Q173" s="52">
        <v>274</v>
      </c>
      <c r="R173" s="52">
        <v>268</v>
      </c>
      <c r="S173" s="52">
        <v>262</v>
      </c>
      <c r="T173" s="52">
        <v>270</v>
      </c>
      <c r="U173" s="52">
        <v>279</v>
      </c>
      <c r="V173" s="52">
        <v>214</v>
      </c>
      <c r="W173" s="52">
        <v>200</v>
      </c>
      <c r="X173" s="52">
        <v>212</v>
      </c>
      <c r="Y173" s="52">
        <v>217</v>
      </c>
      <c r="Z173" s="52">
        <v>219</v>
      </c>
      <c r="AA173" s="52">
        <v>222</v>
      </c>
      <c r="AB173" s="52">
        <v>221</v>
      </c>
      <c r="AC173" s="52">
        <v>210</v>
      </c>
      <c r="AD173" s="52">
        <v>202</v>
      </c>
      <c r="AE173" s="52">
        <v>206</v>
      </c>
      <c r="AF173" s="52">
        <v>204</v>
      </c>
      <c r="AG173" s="52">
        <v>199</v>
      </c>
      <c r="AH173" s="52">
        <v>189</v>
      </c>
      <c r="AI173" s="52">
        <v>188</v>
      </c>
      <c r="AJ173" s="52">
        <v>186</v>
      </c>
      <c r="AK173" s="52">
        <v>185</v>
      </c>
      <c r="AL173" s="41">
        <v>188</v>
      </c>
      <c r="AM173" s="52">
        <v>186</v>
      </c>
      <c r="AN173" s="52">
        <v>186</v>
      </c>
      <c r="AO173" s="52">
        <v>187</v>
      </c>
      <c r="AP173" s="52">
        <v>188</v>
      </c>
      <c r="AQ173" s="52">
        <v>189</v>
      </c>
      <c r="AR173" s="52">
        <v>192</v>
      </c>
      <c r="AS173" s="52">
        <v>194</v>
      </c>
      <c r="AT173" s="52">
        <v>197</v>
      </c>
      <c r="AU173" s="52">
        <v>197</v>
      </c>
      <c r="AV173" s="52">
        <v>199</v>
      </c>
      <c r="AW173" s="52">
        <v>200</v>
      </c>
      <c r="AX173" s="52">
        <v>201</v>
      </c>
      <c r="AY173" s="41">
        <v>202</v>
      </c>
      <c r="AZ173" s="52">
        <v>205</v>
      </c>
      <c r="BA173" s="52">
        <v>214</v>
      </c>
      <c r="BB173" s="52">
        <v>222</v>
      </c>
      <c r="BC173" s="52">
        <v>227</v>
      </c>
      <c r="BD173" s="52"/>
      <c r="BE173" s="53"/>
      <c r="BF173" s="8">
        <f t="shared" si="27"/>
        <v>48</v>
      </c>
      <c r="BG173" s="50"/>
    </row>
    <row r="174" spans="1:59">
      <c r="A174" s="36" t="s">
        <v>44</v>
      </c>
      <c r="B174" s="36" t="s">
        <v>14</v>
      </c>
      <c r="C174" s="11" t="s">
        <v>16</v>
      </c>
      <c r="D174" s="40"/>
      <c r="E174" s="52"/>
      <c r="F174" s="52">
        <v>53</v>
      </c>
      <c r="G174" s="52">
        <v>54</v>
      </c>
      <c r="H174" s="52">
        <v>54</v>
      </c>
      <c r="I174" s="52">
        <v>54</v>
      </c>
      <c r="J174" s="52">
        <v>54</v>
      </c>
      <c r="K174" s="52"/>
      <c r="L174" s="52">
        <v>54</v>
      </c>
      <c r="M174" s="52"/>
      <c r="N174" s="52">
        <v>55</v>
      </c>
      <c r="O174" s="52">
        <v>56</v>
      </c>
      <c r="P174" s="52">
        <v>54</v>
      </c>
      <c r="Q174" s="52">
        <v>54</v>
      </c>
      <c r="R174" s="52">
        <v>54</v>
      </c>
      <c r="S174" s="52">
        <v>53</v>
      </c>
      <c r="T174" s="52">
        <v>52</v>
      </c>
      <c r="U174" s="52">
        <v>55</v>
      </c>
      <c r="V174" s="52">
        <v>43</v>
      </c>
      <c r="W174" s="52">
        <v>43</v>
      </c>
      <c r="X174" s="52">
        <v>44</v>
      </c>
      <c r="Y174" s="52">
        <v>44</v>
      </c>
      <c r="Z174" s="52">
        <v>44</v>
      </c>
      <c r="AA174" s="52">
        <v>45</v>
      </c>
      <c r="AB174" s="52">
        <v>45</v>
      </c>
      <c r="AC174" s="52">
        <v>46</v>
      </c>
      <c r="AD174" s="52">
        <v>46</v>
      </c>
      <c r="AE174" s="52"/>
      <c r="AF174" s="52">
        <v>45</v>
      </c>
      <c r="AG174" s="52">
        <v>45</v>
      </c>
      <c r="AH174" s="52">
        <v>43</v>
      </c>
      <c r="AI174" s="52">
        <v>42</v>
      </c>
      <c r="AJ174" s="52">
        <v>41</v>
      </c>
      <c r="AK174" s="52">
        <v>41</v>
      </c>
      <c r="AL174" s="41">
        <v>41</v>
      </c>
      <c r="AM174" s="52">
        <v>40</v>
      </c>
      <c r="AN174" s="52">
        <v>42</v>
      </c>
      <c r="AO174" s="52">
        <v>40</v>
      </c>
      <c r="AP174" s="52">
        <v>39</v>
      </c>
      <c r="AQ174" s="52">
        <v>38</v>
      </c>
      <c r="AR174" s="52">
        <v>39</v>
      </c>
      <c r="AS174" s="52">
        <v>38</v>
      </c>
      <c r="AT174" s="52">
        <v>39</v>
      </c>
      <c r="AU174" s="52">
        <v>39</v>
      </c>
      <c r="AV174" s="52">
        <v>38</v>
      </c>
      <c r="AW174" s="52">
        <v>39</v>
      </c>
      <c r="AX174" s="52">
        <v>38</v>
      </c>
      <c r="AY174" s="41">
        <v>39</v>
      </c>
      <c r="AZ174" s="52">
        <v>38</v>
      </c>
      <c r="BA174" s="52">
        <v>40</v>
      </c>
      <c r="BB174" s="52">
        <v>41</v>
      </c>
      <c r="BC174" s="52">
        <v>42</v>
      </c>
      <c r="BD174" s="52"/>
      <c r="BE174" s="53"/>
      <c r="BF174" s="8">
        <f t="shared" si="27"/>
        <v>47</v>
      </c>
      <c r="BG174" s="50"/>
    </row>
    <row r="175" spans="1:59">
      <c r="A175" s="54" t="s">
        <v>45</v>
      </c>
      <c r="B175" s="54" t="s">
        <v>14</v>
      </c>
      <c r="C175" s="19" t="s">
        <v>16</v>
      </c>
      <c r="D175" s="40"/>
      <c r="E175" s="55"/>
      <c r="F175" s="55">
        <v>6.4</v>
      </c>
      <c r="G175" s="55">
        <v>6.1</v>
      </c>
      <c r="H175" s="55">
        <v>6</v>
      </c>
      <c r="I175" s="55">
        <v>6.9</v>
      </c>
      <c r="J175" s="55">
        <v>7.6</v>
      </c>
      <c r="K175" s="55"/>
      <c r="L175" s="55">
        <v>6.3</v>
      </c>
      <c r="M175" s="55"/>
      <c r="N175" s="55">
        <v>5.5</v>
      </c>
      <c r="O175" s="55">
        <v>5.4</v>
      </c>
      <c r="P175" s="55">
        <v>5.7</v>
      </c>
      <c r="Q175" s="55">
        <v>5.5</v>
      </c>
      <c r="R175" s="55">
        <v>5.7</v>
      </c>
      <c r="S175" s="55">
        <v>5.2</v>
      </c>
      <c r="T175" s="55">
        <v>5.3</v>
      </c>
      <c r="U175" s="55">
        <v>5.7</v>
      </c>
      <c r="V175" s="55">
        <v>4.4000000000000004</v>
      </c>
      <c r="W175" s="55">
        <v>4.5999999999999996</v>
      </c>
      <c r="X175" s="55">
        <v>4.7</v>
      </c>
      <c r="Y175" s="55">
        <v>5</v>
      </c>
      <c r="Z175" s="55">
        <v>4.8</v>
      </c>
      <c r="AA175" s="55">
        <v>4.9000000000000004</v>
      </c>
      <c r="AB175" s="55">
        <v>5</v>
      </c>
      <c r="AC175" s="55">
        <v>5.2</v>
      </c>
      <c r="AD175" s="55">
        <v>5.2</v>
      </c>
      <c r="AE175" s="55"/>
      <c r="AF175" s="55">
        <v>5.0999999999999996</v>
      </c>
      <c r="AG175" s="55">
        <v>4.9000000000000004</v>
      </c>
      <c r="AH175" s="55">
        <v>4.9000000000000004</v>
      </c>
      <c r="AI175" s="55">
        <v>4.8</v>
      </c>
      <c r="AJ175" s="55">
        <v>4.7</v>
      </c>
      <c r="AK175" s="55">
        <v>4.5999999999999996</v>
      </c>
      <c r="AL175" s="41">
        <v>4.5</v>
      </c>
      <c r="AM175" s="55">
        <v>4.5999999999999996</v>
      </c>
      <c r="AN175" s="55">
        <v>4.4000000000000004</v>
      </c>
      <c r="AO175" s="55">
        <v>4.4000000000000004</v>
      </c>
      <c r="AP175" s="55">
        <v>4.4000000000000004</v>
      </c>
      <c r="AQ175" s="55">
        <v>4.4000000000000004</v>
      </c>
      <c r="AR175" s="55">
        <v>4.2</v>
      </c>
      <c r="AS175" s="55">
        <v>4.3</v>
      </c>
      <c r="AT175" s="55">
        <v>4.2</v>
      </c>
      <c r="AU175" s="55">
        <v>4.2</v>
      </c>
      <c r="AV175" s="55">
        <v>4</v>
      </c>
      <c r="AW175" s="55">
        <v>4</v>
      </c>
      <c r="AX175" s="55">
        <v>4</v>
      </c>
      <c r="AY175" s="41">
        <v>4</v>
      </c>
      <c r="AZ175" s="55">
        <v>4</v>
      </c>
      <c r="BA175" s="55">
        <v>4.0999999999999996</v>
      </c>
      <c r="BB175" s="55">
        <v>4.2</v>
      </c>
      <c r="BC175" s="55">
        <v>4.2</v>
      </c>
      <c r="BD175" s="55"/>
      <c r="BE175" s="57"/>
      <c r="BF175" s="8">
        <f t="shared" ref="BF175:BF206" si="40">COUNT(E175:BD175)</f>
        <v>47</v>
      </c>
      <c r="BG175" s="50"/>
    </row>
    <row r="176" spans="1:59">
      <c r="A176" s="36" t="s">
        <v>46</v>
      </c>
      <c r="B176" s="36" t="s">
        <v>14</v>
      </c>
      <c r="C176" s="11" t="s">
        <v>16</v>
      </c>
      <c r="D176" s="40"/>
      <c r="E176" s="52"/>
      <c r="F176" s="52">
        <v>175</v>
      </c>
      <c r="G176" s="52">
        <v>178</v>
      </c>
      <c r="H176" s="52">
        <v>177</v>
      </c>
      <c r="I176" s="52">
        <v>181</v>
      </c>
      <c r="J176" s="52">
        <v>181</v>
      </c>
      <c r="K176" s="52"/>
      <c r="L176" s="52">
        <v>184</v>
      </c>
      <c r="M176" s="52"/>
      <c r="N176" s="52">
        <v>188</v>
      </c>
      <c r="O176" s="52">
        <v>188</v>
      </c>
      <c r="P176" s="52">
        <v>185</v>
      </c>
      <c r="Q176" s="52">
        <v>184</v>
      </c>
      <c r="R176" s="52">
        <v>181</v>
      </c>
      <c r="S176" s="52">
        <v>179</v>
      </c>
      <c r="T176" s="52">
        <v>185</v>
      </c>
      <c r="U176" s="52">
        <v>185</v>
      </c>
      <c r="V176" s="52">
        <v>150</v>
      </c>
      <c r="W176" s="52">
        <v>150</v>
      </c>
      <c r="X176" s="52">
        <v>153</v>
      </c>
      <c r="Y176" s="52">
        <v>152</v>
      </c>
      <c r="Z176" s="52">
        <v>152</v>
      </c>
      <c r="AA176" s="52">
        <v>157</v>
      </c>
      <c r="AB176" s="52">
        <v>157</v>
      </c>
      <c r="AC176" s="52">
        <v>159</v>
      </c>
      <c r="AD176" s="52">
        <v>158</v>
      </c>
      <c r="AE176" s="52"/>
      <c r="AF176" s="52">
        <v>156</v>
      </c>
      <c r="AG176" s="52">
        <v>153</v>
      </c>
      <c r="AH176" s="52">
        <v>149</v>
      </c>
      <c r="AI176" s="52">
        <v>150</v>
      </c>
      <c r="AJ176" s="52">
        <v>145</v>
      </c>
      <c r="AK176" s="52">
        <v>145</v>
      </c>
      <c r="AL176" s="41">
        <v>146</v>
      </c>
      <c r="AM176" s="52">
        <v>152</v>
      </c>
      <c r="AN176" s="52">
        <v>152</v>
      </c>
      <c r="AO176" s="52">
        <v>153</v>
      </c>
      <c r="AP176" s="52">
        <v>146</v>
      </c>
      <c r="AQ176" s="52">
        <v>145</v>
      </c>
      <c r="AR176" s="52">
        <v>147</v>
      </c>
      <c r="AS176" s="52">
        <v>144</v>
      </c>
      <c r="AT176" s="52">
        <v>153</v>
      </c>
      <c r="AU176" s="52">
        <v>148</v>
      </c>
      <c r="AV176" s="52">
        <v>146</v>
      </c>
      <c r="AW176" s="52">
        <v>142</v>
      </c>
      <c r="AX176" s="52">
        <v>140</v>
      </c>
      <c r="AY176" s="41">
        <v>135</v>
      </c>
      <c r="AZ176" s="52">
        <v>132</v>
      </c>
      <c r="BA176" s="52">
        <v>140</v>
      </c>
      <c r="BB176" s="52">
        <v>141</v>
      </c>
      <c r="BC176" s="52">
        <v>142</v>
      </c>
      <c r="BD176" s="52"/>
      <c r="BE176" s="53"/>
      <c r="BF176" s="8">
        <f t="shared" si="40"/>
        <v>47</v>
      </c>
      <c r="BG176" s="50"/>
    </row>
    <row r="177" spans="1:59">
      <c r="A177" s="54" t="s">
        <v>47</v>
      </c>
      <c r="B177" s="54" t="s">
        <v>14</v>
      </c>
      <c r="C177" s="19" t="s">
        <v>16</v>
      </c>
      <c r="D177" s="40"/>
      <c r="E177" s="55"/>
      <c r="F177" s="55">
        <v>16.8</v>
      </c>
      <c r="G177" s="55">
        <v>17.3</v>
      </c>
      <c r="H177" s="55">
        <v>17.5</v>
      </c>
      <c r="I177" s="55">
        <v>17.8</v>
      </c>
      <c r="J177" s="55">
        <v>17.7</v>
      </c>
      <c r="K177" s="55"/>
      <c r="L177" s="55">
        <v>17.8</v>
      </c>
      <c r="M177" s="55"/>
      <c r="N177" s="55">
        <v>17.899999999999999</v>
      </c>
      <c r="O177" s="55">
        <v>18.2</v>
      </c>
      <c r="P177" s="55">
        <v>17.399999999999999</v>
      </c>
      <c r="Q177" s="55">
        <v>17.600000000000001</v>
      </c>
      <c r="R177" s="55">
        <v>18.3</v>
      </c>
      <c r="S177" s="55">
        <v>19</v>
      </c>
      <c r="T177" s="55">
        <v>18.899999999999999</v>
      </c>
      <c r="U177" s="55">
        <v>18.899999999999999</v>
      </c>
      <c r="V177" s="55">
        <v>15.1</v>
      </c>
      <c r="W177" s="55">
        <v>14.6</v>
      </c>
      <c r="X177" s="55">
        <v>14.5</v>
      </c>
      <c r="Y177" s="55">
        <v>14.7</v>
      </c>
      <c r="Z177" s="55">
        <v>14.6</v>
      </c>
      <c r="AA177" s="55">
        <v>15</v>
      </c>
      <c r="AB177" s="55">
        <v>14.9</v>
      </c>
      <c r="AC177" s="55">
        <v>16.100000000000001</v>
      </c>
      <c r="AD177" s="55">
        <v>16.100000000000001</v>
      </c>
      <c r="AE177" s="55"/>
      <c r="AF177" s="55">
        <v>16.2</v>
      </c>
      <c r="AG177" s="55">
        <v>16.3</v>
      </c>
      <c r="AH177" s="55">
        <v>17.2</v>
      </c>
      <c r="AI177" s="55">
        <v>17.3</v>
      </c>
      <c r="AJ177" s="55">
        <v>15.4</v>
      </c>
      <c r="AK177" s="55">
        <v>15.2</v>
      </c>
      <c r="AL177" s="56">
        <v>16</v>
      </c>
      <c r="AM177" s="55">
        <v>16.100000000000001</v>
      </c>
      <c r="AN177" s="55">
        <v>15.9</v>
      </c>
      <c r="AO177" s="55">
        <v>16.399999999999999</v>
      </c>
      <c r="AP177" s="55">
        <v>15.5</v>
      </c>
      <c r="AQ177" s="55">
        <v>15.7</v>
      </c>
      <c r="AR177" s="55">
        <v>15.1</v>
      </c>
      <c r="AS177" s="55">
        <v>14.7</v>
      </c>
      <c r="AT177" s="55">
        <v>15.5</v>
      </c>
      <c r="AU177" s="55">
        <v>15</v>
      </c>
      <c r="AV177" s="55">
        <v>13.5</v>
      </c>
      <c r="AW177" s="55">
        <v>14</v>
      </c>
      <c r="AX177" s="55">
        <v>13.6</v>
      </c>
      <c r="AY177" s="41">
        <v>13.4</v>
      </c>
      <c r="AZ177" s="55">
        <v>13.6</v>
      </c>
      <c r="BA177" s="55">
        <v>13.8</v>
      </c>
      <c r="BB177" s="55">
        <v>14.1</v>
      </c>
      <c r="BC177" s="55">
        <v>14.4</v>
      </c>
      <c r="BD177" s="55"/>
      <c r="BE177" s="57"/>
      <c r="BF177" s="8">
        <f t="shared" si="40"/>
        <v>47</v>
      </c>
      <c r="BG177" s="50"/>
    </row>
    <row r="178" spans="1:59">
      <c r="A178" s="80"/>
      <c r="B178" s="38"/>
      <c r="C178" s="18"/>
      <c r="D178" s="40"/>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0"/>
      <c r="BF178" s="8">
        <f t="shared" si="40"/>
        <v>0</v>
      </c>
      <c r="BG178" s="50"/>
    </row>
    <row r="179" spans="1:59">
      <c r="A179" s="45" t="s">
        <v>48</v>
      </c>
      <c r="B179" s="38"/>
      <c r="C179" s="18"/>
      <c r="D179" s="40"/>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0"/>
      <c r="BF179" s="8">
        <f t="shared" si="40"/>
        <v>0</v>
      </c>
      <c r="BG179" s="50"/>
    </row>
    <row r="180" spans="1:59">
      <c r="A180" s="38"/>
      <c r="B180" s="38"/>
      <c r="C180" s="18"/>
      <c r="D180" s="40"/>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0"/>
      <c r="BF180" s="8">
        <f t="shared" si="40"/>
        <v>0</v>
      </c>
      <c r="BG180" s="50"/>
    </row>
    <row r="181" spans="1:59">
      <c r="A181" s="81" t="s">
        <v>141</v>
      </c>
      <c r="B181" s="38"/>
      <c r="C181" s="18"/>
      <c r="D181" s="40"/>
      <c r="E181" s="20"/>
      <c r="F181" s="20"/>
      <c r="G181" s="20"/>
      <c r="H181" s="20"/>
      <c r="I181" s="20"/>
      <c r="J181" s="20"/>
      <c r="K181" s="20"/>
      <c r="L181" s="20"/>
      <c r="M181" s="20"/>
      <c r="N181" s="20"/>
      <c r="O181" s="20"/>
      <c r="P181" s="20"/>
      <c r="Q181" s="20"/>
      <c r="R181" s="20"/>
      <c r="S181" s="20"/>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0"/>
      <c r="BF181" s="8">
        <f t="shared" si="40"/>
        <v>0</v>
      </c>
      <c r="BG181" s="50"/>
    </row>
    <row r="182" spans="1:59">
      <c r="A182" s="68" t="s">
        <v>49</v>
      </c>
      <c r="B182" s="82" t="s">
        <v>142</v>
      </c>
      <c r="C182" s="11" t="s">
        <v>16</v>
      </c>
      <c r="D182" s="40"/>
      <c r="E182" s="52">
        <v>59</v>
      </c>
      <c r="F182" s="52">
        <v>10</v>
      </c>
      <c r="G182" s="52">
        <v>54</v>
      </c>
      <c r="H182" s="52">
        <v>56</v>
      </c>
      <c r="I182" s="52">
        <v>61</v>
      </c>
      <c r="J182" s="52">
        <v>114</v>
      </c>
      <c r="K182" s="52"/>
      <c r="L182" s="52">
        <v>59</v>
      </c>
      <c r="M182" s="52"/>
      <c r="N182" s="52">
        <v>48</v>
      </c>
      <c r="O182" s="52">
        <v>58</v>
      </c>
      <c r="P182" s="52">
        <v>45</v>
      </c>
      <c r="Q182" s="52">
        <v>46</v>
      </c>
      <c r="R182" s="52">
        <v>22</v>
      </c>
      <c r="S182" s="52">
        <v>31</v>
      </c>
      <c r="T182" s="52"/>
      <c r="U182" s="52">
        <v>35</v>
      </c>
      <c r="V182" s="52">
        <v>11</v>
      </c>
      <c r="W182" s="52">
        <v>20</v>
      </c>
      <c r="X182" s="52">
        <v>22</v>
      </c>
      <c r="Y182" s="52">
        <v>32</v>
      </c>
      <c r="Z182" s="52">
        <v>22</v>
      </c>
      <c r="AA182" s="52">
        <v>18</v>
      </c>
      <c r="AB182" s="52">
        <v>17</v>
      </c>
      <c r="AC182" s="52">
        <v>23</v>
      </c>
      <c r="AD182" s="52">
        <v>53</v>
      </c>
      <c r="AE182" s="52"/>
      <c r="AF182" s="52">
        <v>65</v>
      </c>
      <c r="AG182" s="52">
        <v>32</v>
      </c>
      <c r="AH182" s="52">
        <v>14</v>
      </c>
      <c r="AI182" s="52">
        <v>14</v>
      </c>
      <c r="AJ182" s="52">
        <v>16</v>
      </c>
      <c r="AK182" s="52">
        <v>12</v>
      </c>
      <c r="AL182" s="52">
        <v>9</v>
      </c>
      <c r="AM182" s="52">
        <v>9</v>
      </c>
      <c r="AN182" s="52">
        <v>8</v>
      </c>
      <c r="AO182" s="52">
        <v>6</v>
      </c>
      <c r="AP182" s="52">
        <v>6</v>
      </c>
      <c r="AQ182" s="52">
        <v>7</v>
      </c>
      <c r="AR182" s="52">
        <v>9</v>
      </c>
      <c r="AS182" s="52">
        <v>23</v>
      </c>
      <c r="AT182" s="52">
        <v>0</v>
      </c>
      <c r="AU182" s="52">
        <v>0</v>
      </c>
      <c r="AV182" s="52">
        <v>0</v>
      </c>
      <c r="AW182" s="52">
        <v>6</v>
      </c>
      <c r="AX182" s="52">
        <v>8</v>
      </c>
      <c r="AY182" s="52">
        <v>9</v>
      </c>
      <c r="AZ182" s="52">
        <v>52</v>
      </c>
      <c r="BA182" s="52">
        <v>56</v>
      </c>
      <c r="BB182" s="52">
        <v>61</v>
      </c>
      <c r="BC182" s="52">
        <v>54</v>
      </c>
      <c r="BD182" s="52"/>
      <c r="BE182" s="53"/>
      <c r="BF182" s="8">
        <f t="shared" si="40"/>
        <v>47</v>
      </c>
      <c r="BG182" s="50"/>
    </row>
    <row r="183" spans="1:59">
      <c r="A183" s="68" t="s">
        <v>51</v>
      </c>
      <c r="B183" s="82" t="s">
        <v>142</v>
      </c>
      <c r="C183" s="22" t="s">
        <v>16</v>
      </c>
      <c r="D183" s="40"/>
      <c r="E183" s="52">
        <v>91</v>
      </c>
      <c r="F183" s="52">
        <v>87</v>
      </c>
      <c r="G183" s="52">
        <v>88</v>
      </c>
      <c r="H183" s="52">
        <v>77</v>
      </c>
      <c r="I183" s="52">
        <v>144</v>
      </c>
      <c r="J183" s="52"/>
      <c r="K183" s="52"/>
      <c r="L183" s="52">
        <v>100</v>
      </c>
      <c r="M183" s="52"/>
      <c r="N183" s="52">
        <v>80</v>
      </c>
      <c r="O183" s="52">
        <v>82</v>
      </c>
      <c r="P183" s="52">
        <v>65</v>
      </c>
      <c r="Q183" s="52">
        <v>71</v>
      </c>
      <c r="R183" s="52">
        <v>45</v>
      </c>
      <c r="S183" s="52">
        <v>43</v>
      </c>
      <c r="T183" s="52"/>
      <c r="U183" s="52">
        <v>52</v>
      </c>
      <c r="V183" s="52">
        <v>21</v>
      </c>
      <c r="W183" s="52">
        <v>21</v>
      </c>
      <c r="X183" s="52">
        <v>33</v>
      </c>
      <c r="Y183" s="52">
        <v>28</v>
      </c>
      <c r="Z183" s="52">
        <v>29</v>
      </c>
      <c r="AA183" s="52">
        <v>20</v>
      </c>
      <c r="AB183" s="52">
        <v>23</v>
      </c>
      <c r="AC183" s="52">
        <v>42</v>
      </c>
      <c r="AD183" s="52">
        <v>56</v>
      </c>
      <c r="AE183" s="52"/>
      <c r="AF183" s="52">
        <v>91</v>
      </c>
      <c r="AG183" s="52">
        <v>29</v>
      </c>
      <c r="AH183" s="52">
        <v>17</v>
      </c>
      <c r="AI183" s="52">
        <v>15</v>
      </c>
      <c r="AJ183" s="52">
        <v>20</v>
      </c>
      <c r="AK183" s="52">
        <v>12</v>
      </c>
      <c r="AL183" s="52">
        <v>13</v>
      </c>
      <c r="AM183" s="52">
        <v>11</v>
      </c>
      <c r="AN183" s="52">
        <v>15</v>
      </c>
      <c r="AO183" s="52">
        <v>10</v>
      </c>
      <c r="AP183" s="52">
        <v>9</v>
      </c>
      <c r="AQ183" s="52">
        <v>10</v>
      </c>
      <c r="AR183" s="52">
        <v>19</v>
      </c>
      <c r="AS183" s="52">
        <v>10</v>
      </c>
      <c r="AT183" s="52">
        <v>8</v>
      </c>
      <c r="AU183" s="52">
        <v>6</v>
      </c>
      <c r="AV183" s="52">
        <v>8</v>
      </c>
      <c r="AW183" s="52">
        <v>13</v>
      </c>
      <c r="AX183" s="52">
        <v>14</v>
      </c>
      <c r="AY183" s="52">
        <v>18</v>
      </c>
      <c r="AZ183" s="52">
        <v>98</v>
      </c>
      <c r="BA183" s="52">
        <v>130</v>
      </c>
      <c r="BB183" s="52">
        <v>167</v>
      </c>
      <c r="BC183" s="52">
        <v>107</v>
      </c>
      <c r="BD183" s="52">
        <v>58</v>
      </c>
      <c r="BE183" s="53"/>
      <c r="BF183" s="8">
        <f t="shared" si="40"/>
        <v>47</v>
      </c>
    </row>
    <row r="184" spans="1:59" ht="13" hidden="1" customHeight="1">
      <c r="A184" s="68" t="s">
        <v>143</v>
      </c>
      <c r="B184" s="83" t="s">
        <v>60</v>
      </c>
      <c r="C184" s="84"/>
      <c r="D184" s="40"/>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3"/>
      <c r="BF184" s="8">
        <f t="shared" si="40"/>
        <v>0</v>
      </c>
    </row>
    <row r="185" spans="1:59" ht="12" customHeight="1">
      <c r="A185" s="85" t="s">
        <v>53</v>
      </c>
      <c r="B185" s="85" t="s">
        <v>54</v>
      </c>
      <c r="C185" s="24" t="s">
        <v>16</v>
      </c>
      <c r="D185" s="60"/>
      <c r="E185" s="75">
        <f t="shared" ref="E185:AJ185" si="41">IF(OR(ISBLANK(E182),ISBLANK(E183)),"uncalcuable",E183-E182)</f>
        <v>32</v>
      </c>
      <c r="F185" s="75">
        <f t="shared" si="41"/>
        <v>77</v>
      </c>
      <c r="G185" s="75">
        <f t="shared" si="41"/>
        <v>34</v>
      </c>
      <c r="H185" s="75">
        <f t="shared" si="41"/>
        <v>21</v>
      </c>
      <c r="I185" s="75">
        <f t="shared" si="41"/>
        <v>83</v>
      </c>
      <c r="J185" s="75" t="str">
        <f t="shared" si="41"/>
        <v>uncalcuable</v>
      </c>
      <c r="K185" s="75" t="str">
        <f t="shared" si="41"/>
        <v>uncalcuable</v>
      </c>
      <c r="L185" s="75">
        <f t="shared" si="41"/>
        <v>41</v>
      </c>
      <c r="M185" s="75" t="str">
        <f t="shared" si="41"/>
        <v>uncalcuable</v>
      </c>
      <c r="N185" s="75">
        <f t="shared" si="41"/>
        <v>32</v>
      </c>
      <c r="O185" s="75">
        <f t="shared" si="41"/>
        <v>24</v>
      </c>
      <c r="P185" s="75">
        <f t="shared" si="41"/>
        <v>20</v>
      </c>
      <c r="Q185" s="75">
        <f t="shared" si="41"/>
        <v>25</v>
      </c>
      <c r="R185" s="75">
        <f t="shared" si="41"/>
        <v>23</v>
      </c>
      <c r="S185" s="75">
        <f t="shared" si="41"/>
        <v>12</v>
      </c>
      <c r="T185" s="75" t="str">
        <f t="shared" si="41"/>
        <v>uncalcuable</v>
      </c>
      <c r="U185" s="75">
        <f t="shared" si="41"/>
        <v>17</v>
      </c>
      <c r="V185" s="75">
        <f t="shared" si="41"/>
        <v>10</v>
      </c>
      <c r="W185" s="75">
        <f t="shared" si="41"/>
        <v>1</v>
      </c>
      <c r="X185" s="75">
        <f t="shared" si="41"/>
        <v>11</v>
      </c>
      <c r="Y185" s="75">
        <f t="shared" si="41"/>
        <v>-4</v>
      </c>
      <c r="Z185" s="75">
        <f t="shared" si="41"/>
        <v>7</v>
      </c>
      <c r="AA185" s="75">
        <f t="shared" si="41"/>
        <v>2</v>
      </c>
      <c r="AB185" s="75">
        <f t="shared" si="41"/>
        <v>6</v>
      </c>
      <c r="AC185" s="75">
        <f t="shared" si="41"/>
        <v>19</v>
      </c>
      <c r="AD185" s="75">
        <f t="shared" si="41"/>
        <v>3</v>
      </c>
      <c r="AE185" s="75" t="str">
        <f t="shared" si="41"/>
        <v>uncalcuable</v>
      </c>
      <c r="AF185" s="75">
        <f t="shared" si="41"/>
        <v>26</v>
      </c>
      <c r="AG185" s="75">
        <f t="shared" si="41"/>
        <v>-3</v>
      </c>
      <c r="AH185" s="75">
        <f t="shared" si="41"/>
        <v>3</v>
      </c>
      <c r="AI185" s="75">
        <f t="shared" si="41"/>
        <v>1</v>
      </c>
      <c r="AJ185" s="75">
        <f t="shared" si="41"/>
        <v>4</v>
      </c>
      <c r="AK185" s="75">
        <f t="shared" ref="AK185:BD185" si="42">IF(OR(ISBLANK(AK182),ISBLANK(AK183)),"uncalcuable",AK183-AK182)</f>
        <v>0</v>
      </c>
      <c r="AL185" s="75">
        <f t="shared" si="42"/>
        <v>4</v>
      </c>
      <c r="AM185" s="75">
        <f t="shared" si="42"/>
        <v>2</v>
      </c>
      <c r="AN185" s="75">
        <f t="shared" si="42"/>
        <v>7</v>
      </c>
      <c r="AO185" s="75">
        <f t="shared" si="42"/>
        <v>4</v>
      </c>
      <c r="AP185" s="75">
        <f t="shared" si="42"/>
        <v>3</v>
      </c>
      <c r="AQ185" s="75">
        <f t="shared" si="42"/>
        <v>3</v>
      </c>
      <c r="AR185" s="75">
        <f t="shared" si="42"/>
        <v>10</v>
      </c>
      <c r="AS185" s="75">
        <f t="shared" si="42"/>
        <v>-13</v>
      </c>
      <c r="AT185" s="75">
        <f t="shared" si="42"/>
        <v>8</v>
      </c>
      <c r="AU185" s="75">
        <f t="shared" si="42"/>
        <v>6</v>
      </c>
      <c r="AV185" s="75">
        <f t="shared" si="42"/>
        <v>8</v>
      </c>
      <c r="AW185" s="75">
        <f t="shared" si="42"/>
        <v>7</v>
      </c>
      <c r="AX185" s="75">
        <f t="shared" si="42"/>
        <v>6</v>
      </c>
      <c r="AY185" s="75">
        <f t="shared" si="42"/>
        <v>9</v>
      </c>
      <c r="AZ185" s="75">
        <f t="shared" si="42"/>
        <v>46</v>
      </c>
      <c r="BA185" s="75">
        <f t="shared" si="42"/>
        <v>74</v>
      </c>
      <c r="BB185" s="75">
        <f t="shared" si="42"/>
        <v>106</v>
      </c>
      <c r="BC185" s="75">
        <f t="shared" si="42"/>
        <v>53</v>
      </c>
      <c r="BD185" s="75" t="str">
        <f t="shared" si="42"/>
        <v>uncalcuable</v>
      </c>
      <c r="BE185" s="53"/>
      <c r="BF185" s="8">
        <f t="shared" si="40"/>
        <v>46</v>
      </c>
    </row>
    <row r="186" spans="1:59">
      <c r="A186" s="86" t="s">
        <v>144</v>
      </c>
      <c r="B186" s="87"/>
      <c r="C186" s="88"/>
      <c r="D186" s="89"/>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53"/>
      <c r="BF186" s="8">
        <f t="shared" si="40"/>
        <v>0</v>
      </c>
      <c r="BG186" s="50"/>
    </row>
    <row r="187" spans="1:59">
      <c r="A187" s="87" t="s">
        <v>51</v>
      </c>
      <c r="B187" s="87" t="s">
        <v>60</v>
      </c>
      <c r="C187" s="88" t="s">
        <v>16</v>
      </c>
      <c r="D187" s="89"/>
      <c r="E187" s="67">
        <v>131</v>
      </c>
      <c r="F187" s="67">
        <v>125</v>
      </c>
      <c r="G187" s="67">
        <v>130</v>
      </c>
      <c r="H187" s="67">
        <v>122</v>
      </c>
      <c r="I187" s="67">
        <v>167</v>
      </c>
      <c r="J187" s="67">
        <v>130</v>
      </c>
      <c r="K187" s="67"/>
      <c r="L187" s="67">
        <v>136</v>
      </c>
      <c r="M187" s="67"/>
      <c r="N187" s="67">
        <v>68</v>
      </c>
      <c r="O187" s="67">
        <v>127</v>
      </c>
      <c r="P187" s="67">
        <v>100</v>
      </c>
      <c r="Q187" s="67"/>
      <c r="R187" s="67"/>
      <c r="S187" s="67"/>
      <c r="T187" s="67"/>
      <c r="U187" s="67"/>
      <c r="V187" s="67"/>
      <c r="W187" s="67">
        <v>54</v>
      </c>
      <c r="X187" s="67">
        <v>56</v>
      </c>
      <c r="Y187" s="67">
        <v>35</v>
      </c>
      <c r="Z187" s="67">
        <v>29</v>
      </c>
      <c r="AA187" s="67">
        <v>38</v>
      </c>
      <c r="AB187" s="67">
        <v>37</v>
      </c>
      <c r="AC187" s="67">
        <v>44</v>
      </c>
      <c r="AD187" s="67">
        <v>49</v>
      </c>
      <c r="AE187" s="67"/>
      <c r="AF187" s="67">
        <v>98</v>
      </c>
      <c r="AG187" s="67">
        <v>56</v>
      </c>
      <c r="AH187" s="67">
        <v>44</v>
      </c>
      <c r="AI187" s="67">
        <v>44</v>
      </c>
      <c r="AJ187" s="67">
        <v>49</v>
      </c>
      <c r="AK187" s="67"/>
      <c r="AL187" s="67">
        <v>49</v>
      </c>
      <c r="AM187" s="67">
        <v>27</v>
      </c>
      <c r="AN187" s="67">
        <v>26</v>
      </c>
      <c r="AO187" s="67">
        <v>26</v>
      </c>
      <c r="AP187" s="67"/>
      <c r="AQ187" s="67"/>
      <c r="AR187" s="67">
        <v>35</v>
      </c>
      <c r="AS187" s="67">
        <v>102</v>
      </c>
      <c r="AT187" s="67">
        <v>44</v>
      </c>
      <c r="AU187" s="67">
        <v>38</v>
      </c>
      <c r="AV187" s="67">
        <v>86</v>
      </c>
      <c r="AW187" s="67">
        <v>54</v>
      </c>
      <c r="AX187" s="67">
        <v>76</v>
      </c>
      <c r="AY187" s="67">
        <v>69</v>
      </c>
      <c r="AZ187" s="67">
        <v>98</v>
      </c>
      <c r="BA187" s="67">
        <v>107</v>
      </c>
      <c r="BB187" s="67">
        <v>207</v>
      </c>
      <c r="BC187" s="67">
        <v>121</v>
      </c>
      <c r="BD187" s="67"/>
      <c r="BE187" s="53"/>
      <c r="BF187" s="8">
        <f t="shared" si="40"/>
        <v>39</v>
      </c>
      <c r="BG187" s="50"/>
    </row>
    <row r="188" spans="1:59">
      <c r="A188" s="86" t="s">
        <v>145</v>
      </c>
      <c r="B188" s="87"/>
      <c r="C188" s="88"/>
      <c r="D188" s="89"/>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53"/>
      <c r="BF188" s="8">
        <f t="shared" si="40"/>
        <v>0</v>
      </c>
      <c r="BG188" s="50"/>
    </row>
    <row r="189" spans="1:59">
      <c r="A189" s="87" t="s">
        <v>51</v>
      </c>
      <c r="B189" s="87" t="s">
        <v>60</v>
      </c>
      <c r="C189" s="88" t="s">
        <v>16</v>
      </c>
      <c r="D189" s="89"/>
      <c r="E189" s="67">
        <v>82</v>
      </c>
      <c r="F189" s="67">
        <v>76</v>
      </c>
      <c r="G189" s="67">
        <v>85</v>
      </c>
      <c r="H189" s="67">
        <v>97</v>
      </c>
      <c r="I189" s="67">
        <v>74</v>
      </c>
      <c r="J189" s="67">
        <v>76</v>
      </c>
      <c r="K189" s="67"/>
      <c r="L189" s="67">
        <v>91</v>
      </c>
      <c r="M189" s="67"/>
      <c r="N189" s="67">
        <v>52</v>
      </c>
      <c r="O189" s="67">
        <v>60</v>
      </c>
      <c r="P189" s="67">
        <v>81</v>
      </c>
      <c r="Q189" s="67">
        <v>55</v>
      </c>
      <c r="R189" s="67">
        <v>32</v>
      </c>
      <c r="S189" s="67"/>
      <c r="T189" s="67"/>
      <c r="U189" s="67">
        <v>30</v>
      </c>
      <c r="V189" s="67">
        <v>11</v>
      </c>
      <c r="W189" s="67">
        <v>20</v>
      </c>
      <c r="X189" s="67">
        <v>22</v>
      </c>
      <c r="Y189" s="67">
        <v>24</v>
      </c>
      <c r="Z189" s="67">
        <v>28</v>
      </c>
      <c r="AA189" s="67">
        <v>22</v>
      </c>
      <c r="AB189" s="67">
        <v>31</v>
      </c>
      <c r="AC189" s="67"/>
      <c r="AD189" s="67">
        <v>38</v>
      </c>
      <c r="AE189" s="67"/>
      <c r="AF189" s="67">
        <v>143</v>
      </c>
      <c r="AG189" s="67">
        <v>58</v>
      </c>
      <c r="AH189" s="67">
        <v>53</v>
      </c>
      <c r="AI189" s="67">
        <v>34</v>
      </c>
      <c r="AJ189" s="67">
        <v>38</v>
      </c>
      <c r="AK189" s="67">
        <v>28</v>
      </c>
      <c r="AL189" s="67">
        <v>31</v>
      </c>
      <c r="AM189" s="67">
        <v>28</v>
      </c>
      <c r="AN189" s="67">
        <v>25</v>
      </c>
      <c r="AO189" s="67">
        <v>22</v>
      </c>
      <c r="AP189" s="67">
        <v>28</v>
      </c>
      <c r="AQ189" s="67">
        <v>24</v>
      </c>
      <c r="AR189" s="67">
        <v>26</v>
      </c>
      <c r="AS189" s="67">
        <v>36</v>
      </c>
      <c r="AT189" s="67">
        <v>35</v>
      </c>
      <c r="AU189" s="67">
        <v>40</v>
      </c>
      <c r="AV189" s="67">
        <v>44</v>
      </c>
      <c r="AW189" s="67">
        <v>45</v>
      </c>
      <c r="AX189" s="67">
        <v>57</v>
      </c>
      <c r="AY189" s="67">
        <v>46</v>
      </c>
      <c r="AZ189" s="67">
        <v>59</v>
      </c>
      <c r="BA189" s="67">
        <v>84</v>
      </c>
      <c r="BB189" s="67">
        <v>59</v>
      </c>
      <c r="BC189" s="67">
        <v>55</v>
      </c>
      <c r="BD189" s="67"/>
      <c r="BE189" s="53"/>
      <c r="BF189" s="8">
        <f t="shared" si="40"/>
        <v>45</v>
      </c>
      <c r="BG189" s="50"/>
    </row>
    <row r="190" spans="1:59">
      <c r="A190" s="90" t="s">
        <v>146</v>
      </c>
      <c r="B190" s="83"/>
      <c r="C190" s="84"/>
      <c r="D190" s="40"/>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3"/>
      <c r="BF190" s="8">
        <f t="shared" si="40"/>
        <v>0</v>
      </c>
      <c r="BG190" s="50"/>
    </row>
    <row r="191" spans="1:59">
      <c r="A191" s="68" t="s">
        <v>147</v>
      </c>
      <c r="B191" s="83" t="s">
        <v>60</v>
      </c>
      <c r="C191" s="84" t="s">
        <v>16</v>
      </c>
      <c r="D191" s="40"/>
      <c r="E191" s="52"/>
      <c r="F191" s="52"/>
      <c r="G191" s="52"/>
      <c r="H191" s="52"/>
      <c r="I191" s="52"/>
      <c r="J191" s="52"/>
      <c r="K191" s="52"/>
      <c r="L191" s="52"/>
      <c r="M191" s="52"/>
      <c r="N191" s="52"/>
      <c r="O191" s="52"/>
      <c r="P191" s="52"/>
      <c r="Q191" s="52"/>
      <c r="R191" s="52"/>
      <c r="S191" s="52"/>
      <c r="T191" s="52"/>
      <c r="U191" s="52"/>
      <c r="V191" s="52"/>
      <c r="W191" s="52"/>
      <c r="X191" s="52"/>
      <c r="Y191" s="52"/>
      <c r="Z191" s="52"/>
      <c r="AA191" s="52">
        <v>21</v>
      </c>
      <c r="AB191" s="52">
        <v>27</v>
      </c>
      <c r="AC191" s="52">
        <v>42</v>
      </c>
      <c r="AD191" s="52">
        <v>64</v>
      </c>
      <c r="AE191" s="52"/>
      <c r="AF191" s="52">
        <v>120</v>
      </c>
      <c r="AG191" s="52">
        <v>42</v>
      </c>
      <c r="AH191" s="52">
        <v>38</v>
      </c>
      <c r="AI191" s="52">
        <v>28</v>
      </c>
      <c r="AJ191" s="52">
        <v>33</v>
      </c>
      <c r="AK191" s="52">
        <v>24</v>
      </c>
      <c r="AL191" s="52">
        <v>26</v>
      </c>
      <c r="AM191" s="52">
        <v>19</v>
      </c>
      <c r="AN191" s="52">
        <v>18</v>
      </c>
      <c r="AO191" s="52">
        <v>18</v>
      </c>
      <c r="AP191" s="52">
        <v>22</v>
      </c>
      <c r="AQ191" s="52">
        <v>19</v>
      </c>
      <c r="AR191" s="52">
        <v>22</v>
      </c>
      <c r="AS191" s="52">
        <v>28</v>
      </c>
      <c r="AT191" s="52">
        <v>31</v>
      </c>
      <c r="AU191" s="52">
        <v>24</v>
      </c>
      <c r="AV191" s="52">
        <v>41</v>
      </c>
      <c r="AW191" s="52">
        <v>35</v>
      </c>
      <c r="AX191" s="52">
        <v>42</v>
      </c>
      <c r="AY191" s="52">
        <v>46</v>
      </c>
      <c r="AZ191" s="52"/>
      <c r="BA191" s="52"/>
      <c r="BB191" s="52"/>
      <c r="BC191" s="52"/>
      <c r="BD191" s="52"/>
      <c r="BE191" s="53"/>
      <c r="BF191" s="8">
        <f t="shared" si="40"/>
        <v>24</v>
      </c>
      <c r="BG191" s="50"/>
    </row>
    <row r="192" spans="1:59">
      <c r="A192" s="68" t="s">
        <v>51</v>
      </c>
      <c r="B192" s="83" t="s">
        <v>142</v>
      </c>
      <c r="C192" s="22" t="s">
        <v>16</v>
      </c>
      <c r="D192" s="40"/>
      <c r="E192" s="52"/>
      <c r="F192" s="52"/>
      <c r="G192" s="52"/>
      <c r="H192" s="52"/>
      <c r="I192" s="52"/>
      <c r="J192" s="52"/>
      <c r="K192" s="52"/>
      <c r="L192" s="52"/>
      <c r="M192" s="52"/>
      <c r="N192" s="52"/>
      <c r="O192" s="52"/>
      <c r="P192" s="52"/>
      <c r="Q192" s="52"/>
      <c r="R192" s="52"/>
      <c r="S192" s="52"/>
      <c r="T192" s="52"/>
      <c r="U192" s="52"/>
      <c r="V192" s="52"/>
      <c r="W192" s="52"/>
      <c r="X192" s="52"/>
      <c r="Y192" s="52"/>
      <c r="Z192" s="52"/>
      <c r="AA192" s="52">
        <v>22</v>
      </c>
      <c r="AB192" s="52">
        <v>35</v>
      </c>
      <c r="AC192" s="52">
        <v>50</v>
      </c>
      <c r="AD192" s="52">
        <v>60</v>
      </c>
      <c r="AE192" s="52"/>
      <c r="AF192" s="52">
        <v>131</v>
      </c>
      <c r="AG192" s="52">
        <v>53</v>
      </c>
      <c r="AH192" s="52">
        <v>41</v>
      </c>
      <c r="AI192" s="52">
        <v>31</v>
      </c>
      <c r="AJ192" s="52">
        <v>37</v>
      </c>
      <c r="AK192" s="52">
        <v>27</v>
      </c>
      <c r="AL192" s="52">
        <v>31</v>
      </c>
      <c r="AM192" s="52">
        <v>30</v>
      </c>
      <c r="AN192" s="52">
        <v>28</v>
      </c>
      <c r="AO192" s="52">
        <v>23</v>
      </c>
      <c r="AP192" s="52">
        <v>27</v>
      </c>
      <c r="AQ192" s="52">
        <v>28</v>
      </c>
      <c r="AR192" s="52">
        <v>28</v>
      </c>
      <c r="AS192" s="52">
        <v>131</v>
      </c>
      <c r="AT192" s="52">
        <v>30</v>
      </c>
      <c r="AU192" s="52">
        <v>31</v>
      </c>
      <c r="AV192" s="52">
        <v>50</v>
      </c>
      <c r="AW192" s="52">
        <v>44</v>
      </c>
      <c r="AX192" s="52">
        <v>64</v>
      </c>
      <c r="AY192" s="52">
        <v>68</v>
      </c>
      <c r="AZ192" s="52"/>
      <c r="BA192" s="52"/>
      <c r="BB192" s="52"/>
      <c r="BC192" s="52"/>
      <c r="BD192" s="52"/>
      <c r="BE192" s="53"/>
      <c r="BF192" s="8">
        <f t="shared" si="40"/>
        <v>24</v>
      </c>
    </row>
    <row r="193" spans="1:58">
      <c r="A193" s="91" t="s">
        <v>148</v>
      </c>
      <c r="B193" s="85" t="s">
        <v>60</v>
      </c>
      <c r="C193" s="24" t="s">
        <v>16</v>
      </c>
      <c r="D193" s="60"/>
      <c r="E193" s="75">
        <f t="shared" ref="E193:AJ193" si="43">IF(AND(COUNT(E183)=0,COUNT(E192)=0),"uncalcuable",IF(AND(COUNT(E183)=1,COUNT(E192)=0),E183,E192))</f>
        <v>91</v>
      </c>
      <c r="F193" s="75">
        <f t="shared" si="43"/>
        <v>87</v>
      </c>
      <c r="G193" s="75">
        <f t="shared" si="43"/>
        <v>88</v>
      </c>
      <c r="H193" s="75">
        <f t="shared" si="43"/>
        <v>77</v>
      </c>
      <c r="I193" s="75">
        <f t="shared" si="43"/>
        <v>144</v>
      </c>
      <c r="J193" s="75" t="str">
        <f t="shared" si="43"/>
        <v>uncalcuable</v>
      </c>
      <c r="K193" s="75" t="str">
        <f t="shared" si="43"/>
        <v>uncalcuable</v>
      </c>
      <c r="L193" s="75">
        <f t="shared" si="43"/>
        <v>100</v>
      </c>
      <c r="M193" s="75" t="str">
        <f t="shared" si="43"/>
        <v>uncalcuable</v>
      </c>
      <c r="N193" s="75">
        <f t="shared" si="43"/>
        <v>80</v>
      </c>
      <c r="O193" s="75">
        <f t="shared" si="43"/>
        <v>82</v>
      </c>
      <c r="P193" s="75">
        <f t="shared" si="43"/>
        <v>65</v>
      </c>
      <c r="Q193" s="75">
        <f t="shared" si="43"/>
        <v>71</v>
      </c>
      <c r="R193" s="75">
        <f t="shared" si="43"/>
        <v>45</v>
      </c>
      <c r="S193" s="75">
        <f t="shared" si="43"/>
        <v>43</v>
      </c>
      <c r="T193" s="75" t="str">
        <f t="shared" si="43"/>
        <v>uncalcuable</v>
      </c>
      <c r="U193" s="75">
        <f t="shared" si="43"/>
        <v>52</v>
      </c>
      <c r="V193" s="75">
        <f t="shared" si="43"/>
        <v>21</v>
      </c>
      <c r="W193" s="75">
        <f t="shared" si="43"/>
        <v>21</v>
      </c>
      <c r="X193" s="75">
        <f t="shared" si="43"/>
        <v>33</v>
      </c>
      <c r="Y193" s="75">
        <f t="shared" si="43"/>
        <v>28</v>
      </c>
      <c r="Z193" s="75">
        <f t="shared" si="43"/>
        <v>29</v>
      </c>
      <c r="AA193" s="75">
        <f t="shared" si="43"/>
        <v>22</v>
      </c>
      <c r="AB193" s="75">
        <f t="shared" si="43"/>
        <v>35</v>
      </c>
      <c r="AC193" s="75">
        <f t="shared" si="43"/>
        <v>50</v>
      </c>
      <c r="AD193" s="75">
        <f t="shared" si="43"/>
        <v>60</v>
      </c>
      <c r="AE193" s="75" t="str">
        <f t="shared" si="43"/>
        <v>uncalcuable</v>
      </c>
      <c r="AF193" s="75">
        <f t="shared" si="43"/>
        <v>131</v>
      </c>
      <c r="AG193" s="75">
        <f t="shared" si="43"/>
        <v>53</v>
      </c>
      <c r="AH193" s="75">
        <f t="shared" si="43"/>
        <v>41</v>
      </c>
      <c r="AI193" s="75">
        <f t="shared" si="43"/>
        <v>31</v>
      </c>
      <c r="AJ193" s="75">
        <f t="shared" si="43"/>
        <v>37</v>
      </c>
      <c r="AK193" s="75">
        <f t="shared" ref="AK193:BD193" si="44">IF(AND(COUNT(AK183)=0,COUNT(AK192)=0),"uncalcuable",IF(AND(COUNT(AK183)=1,COUNT(AK192)=0),AK183,AK192))</f>
        <v>27</v>
      </c>
      <c r="AL193" s="75">
        <f t="shared" si="44"/>
        <v>31</v>
      </c>
      <c r="AM193" s="75">
        <f t="shared" si="44"/>
        <v>30</v>
      </c>
      <c r="AN193" s="75">
        <f t="shared" si="44"/>
        <v>28</v>
      </c>
      <c r="AO193" s="75">
        <f t="shared" si="44"/>
        <v>23</v>
      </c>
      <c r="AP193" s="75">
        <f t="shared" si="44"/>
        <v>27</v>
      </c>
      <c r="AQ193" s="75">
        <f t="shared" si="44"/>
        <v>28</v>
      </c>
      <c r="AR193" s="75">
        <f t="shared" si="44"/>
        <v>28</v>
      </c>
      <c r="AS193" s="75">
        <f t="shared" si="44"/>
        <v>131</v>
      </c>
      <c r="AT193" s="75">
        <f t="shared" si="44"/>
        <v>30</v>
      </c>
      <c r="AU193" s="75">
        <f t="shared" si="44"/>
        <v>31</v>
      </c>
      <c r="AV193" s="75">
        <f t="shared" si="44"/>
        <v>50</v>
      </c>
      <c r="AW193" s="75">
        <f t="shared" si="44"/>
        <v>44</v>
      </c>
      <c r="AX193" s="75">
        <f t="shared" si="44"/>
        <v>64</v>
      </c>
      <c r="AY193" s="75">
        <f t="shared" si="44"/>
        <v>68</v>
      </c>
      <c r="AZ193" s="75">
        <f t="shared" si="44"/>
        <v>98</v>
      </c>
      <c r="BA193" s="75">
        <f t="shared" si="44"/>
        <v>130</v>
      </c>
      <c r="BB193" s="75">
        <f t="shared" si="44"/>
        <v>167</v>
      </c>
      <c r="BC193" s="75">
        <f t="shared" si="44"/>
        <v>107</v>
      </c>
      <c r="BD193" s="75">
        <f t="shared" si="44"/>
        <v>58</v>
      </c>
      <c r="BE193" s="53"/>
      <c r="BF193" s="8">
        <f t="shared" si="40"/>
        <v>47</v>
      </c>
    </row>
    <row r="194" spans="1:58">
      <c r="A194" s="68" t="s">
        <v>55</v>
      </c>
      <c r="B194" s="68" t="s">
        <v>56</v>
      </c>
      <c r="C194" s="27" t="s">
        <v>16</v>
      </c>
      <c r="D194" s="40"/>
      <c r="E194" s="69"/>
      <c r="F194" s="69">
        <v>0</v>
      </c>
      <c r="G194" s="69">
        <v>0</v>
      </c>
      <c r="H194" s="69"/>
      <c r="I194" s="69"/>
      <c r="J194" s="69"/>
      <c r="K194" s="69"/>
      <c r="L194" s="69">
        <v>0</v>
      </c>
      <c r="M194" s="69"/>
      <c r="N194" s="69">
        <v>0</v>
      </c>
      <c r="O194" s="69"/>
      <c r="P194" s="69">
        <v>0</v>
      </c>
      <c r="Q194" s="69">
        <v>0</v>
      </c>
      <c r="R194" s="69">
        <v>0</v>
      </c>
      <c r="S194" s="69">
        <v>0</v>
      </c>
      <c r="T194" s="69"/>
      <c r="U194" s="69">
        <v>0.06</v>
      </c>
      <c r="V194" s="69">
        <v>0.04</v>
      </c>
      <c r="W194" s="69">
        <v>0.04</v>
      </c>
      <c r="X194" s="69">
        <v>0</v>
      </c>
      <c r="Y194" s="69">
        <v>0.06</v>
      </c>
      <c r="Z194" s="69">
        <v>0.06</v>
      </c>
      <c r="AA194" s="69">
        <v>0</v>
      </c>
      <c r="AB194" s="69">
        <v>0</v>
      </c>
      <c r="AC194" s="69">
        <v>0.05</v>
      </c>
      <c r="AD194" s="69">
        <v>7.0000000000000007E-2</v>
      </c>
      <c r="AE194" s="69">
        <v>0.05</v>
      </c>
      <c r="AF194" s="69">
        <v>0.05</v>
      </c>
      <c r="AG194" s="69">
        <v>0.05</v>
      </c>
      <c r="AH194" s="69">
        <v>0.1</v>
      </c>
      <c r="AI194" s="69">
        <v>0.04</v>
      </c>
      <c r="AJ194" s="69">
        <v>0.04</v>
      </c>
      <c r="AK194" s="69">
        <v>0.04</v>
      </c>
      <c r="AL194" s="41">
        <v>0.03</v>
      </c>
      <c r="AM194" s="69">
        <v>0.04</v>
      </c>
      <c r="AN194" s="69">
        <v>0.04</v>
      </c>
      <c r="AO194" s="69">
        <v>0.06</v>
      </c>
      <c r="AP194" s="69">
        <v>0.04</v>
      </c>
      <c r="AQ194" s="69">
        <v>0.09</v>
      </c>
      <c r="AR194" s="69">
        <v>0.09</v>
      </c>
      <c r="AS194" s="69">
        <v>0.13</v>
      </c>
      <c r="AT194" s="69">
        <v>0.06</v>
      </c>
      <c r="AU194" s="69">
        <v>7.0000000000000007E-2</v>
      </c>
      <c r="AV194" s="69">
        <v>0.06</v>
      </c>
      <c r="AW194" s="69">
        <v>0.05</v>
      </c>
      <c r="AX194" s="69">
        <v>0.06</v>
      </c>
      <c r="AY194" s="41">
        <v>0.09</v>
      </c>
      <c r="AZ194" s="69">
        <v>7.0000000000000007E-2</v>
      </c>
      <c r="BA194" s="69">
        <v>0.05</v>
      </c>
      <c r="BB194" s="69">
        <v>7.0000000000000007E-2</v>
      </c>
      <c r="BC194" s="69">
        <v>0.04</v>
      </c>
      <c r="BD194" s="69"/>
      <c r="BE194" s="70"/>
      <c r="BF194" s="8">
        <f t="shared" si="40"/>
        <v>43</v>
      </c>
    </row>
    <row r="195" spans="1:58">
      <c r="A195" s="68" t="s">
        <v>58</v>
      </c>
      <c r="B195" s="68" t="s">
        <v>14</v>
      </c>
      <c r="C195" s="27" t="s">
        <v>16</v>
      </c>
      <c r="D195" s="70"/>
      <c r="E195" s="69"/>
      <c r="F195" s="69">
        <v>0</v>
      </c>
      <c r="G195" s="69">
        <v>0</v>
      </c>
      <c r="H195" s="69">
        <v>0</v>
      </c>
      <c r="I195" s="69">
        <v>0</v>
      </c>
      <c r="J195" s="69">
        <v>0</v>
      </c>
      <c r="K195" s="69"/>
      <c r="L195" s="69">
        <v>0</v>
      </c>
      <c r="M195" s="69"/>
      <c r="N195" s="69">
        <v>0</v>
      </c>
      <c r="O195" s="69">
        <v>0</v>
      </c>
      <c r="P195" s="69">
        <v>0</v>
      </c>
      <c r="Q195" s="69">
        <v>0</v>
      </c>
      <c r="R195" s="69">
        <v>0</v>
      </c>
      <c r="S195" s="69">
        <v>0</v>
      </c>
      <c r="T195" s="69">
        <v>0</v>
      </c>
      <c r="U195" s="69">
        <v>0</v>
      </c>
      <c r="V195" s="69">
        <v>0</v>
      </c>
      <c r="W195" s="69">
        <v>0</v>
      </c>
      <c r="X195" s="69">
        <v>0</v>
      </c>
      <c r="Y195" s="69">
        <v>0</v>
      </c>
      <c r="Z195" s="69">
        <v>0</v>
      </c>
      <c r="AA195" s="69">
        <v>0</v>
      </c>
      <c r="AB195" s="69">
        <v>0</v>
      </c>
      <c r="AC195" s="69">
        <v>0</v>
      </c>
      <c r="AD195" s="69">
        <v>0</v>
      </c>
      <c r="AE195" s="69"/>
      <c r="AF195" s="69">
        <v>0</v>
      </c>
      <c r="AG195" s="69">
        <v>0</v>
      </c>
      <c r="AH195" s="69">
        <v>0</v>
      </c>
      <c r="AI195" s="69">
        <v>0</v>
      </c>
      <c r="AJ195" s="69">
        <v>0</v>
      </c>
      <c r="AK195" s="69">
        <v>0</v>
      </c>
      <c r="AL195" s="41">
        <v>0</v>
      </c>
      <c r="AM195" s="69">
        <v>0</v>
      </c>
      <c r="AN195" s="69">
        <v>0</v>
      </c>
      <c r="AO195" s="69">
        <v>0</v>
      </c>
      <c r="AP195" s="69">
        <v>0</v>
      </c>
      <c r="AQ195" s="69">
        <v>0</v>
      </c>
      <c r="AR195" s="69">
        <v>0</v>
      </c>
      <c r="AS195" s="69">
        <v>0</v>
      </c>
      <c r="AT195" s="69">
        <v>0</v>
      </c>
      <c r="AU195" s="69">
        <v>0</v>
      </c>
      <c r="AV195" s="69">
        <v>0</v>
      </c>
      <c r="AW195" s="69">
        <v>0</v>
      </c>
      <c r="AX195" s="69">
        <v>0</v>
      </c>
      <c r="AY195" s="41">
        <v>0</v>
      </c>
      <c r="AZ195" s="69">
        <v>0</v>
      </c>
      <c r="BA195" s="69">
        <v>0</v>
      </c>
      <c r="BB195" s="69">
        <v>0</v>
      </c>
      <c r="BC195" s="69">
        <v>0</v>
      </c>
      <c r="BD195" s="69"/>
      <c r="BE195" s="70"/>
      <c r="BF195" s="8">
        <f t="shared" si="40"/>
        <v>47</v>
      </c>
    </row>
    <row r="196" spans="1:58">
      <c r="A196" s="68" t="s">
        <v>61</v>
      </c>
      <c r="B196" s="68" t="s">
        <v>14</v>
      </c>
      <c r="C196" s="27" t="s">
        <v>16</v>
      </c>
      <c r="D196" s="40"/>
      <c r="E196" s="69">
        <v>0.13</v>
      </c>
      <c r="F196" s="69">
        <v>0.14000000000000001</v>
      </c>
      <c r="G196" s="69">
        <v>0.13</v>
      </c>
      <c r="H196" s="69">
        <v>0.14000000000000001</v>
      </c>
      <c r="I196" s="69">
        <v>0.13</v>
      </c>
      <c r="J196" s="69">
        <v>0.13</v>
      </c>
      <c r="K196" s="69">
        <v>0.14000000000000001</v>
      </c>
      <c r="L196" s="69">
        <v>0.14000000000000001</v>
      </c>
      <c r="M196" s="69"/>
      <c r="N196" s="69">
        <v>0.15</v>
      </c>
      <c r="O196" s="69">
        <v>0.13</v>
      </c>
      <c r="P196" s="69">
        <v>0.14000000000000001</v>
      </c>
      <c r="Q196" s="69">
        <v>0.14000000000000001</v>
      </c>
      <c r="R196" s="69">
        <v>0.12</v>
      </c>
      <c r="S196" s="69">
        <v>0.12</v>
      </c>
      <c r="T196" s="69">
        <v>0.13</v>
      </c>
      <c r="U196" s="69">
        <v>0.13</v>
      </c>
      <c r="V196" s="69">
        <v>0.1</v>
      </c>
      <c r="W196" s="69">
        <v>0.11</v>
      </c>
      <c r="X196" s="69">
        <v>0.11</v>
      </c>
      <c r="Y196" s="69">
        <v>0.12</v>
      </c>
      <c r="Z196" s="69">
        <v>0.12</v>
      </c>
      <c r="AA196" s="69">
        <v>0.12</v>
      </c>
      <c r="AB196" s="69">
        <v>0.13</v>
      </c>
      <c r="AC196" s="69">
        <v>0.13</v>
      </c>
      <c r="AD196" s="69">
        <v>0.13</v>
      </c>
      <c r="AE196" s="69">
        <v>0.13</v>
      </c>
      <c r="AF196" s="69">
        <v>0.13</v>
      </c>
      <c r="AG196" s="69">
        <v>0.14000000000000001</v>
      </c>
      <c r="AH196" s="69">
        <v>0.14000000000000001</v>
      </c>
      <c r="AI196" s="69">
        <v>0.13</v>
      </c>
      <c r="AJ196" s="69">
        <v>0.14000000000000001</v>
      </c>
      <c r="AK196" s="69">
        <v>0.12</v>
      </c>
      <c r="AL196" s="41">
        <v>0.12</v>
      </c>
      <c r="AM196" s="69">
        <v>0.11</v>
      </c>
      <c r="AN196" s="69">
        <v>0.12</v>
      </c>
      <c r="AO196" s="69">
        <v>0.11</v>
      </c>
      <c r="AP196" s="69">
        <v>0.15</v>
      </c>
      <c r="AQ196" s="69">
        <v>0.12</v>
      </c>
      <c r="AR196" s="69">
        <v>0.15</v>
      </c>
      <c r="AS196" s="69">
        <v>0.15</v>
      </c>
      <c r="AT196" s="69">
        <v>0.13</v>
      </c>
      <c r="AU196" s="69">
        <v>0.12</v>
      </c>
      <c r="AV196" s="69">
        <v>0.1</v>
      </c>
      <c r="AW196" s="69">
        <v>0.13</v>
      </c>
      <c r="AX196" s="69">
        <v>0.12</v>
      </c>
      <c r="AY196" s="92">
        <v>0.12</v>
      </c>
      <c r="AZ196" s="69">
        <v>0.13</v>
      </c>
      <c r="BA196" s="69">
        <v>0.14000000000000001</v>
      </c>
      <c r="BB196" s="69">
        <v>0.15</v>
      </c>
      <c r="BC196" s="69">
        <v>0.14000000000000001</v>
      </c>
      <c r="BD196" s="69"/>
      <c r="BE196" s="70"/>
      <c r="BF196" s="8">
        <f t="shared" si="40"/>
        <v>50</v>
      </c>
    </row>
    <row r="197" spans="1:58">
      <c r="A197" s="68" t="s">
        <v>149</v>
      </c>
      <c r="B197" s="68" t="s">
        <v>150</v>
      </c>
      <c r="C197" s="27" t="s">
        <v>16</v>
      </c>
      <c r="D197" s="40"/>
      <c r="E197" s="69">
        <v>0.93</v>
      </c>
      <c r="F197" s="69">
        <v>1.08</v>
      </c>
      <c r="G197" s="69">
        <v>0.84</v>
      </c>
      <c r="H197" s="69">
        <v>0.91</v>
      </c>
      <c r="I197" s="69">
        <v>1.0900000000000001</v>
      </c>
      <c r="J197" s="69">
        <v>0.89</v>
      </c>
      <c r="K197" s="69">
        <v>0.94</v>
      </c>
      <c r="L197" s="69">
        <v>1.07</v>
      </c>
      <c r="M197" s="69"/>
      <c r="N197" s="69">
        <v>1.01</v>
      </c>
      <c r="O197" s="69">
        <v>0.91</v>
      </c>
      <c r="P197" s="69">
        <v>1.02</v>
      </c>
      <c r="Q197" s="69">
        <v>0.98</v>
      </c>
      <c r="R197" s="69">
        <v>0.97</v>
      </c>
      <c r="S197" s="69">
        <v>0.91</v>
      </c>
      <c r="T197" s="69">
        <v>1.05</v>
      </c>
      <c r="U197" s="69">
        <v>1.03</v>
      </c>
      <c r="V197" s="69">
        <v>0.9</v>
      </c>
      <c r="W197" s="69">
        <v>1.01</v>
      </c>
      <c r="X197" s="69">
        <v>1.03</v>
      </c>
      <c r="Y197" s="69">
        <v>1.1499999999999999</v>
      </c>
      <c r="Z197" s="69">
        <v>1.08</v>
      </c>
      <c r="AA197" s="69">
        <v>1.06</v>
      </c>
      <c r="AB197" s="69">
        <v>1.17</v>
      </c>
      <c r="AC197" s="69">
        <v>1.1299999999999999</v>
      </c>
      <c r="AD197" s="69">
        <v>1.1299999999999999</v>
      </c>
      <c r="AE197" s="69">
        <v>1.1399999999999999</v>
      </c>
      <c r="AF197" s="69">
        <v>1.01</v>
      </c>
      <c r="AG197" s="71">
        <v>0.78</v>
      </c>
      <c r="AH197" s="71">
        <v>1.04</v>
      </c>
      <c r="AI197" s="69">
        <v>0.95</v>
      </c>
      <c r="AJ197" s="69">
        <v>1.06</v>
      </c>
      <c r="AK197" s="69">
        <v>1.03</v>
      </c>
      <c r="AL197" s="41">
        <v>1.04</v>
      </c>
      <c r="AM197" s="69">
        <v>1.04</v>
      </c>
      <c r="AN197" s="69">
        <v>1.08</v>
      </c>
      <c r="AO197" s="69">
        <v>1.02</v>
      </c>
      <c r="AP197" s="69">
        <v>0.99</v>
      </c>
      <c r="AQ197" s="69">
        <v>0.94</v>
      </c>
      <c r="AR197" s="69">
        <v>0.97</v>
      </c>
      <c r="AS197" s="69">
        <v>1.02</v>
      </c>
      <c r="AT197" s="69">
        <v>1.01</v>
      </c>
      <c r="AU197" s="69">
        <v>1</v>
      </c>
      <c r="AV197" s="69">
        <v>1.06</v>
      </c>
      <c r="AW197" s="69">
        <v>1.04</v>
      </c>
      <c r="AX197" s="69">
        <v>1.07</v>
      </c>
      <c r="AY197" s="41">
        <v>1.07</v>
      </c>
      <c r="AZ197" s="69">
        <v>1.01</v>
      </c>
      <c r="BA197" s="69">
        <v>1.02</v>
      </c>
      <c r="BB197" s="69">
        <v>1</v>
      </c>
      <c r="BC197" s="69">
        <v>1.2</v>
      </c>
      <c r="BD197" s="69">
        <v>1.04</v>
      </c>
      <c r="BE197" s="70"/>
      <c r="BF197" s="8">
        <f t="shared" si="40"/>
        <v>51</v>
      </c>
    </row>
    <row r="198" spans="1:58">
      <c r="A198" s="68" t="s">
        <v>62</v>
      </c>
      <c r="B198" s="68" t="s">
        <v>14</v>
      </c>
      <c r="C198" s="27" t="s">
        <v>16</v>
      </c>
      <c r="D198" s="40"/>
      <c r="E198" s="69"/>
      <c r="F198" s="69"/>
      <c r="G198" s="69"/>
      <c r="H198" s="69"/>
      <c r="I198" s="69">
        <v>0</v>
      </c>
      <c r="J198" s="69">
        <v>0</v>
      </c>
      <c r="K198" s="69"/>
      <c r="L198" s="69">
        <v>0</v>
      </c>
      <c r="M198" s="69"/>
      <c r="N198" s="69">
        <v>0</v>
      </c>
      <c r="O198" s="69"/>
      <c r="P198" s="69">
        <v>0</v>
      </c>
      <c r="Q198" s="69">
        <v>0</v>
      </c>
      <c r="R198" s="69">
        <v>0</v>
      </c>
      <c r="S198" s="69">
        <v>0</v>
      </c>
      <c r="T198" s="69"/>
      <c r="U198" s="69">
        <v>0</v>
      </c>
      <c r="V198" s="69">
        <v>0</v>
      </c>
      <c r="W198" s="69">
        <v>0</v>
      </c>
      <c r="X198" s="69">
        <v>0</v>
      </c>
      <c r="Y198" s="69">
        <v>0</v>
      </c>
      <c r="Z198" s="69">
        <v>0</v>
      </c>
      <c r="AA198" s="69">
        <v>0</v>
      </c>
      <c r="AB198" s="69">
        <v>0</v>
      </c>
      <c r="AC198" s="69">
        <v>0</v>
      </c>
      <c r="AD198" s="69">
        <v>0</v>
      </c>
      <c r="AE198" s="69">
        <v>0</v>
      </c>
      <c r="AF198" s="69">
        <v>0</v>
      </c>
      <c r="AG198" s="69">
        <v>0</v>
      </c>
      <c r="AH198" s="69">
        <v>0</v>
      </c>
      <c r="AI198" s="69">
        <v>0</v>
      </c>
      <c r="AJ198" s="69">
        <v>0</v>
      </c>
      <c r="AK198" s="69">
        <v>0</v>
      </c>
      <c r="AL198" s="41">
        <v>0</v>
      </c>
      <c r="AM198" s="69">
        <v>0</v>
      </c>
      <c r="AN198" s="69">
        <v>0</v>
      </c>
      <c r="AO198" s="69">
        <v>0</v>
      </c>
      <c r="AP198" s="69">
        <v>0</v>
      </c>
      <c r="AQ198" s="69">
        <v>0</v>
      </c>
      <c r="AR198" s="69">
        <v>0.02</v>
      </c>
      <c r="AS198" s="69">
        <v>0</v>
      </c>
      <c r="AT198" s="69">
        <v>0</v>
      </c>
      <c r="AU198" s="69">
        <v>0</v>
      </c>
      <c r="AV198" s="69">
        <v>0</v>
      </c>
      <c r="AW198" s="69"/>
      <c r="AX198" s="69">
        <v>0</v>
      </c>
      <c r="AY198" s="41">
        <v>0</v>
      </c>
      <c r="AZ198" s="69">
        <v>0</v>
      </c>
      <c r="BA198" s="69">
        <v>0</v>
      </c>
      <c r="BB198" s="69">
        <v>0</v>
      </c>
      <c r="BC198" s="69">
        <v>0</v>
      </c>
      <c r="BD198" s="69"/>
      <c r="BE198" s="70"/>
      <c r="BF198" s="8">
        <f t="shared" si="40"/>
        <v>42</v>
      </c>
    </row>
    <row r="199" spans="1:58">
      <c r="A199" s="68" t="s">
        <v>63</v>
      </c>
      <c r="B199" s="68" t="s">
        <v>14</v>
      </c>
      <c r="C199" s="27" t="s">
        <v>16</v>
      </c>
      <c r="D199" s="40"/>
      <c r="E199" s="69"/>
      <c r="F199" s="69"/>
      <c r="G199" s="69"/>
      <c r="H199" s="69"/>
      <c r="I199" s="69">
        <v>0</v>
      </c>
      <c r="J199" s="69">
        <v>0</v>
      </c>
      <c r="K199" s="69"/>
      <c r="L199" s="69">
        <v>0</v>
      </c>
      <c r="M199" s="69"/>
      <c r="N199" s="69">
        <v>0</v>
      </c>
      <c r="O199" s="69"/>
      <c r="P199" s="69">
        <v>0</v>
      </c>
      <c r="Q199" s="69">
        <v>0</v>
      </c>
      <c r="R199" s="69">
        <v>0</v>
      </c>
      <c r="S199" s="69">
        <v>0</v>
      </c>
      <c r="T199" s="69"/>
      <c r="U199" s="69">
        <v>0</v>
      </c>
      <c r="V199" s="69">
        <v>0</v>
      </c>
      <c r="W199" s="69">
        <v>0</v>
      </c>
      <c r="X199" s="69">
        <v>0</v>
      </c>
      <c r="Y199" s="69">
        <v>0</v>
      </c>
      <c r="Z199" s="69">
        <v>0</v>
      </c>
      <c r="AA199" s="69">
        <v>0</v>
      </c>
      <c r="AB199" s="69">
        <v>0</v>
      </c>
      <c r="AC199" s="69">
        <v>0.02</v>
      </c>
      <c r="AD199" s="69">
        <v>0</v>
      </c>
      <c r="AE199" s="69">
        <v>0</v>
      </c>
      <c r="AF199" s="69">
        <v>0</v>
      </c>
      <c r="AG199" s="69">
        <v>0</v>
      </c>
      <c r="AH199" s="69">
        <v>0</v>
      </c>
      <c r="AI199" s="69">
        <v>0</v>
      </c>
      <c r="AJ199" s="69">
        <v>0</v>
      </c>
      <c r="AK199" s="69">
        <v>0</v>
      </c>
      <c r="AL199" s="41">
        <v>0</v>
      </c>
      <c r="AM199" s="69">
        <v>0</v>
      </c>
      <c r="AN199" s="69">
        <v>0</v>
      </c>
      <c r="AO199" s="69">
        <v>0</v>
      </c>
      <c r="AP199" s="69">
        <v>0</v>
      </c>
      <c r="AQ199" s="69">
        <v>0</v>
      </c>
      <c r="AR199" s="69">
        <v>0.03</v>
      </c>
      <c r="AS199" s="69">
        <v>0</v>
      </c>
      <c r="AT199" s="69">
        <v>0</v>
      </c>
      <c r="AU199" s="69">
        <v>0</v>
      </c>
      <c r="AV199" s="69">
        <v>0</v>
      </c>
      <c r="AW199" s="69"/>
      <c r="AX199" s="69">
        <v>0</v>
      </c>
      <c r="AY199" s="41">
        <v>0</v>
      </c>
      <c r="AZ199" s="69">
        <v>0</v>
      </c>
      <c r="BA199" s="69">
        <v>0</v>
      </c>
      <c r="BB199" s="69">
        <v>0</v>
      </c>
      <c r="BC199" s="69">
        <v>0</v>
      </c>
      <c r="BD199" s="69"/>
      <c r="BE199" s="70"/>
      <c r="BF199" s="8">
        <f t="shared" si="40"/>
        <v>42</v>
      </c>
    </row>
    <row r="200" spans="1:58">
      <c r="A200" s="68" t="s">
        <v>64</v>
      </c>
      <c r="B200" s="68" t="s">
        <v>14</v>
      </c>
      <c r="C200" s="27" t="s">
        <v>16</v>
      </c>
      <c r="D200" s="40"/>
      <c r="E200" s="69"/>
      <c r="F200" s="69"/>
      <c r="G200" s="69"/>
      <c r="H200" s="69"/>
      <c r="I200" s="69">
        <v>0</v>
      </c>
      <c r="J200" s="69">
        <v>0</v>
      </c>
      <c r="K200" s="69"/>
      <c r="L200" s="69">
        <v>0</v>
      </c>
      <c r="M200" s="69"/>
      <c r="N200" s="69">
        <v>0</v>
      </c>
      <c r="O200" s="69"/>
      <c r="P200" s="69">
        <v>0.01</v>
      </c>
      <c r="Q200" s="69">
        <v>0</v>
      </c>
      <c r="R200" s="69">
        <v>0</v>
      </c>
      <c r="S200" s="69">
        <v>0</v>
      </c>
      <c r="T200" s="69"/>
      <c r="U200" s="69">
        <v>0</v>
      </c>
      <c r="V200" s="69">
        <v>0</v>
      </c>
      <c r="W200" s="69">
        <v>0</v>
      </c>
      <c r="X200" s="69">
        <v>0</v>
      </c>
      <c r="Y200" s="69">
        <v>0</v>
      </c>
      <c r="Z200" s="69">
        <v>0</v>
      </c>
      <c r="AA200" s="69">
        <v>0</v>
      </c>
      <c r="AB200" s="69">
        <v>0</v>
      </c>
      <c r="AC200" s="69">
        <v>0</v>
      </c>
      <c r="AD200" s="69">
        <v>0</v>
      </c>
      <c r="AE200" s="69">
        <v>0</v>
      </c>
      <c r="AF200" s="69">
        <v>0</v>
      </c>
      <c r="AG200" s="69">
        <v>0</v>
      </c>
      <c r="AH200" s="69">
        <v>0</v>
      </c>
      <c r="AI200" s="69">
        <v>0</v>
      </c>
      <c r="AJ200" s="69">
        <v>0</v>
      </c>
      <c r="AK200" s="69">
        <v>0</v>
      </c>
      <c r="AL200" s="41">
        <v>0</v>
      </c>
      <c r="AM200" s="69">
        <v>0</v>
      </c>
      <c r="AN200" s="69">
        <v>0.01</v>
      </c>
      <c r="AO200" s="69">
        <v>0</v>
      </c>
      <c r="AP200" s="69">
        <v>0</v>
      </c>
      <c r="AQ200" s="69">
        <v>0</v>
      </c>
      <c r="AR200" s="69">
        <v>0.01</v>
      </c>
      <c r="AS200" s="69">
        <v>0.01</v>
      </c>
      <c r="AT200" s="69">
        <v>0</v>
      </c>
      <c r="AU200" s="69">
        <v>0</v>
      </c>
      <c r="AV200" s="69">
        <v>0</v>
      </c>
      <c r="AW200" s="69"/>
      <c r="AX200" s="69">
        <v>0</v>
      </c>
      <c r="AY200" s="41">
        <v>0</v>
      </c>
      <c r="AZ200" s="69">
        <v>0</v>
      </c>
      <c r="BA200" s="69">
        <v>0</v>
      </c>
      <c r="BB200" s="69">
        <v>0</v>
      </c>
      <c r="BC200" s="69">
        <v>0</v>
      </c>
      <c r="BD200" s="69"/>
      <c r="BE200" s="70"/>
      <c r="BF200" s="8">
        <f t="shared" si="40"/>
        <v>42</v>
      </c>
    </row>
    <row r="201" spans="1:58">
      <c r="A201" s="68" t="s">
        <v>151</v>
      </c>
      <c r="B201" s="68" t="s">
        <v>14</v>
      </c>
      <c r="C201" s="27" t="s">
        <v>16</v>
      </c>
      <c r="D201" s="40"/>
      <c r="E201" s="69"/>
      <c r="F201" s="69"/>
      <c r="G201" s="69"/>
      <c r="H201" s="69"/>
      <c r="I201" s="69">
        <v>0</v>
      </c>
      <c r="J201" s="69">
        <v>0</v>
      </c>
      <c r="K201" s="69"/>
      <c r="L201" s="69">
        <v>0</v>
      </c>
      <c r="M201" s="69"/>
      <c r="N201" s="69">
        <v>0</v>
      </c>
      <c r="O201" s="69"/>
      <c r="P201" s="69">
        <v>0.01</v>
      </c>
      <c r="Q201" s="69">
        <v>0</v>
      </c>
      <c r="R201" s="69">
        <v>0</v>
      </c>
      <c r="S201" s="69">
        <v>0</v>
      </c>
      <c r="T201" s="69"/>
      <c r="U201" s="69">
        <v>0</v>
      </c>
      <c r="V201" s="69">
        <v>0</v>
      </c>
      <c r="W201" s="69">
        <v>0</v>
      </c>
      <c r="X201" s="69">
        <v>0</v>
      </c>
      <c r="Y201" s="69">
        <v>0</v>
      </c>
      <c r="Z201" s="69">
        <v>0</v>
      </c>
      <c r="AA201" s="69">
        <v>0</v>
      </c>
      <c r="AB201" s="69">
        <v>0</v>
      </c>
      <c r="AC201" s="69">
        <v>0</v>
      </c>
      <c r="AD201" s="69">
        <v>0</v>
      </c>
      <c r="AE201" s="69">
        <v>0</v>
      </c>
      <c r="AF201" s="69">
        <v>0</v>
      </c>
      <c r="AG201" s="69">
        <v>0</v>
      </c>
      <c r="AH201" s="69">
        <v>0</v>
      </c>
      <c r="AI201" s="69">
        <v>0</v>
      </c>
      <c r="AJ201" s="69">
        <v>0</v>
      </c>
      <c r="AK201" s="69">
        <v>0</v>
      </c>
      <c r="AL201" s="41">
        <v>0</v>
      </c>
      <c r="AM201" s="69">
        <v>0</v>
      </c>
      <c r="AN201" s="69">
        <v>0</v>
      </c>
      <c r="AO201" s="69">
        <v>0</v>
      </c>
      <c r="AP201" s="69">
        <v>0</v>
      </c>
      <c r="AQ201" s="69">
        <v>0</v>
      </c>
      <c r="AR201" s="69">
        <v>0.01</v>
      </c>
      <c r="AS201" s="69">
        <v>0.01</v>
      </c>
      <c r="AT201" s="69">
        <v>0</v>
      </c>
      <c r="AU201" s="69">
        <v>0</v>
      </c>
      <c r="AV201" s="69">
        <v>0</v>
      </c>
      <c r="AW201" s="69"/>
      <c r="AX201" s="69">
        <v>0</v>
      </c>
      <c r="AY201" s="41">
        <v>0</v>
      </c>
      <c r="AZ201" s="69">
        <v>0</v>
      </c>
      <c r="BA201" s="69">
        <v>0</v>
      </c>
      <c r="BB201" s="69">
        <v>0</v>
      </c>
      <c r="BC201" s="69">
        <v>0</v>
      </c>
      <c r="BD201" s="69"/>
      <c r="BE201" s="70"/>
      <c r="BF201" s="8">
        <f t="shared" si="40"/>
        <v>42</v>
      </c>
    </row>
    <row r="202" spans="1:58">
      <c r="A202" s="68" t="s">
        <v>66</v>
      </c>
      <c r="B202" s="68" t="s">
        <v>56</v>
      </c>
      <c r="C202" s="27" t="s">
        <v>16</v>
      </c>
      <c r="D202" s="40"/>
      <c r="E202" s="69"/>
      <c r="F202" s="69">
        <v>0.05</v>
      </c>
      <c r="G202" s="69">
        <v>0.06</v>
      </c>
      <c r="H202" s="69">
        <v>7.0000000000000007E-2</v>
      </c>
      <c r="I202" s="69">
        <v>0.09</v>
      </c>
      <c r="J202" s="69">
        <v>0.12</v>
      </c>
      <c r="K202" s="69"/>
      <c r="L202" s="69">
        <v>0.15</v>
      </c>
      <c r="M202" s="69"/>
      <c r="N202" s="69">
        <v>0.21</v>
      </c>
      <c r="O202" s="69">
        <v>0.22</v>
      </c>
      <c r="P202" s="69">
        <v>0.23</v>
      </c>
      <c r="Q202" s="69">
        <v>0.14000000000000001</v>
      </c>
      <c r="R202" s="69">
        <v>0.03</v>
      </c>
      <c r="S202" s="69">
        <v>0</v>
      </c>
      <c r="T202" s="69">
        <v>0</v>
      </c>
      <c r="U202" s="69">
        <v>0</v>
      </c>
      <c r="V202" s="69">
        <v>0</v>
      </c>
      <c r="W202" s="69">
        <v>0</v>
      </c>
      <c r="X202" s="69">
        <v>0</v>
      </c>
      <c r="Y202" s="69">
        <v>0</v>
      </c>
      <c r="Z202" s="69">
        <v>0</v>
      </c>
      <c r="AA202" s="69">
        <v>0</v>
      </c>
      <c r="AB202" s="69">
        <v>0</v>
      </c>
      <c r="AC202" s="69">
        <v>0</v>
      </c>
      <c r="AD202" s="69">
        <v>0</v>
      </c>
      <c r="AE202" s="69"/>
      <c r="AF202" s="69">
        <v>0</v>
      </c>
      <c r="AG202" s="69">
        <v>0.03</v>
      </c>
      <c r="AH202" s="69">
        <v>0.03</v>
      </c>
      <c r="AI202" s="69">
        <v>0.04</v>
      </c>
      <c r="AJ202" s="69">
        <v>0.03</v>
      </c>
      <c r="AK202" s="69">
        <v>0.03</v>
      </c>
      <c r="AL202" s="41">
        <v>0.04</v>
      </c>
      <c r="AM202" s="69">
        <v>0.04</v>
      </c>
      <c r="AN202" s="69">
        <v>0.03</v>
      </c>
      <c r="AO202" s="69">
        <v>0.03</v>
      </c>
      <c r="AP202" s="69">
        <v>0.03</v>
      </c>
      <c r="AQ202" s="69">
        <v>0.03</v>
      </c>
      <c r="AR202" s="69">
        <v>0.02</v>
      </c>
      <c r="AS202" s="69">
        <v>0.02</v>
      </c>
      <c r="AT202" s="69">
        <v>0.01</v>
      </c>
      <c r="AU202" s="69">
        <v>0.01</v>
      </c>
      <c r="AV202" s="69">
        <v>0.01</v>
      </c>
      <c r="AW202" s="69">
        <v>0.01</v>
      </c>
      <c r="AX202" s="69">
        <v>0.01</v>
      </c>
      <c r="AY202" s="41">
        <v>0</v>
      </c>
      <c r="AZ202" s="69">
        <v>0</v>
      </c>
      <c r="BA202" s="69">
        <v>0</v>
      </c>
      <c r="BB202" s="69">
        <v>0</v>
      </c>
      <c r="BC202" s="69">
        <v>0</v>
      </c>
      <c r="BD202" s="69"/>
      <c r="BE202" s="70"/>
      <c r="BF202" s="8">
        <f t="shared" si="40"/>
        <v>47</v>
      </c>
    </row>
    <row r="203" spans="1:58">
      <c r="A203" s="68" t="s">
        <v>67</v>
      </c>
      <c r="B203" s="68" t="s">
        <v>56</v>
      </c>
      <c r="C203" s="27" t="s">
        <v>16</v>
      </c>
      <c r="D203" s="40"/>
      <c r="E203" s="69"/>
      <c r="F203" s="69">
        <v>0.32</v>
      </c>
      <c r="G203" s="69">
        <v>0.23</v>
      </c>
      <c r="H203" s="69"/>
      <c r="I203" s="69"/>
      <c r="J203" s="69"/>
      <c r="K203" s="69"/>
      <c r="L203" s="69">
        <v>0.24</v>
      </c>
      <c r="M203" s="69"/>
      <c r="N203" s="69">
        <v>0.15</v>
      </c>
      <c r="O203" s="69"/>
      <c r="P203" s="69">
        <v>0.2</v>
      </c>
      <c r="Q203" s="69">
        <v>0.26</v>
      </c>
      <c r="R203" s="69">
        <v>0.36</v>
      </c>
      <c r="S203" s="69">
        <v>0.26</v>
      </c>
      <c r="T203" s="69"/>
      <c r="U203" s="69">
        <v>0.22</v>
      </c>
      <c r="V203" s="69">
        <v>0.13</v>
      </c>
      <c r="W203" s="69">
        <v>0.2</v>
      </c>
      <c r="X203" s="69">
        <v>0.21</v>
      </c>
      <c r="Y203" s="69">
        <v>0.28999999999999998</v>
      </c>
      <c r="Z203" s="69">
        <v>0.31</v>
      </c>
      <c r="AA203" s="69">
        <v>0.06</v>
      </c>
      <c r="AB203" s="69">
        <v>0.05</v>
      </c>
      <c r="AC203" s="69">
        <v>0.06</v>
      </c>
      <c r="AD203" s="69">
        <v>0.08</v>
      </c>
      <c r="AE203" s="69">
        <v>0.05</v>
      </c>
      <c r="AF203" s="69">
        <v>0.11</v>
      </c>
      <c r="AG203" s="69">
        <v>7.0000000000000007E-2</v>
      </c>
      <c r="AH203" s="69">
        <v>0.08</v>
      </c>
      <c r="AI203" s="69">
        <v>0.06</v>
      </c>
      <c r="AJ203" s="69">
        <v>0.09</v>
      </c>
      <c r="AK203" s="69">
        <v>0.09</v>
      </c>
      <c r="AL203" s="41">
        <v>0.09</v>
      </c>
      <c r="AM203" s="69">
        <v>0.12</v>
      </c>
      <c r="AN203" s="69">
        <v>0.22</v>
      </c>
      <c r="AO203" s="69">
        <v>0.16</v>
      </c>
      <c r="AP203" s="69">
        <v>0.21</v>
      </c>
      <c r="AQ203" s="69">
        <v>0.21</v>
      </c>
      <c r="AR203" s="69">
        <v>0.26</v>
      </c>
      <c r="AS203" s="69">
        <v>0.21</v>
      </c>
      <c r="AT203" s="69">
        <v>0.17</v>
      </c>
      <c r="AU203" s="69">
        <v>0.16</v>
      </c>
      <c r="AV203" s="69">
        <v>0.19</v>
      </c>
      <c r="AW203" s="69">
        <v>0.2</v>
      </c>
      <c r="AX203" s="69">
        <v>0.2</v>
      </c>
      <c r="AY203" s="92">
        <v>0.23</v>
      </c>
      <c r="AZ203" s="69">
        <v>0.25</v>
      </c>
      <c r="BA203" s="69">
        <v>0.3</v>
      </c>
      <c r="BB203" s="69">
        <v>0.26</v>
      </c>
      <c r="BC203" s="69">
        <v>0.22</v>
      </c>
      <c r="BD203" s="69"/>
      <c r="BE203" s="70"/>
      <c r="BF203" s="8">
        <f t="shared" si="40"/>
        <v>43</v>
      </c>
    </row>
    <row r="204" spans="1:58">
      <c r="A204" s="54" t="s">
        <v>152</v>
      </c>
      <c r="B204" s="54" t="s">
        <v>153</v>
      </c>
      <c r="C204" s="19" t="s">
        <v>16</v>
      </c>
      <c r="D204" s="40"/>
      <c r="E204" s="55">
        <v>5.3</v>
      </c>
      <c r="F204" s="55">
        <v>5.6</v>
      </c>
      <c r="G204" s="55">
        <v>5.4</v>
      </c>
      <c r="H204" s="55">
        <v>5.5</v>
      </c>
      <c r="I204" s="55">
        <v>5.3</v>
      </c>
      <c r="J204" s="55">
        <v>5.5</v>
      </c>
      <c r="K204" s="55">
        <v>5.5</v>
      </c>
      <c r="L204" s="55">
        <v>5.5</v>
      </c>
      <c r="M204" s="55"/>
      <c r="N204" s="55">
        <v>5.6</v>
      </c>
      <c r="O204" s="55">
        <v>5.5</v>
      </c>
      <c r="P204" s="55">
        <v>5.4</v>
      </c>
      <c r="Q204" s="55">
        <v>5.3</v>
      </c>
      <c r="R204" s="55">
        <v>5.3</v>
      </c>
      <c r="S204" s="55">
        <v>4.5999999999999996</v>
      </c>
      <c r="T204" s="55">
        <v>4.9000000000000004</v>
      </c>
      <c r="U204" s="55">
        <v>5.2</v>
      </c>
      <c r="V204" s="55">
        <v>3.3</v>
      </c>
      <c r="W204" s="55">
        <v>4</v>
      </c>
      <c r="X204" s="55">
        <v>4.2</v>
      </c>
      <c r="Y204" s="55">
        <v>4.0999999999999996</v>
      </c>
      <c r="Z204" s="55">
        <v>4.4000000000000004</v>
      </c>
      <c r="AA204" s="55">
        <v>1.1000000000000001</v>
      </c>
      <c r="AB204" s="55">
        <v>1</v>
      </c>
      <c r="AC204" s="55">
        <v>1</v>
      </c>
      <c r="AD204" s="55">
        <v>1.3</v>
      </c>
      <c r="AE204" s="55">
        <v>1.4</v>
      </c>
      <c r="AF204" s="55">
        <v>1.7</v>
      </c>
      <c r="AG204" s="55">
        <v>1.6</v>
      </c>
      <c r="AH204" s="55">
        <v>2</v>
      </c>
      <c r="AI204" s="55">
        <v>2</v>
      </c>
      <c r="AJ204" s="55">
        <v>2.5</v>
      </c>
      <c r="AK204" s="55">
        <v>2.1</v>
      </c>
      <c r="AL204" s="41">
        <v>2.4</v>
      </c>
      <c r="AM204" s="55">
        <v>2.5</v>
      </c>
      <c r="AN204" s="55">
        <v>2.5</v>
      </c>
      <c r="AO204" s="55">
        <v>2.5</v>
      </c>
      <c r="AP204" s="55">
        <v>3</v>
      </c>
      <c r="AQ204" s="55">
        <v>3.1</v>
      </c>
      <c r="AR204" s="55">
        <v>3.3</v>
      </c>
      <c r="AS204" s="55">
        <v>3.1</v>
      </c>
      <c r="AT204" s="55">
        <v>2.8</v>
      </c>
      <c r="AU204" s="55">
        <v>2.8</v>
      </c>
      <c r="AV204" s="55">
        <v>2.9</v>
      </c>
      <c r="AW204" s="55">
        <v>3.1</v>
      </c>
      <c r="AX204" s="55">
        <v>3.2</v>
      </c>
      <c r="AY204" s="41">
        <v>3.6</v>
      </c>
      <c r="AZ204" s="55">
        <v>4.3</v>
      </c>
      <c r="BA204" s="55">
        <v>4.2</v>
      </c>
      <c r="BB204" s="55">
        <v>4.4000000000000004</v>
      </c>
      <c r="BC204" s="55">
        <v>4.4000000000000004</v>
      </c>
      <c r="BD204" s="55"/>
      <c r="BE204" s="57"/>
      <c r="BF204" s="8">
        <f t="shared" si="40"/>
        <v>50</v>
      </c>
    </row>
    <row r="205" spans="1:58">
      <c r="A205" s="54" t="s">
        <v>154</v>
      </c>
      <c r="B205" s="54" t="s">
        <v>153</v>
      </c>
      <c r="C205" s="19" t="s">
        <v>16</v>
      </c>
      <c r="D205" s="40"/>
      <c r="E205" s="55">
        <v>5.3</v>
      </c>
      <c r="F205" s="55">
        <v>5.5</v>
      </c>
      <c r="G205" s="55">
        <v>5.4</v>
      </c>
      <c r="H205" s="55">
        <v>5.4</v>
      </c>
      <c r="I205" s="55">
        <v>5.3</v>
      </c>
      <c r="J205" s="55">
        <v>5.4</v>
      </c>
      <c r="K205" s="55">
        <v>5.6</v>
      </c>
      <c r="L205" s="55">
        <v>5.5</v>
      </c>
      <c r="M205" s="55">
        <v>5.5</v>
      </c>
      <c r="N205" s="55">
        <v>5.6</v>
      </c>
      <c r="O205" s="55">
        <v>5.4</v>
      </c>
      <c r="P205" s="55">
        <v>5.4</v>
      </c>
      <c r="Q205" s="55">
        <v>5.2</v>
      </c>
      <c r="R205" s="55">
        <v>5.3</v>
      </c>
      <c r="S205" s="55">
        <v>4.4000000000000004</v>
      </c>
      <c r="T205" s="55">
        <v>4.9000000000000004</v>
      </c>
      <c r="U205" s="55">
        <v>5</v>
      </c>
      <c r="V205" s="55">
        <v>3.3</v>
      </c>
      <c r="W205" s="55">
        <v>4.0999999999999996</v>
      </c>
      <c r="X205" s="55">
        <v>4.3</v>
      </c>
      <c r="Y205" s="55">
        <v>4.0999999999999996</v>
      </c>
      <c r="Z205" s="55">
        <v>4.5</v>
      </c>
      <c r="AA205" s="55">
        <v>1.1000000000000001</v>
      </c>
      <c r="AB205" s="55">
        <v>1</v>
      </c>
      <c r="AC205" s="55">
        <v>1</v>
      </c>
      <c r="AD205" s="55">
        <v>1.2</v>
      </c>
      <c r="AE205" s="55">
        <v>1.4</v>
      </c>
      <c r="AF205" s="55">
        <v>1.6</v>
      </c>
      <c r="AG205" s="55">
        <v>1.6</v>
      </c>
      <c r="AH205" s="55">
        <v>2.1</v>
      </c>
      <c r="AI205" s="55">
        <v>2</v>
      </c>
      <c r="AJ205" s="55">
        <v>2.2000000000000002</v>
      </c>
      <c r="AK205" s="55">
        <v>2.2000000000000002</v>
      </c>
      <c r="AL205" s="41">
        <v>2.4</v>
      </c>
      <c r="AM205" s="55">
        <v>2.4</v>
      </c>
      <c r="AN205" s="55">
        <v>2.5</v>
      </c>
      <c r="AO205" s="55">
        <v>2.6</v>
      </c>
      <c r="AP205" s="55">
        <v>3.1</v>
      </c>
      <c r="AQ205" s="55">
        <v>3.2</v>
      </c>
      <c r="AR205" s="55">
        <v>3.2</v>
      </c>
      <c r="AS205" s="55">
        <v>3.2</v>
      </c>
      <c r="AT205" s="55">
        <v>2.8</v>
      </c>
      <c r="AU205" s="55">
        <v>2.7</v>
      </c>
      <c r="AV205" s="55">
        <v>2.9</v>
      </c>
      <c r="AW205" s="55">
        <v>3.2</v>
      </c>
      <c r="AX205" s="55">
        <v>3.2</v>
      </c>
      <c r="AY205" s="41">
        <v>3.6</v>
      </c>
      <c r="AZ205" s="55">
        <v>4.4000000000000004</v>
      </c>
      <c r="BA205" s="55">
        <v>4.0999999999999996</v>
      </c>
      <c r="BB205" s="55">
        <v>4.3</v>
      </c>
      <c r="BC205" s="55">
        <v>4.4000000000000004</v>
      </c>
      <c r="BD205" s="55"/>
      <c r="BE205" s="57"/>
      <c r="BF205" s="8">
        <f t="shared" si="40"/>
        <v>51</v>
      </c>
    </row>
    <row r="206" spans="1:58">
      <c r="A206" s="93" t="s">
        <v>155</v>
      </c>
      <c r="B206" s="54" t="s">
        <v>153</v>
      </c>
      <c r="C206" s="19" t="s">
        <v>16</v>
      </c>
      <c r="D206" s="40"/>
      <c r="E206" s="55"/>
      <c r="F206" s="55"/>
      <c r="G206" s="55"/>
      <c r="H206" s="55"/>
      <c r="I206" s="55"/>
      <c r="J206" s="55"/>
      <c r="K206" s="55"/>
      <c r="L206" s="55"/>
      <c r="M206" s="55"/>
      <c r="N206" s="55"/>
      <c r="O206" s="55"/>
      <c r="P206" s="55"/>
      <c r="Q206" s="55"/>
      <c r="R206" s="55"/>
      <c r="S206" s="55"/>
      <c r="T206" s="55"/>
      <c r="U206" s="55"/>
      <c r="V206" s="55"/>
      <c r="W206" s="55"/>
      <c r="X206" s="55"/>
      <c r="Y206" s="55"/>
      <c r="Z206" s="55"/>
      <c r="AA206" s="55">
        <v>4.3</v>
      </c>
      <c r="AB206" s="55">
        <v>4.5999999999999996</v>
      </c>
      <c r="AC206" s="55">
        <v>4.5</v>
      </c>
      <c r="AD206" s="55">
        <v>4.7</v>
      </c>
      <c r="AE206" s="55">
        <v>4.8</v>
      </c>
      <c r="AF206" s="55">
        <v>4.5999999999999996</v>
      </c>
      <c r="AG206" s="55">
        <v>4.4000000000000004</v>
      </c>
      <c r="AH206" s="55">
        <v>4.8</v>
      </c>
      <c r="AI206" s="55">
        <v>4.3</v>
      </c>
      <c r="AJ206" s="55">
        <v>4.5999999999999996</v>
      </c>
      <c r="AK206" s="55">
        <v>4</v>
      </c>
      <c r="AL206" s="41">
        <v>4.4000000000000004</v>
      </c>
      <c r="AM206" s="55">
        <v>4.3</v>
      </c>
      <c r="AN206" s="55">
        <v>4</v>
      </c>
      <c r="AO206" s="55">
        <v>4.3</v>
      </c>
      <c r="AP206" s="55">
        <v>4.9000000000000004</v>
      </c>
      <c r="AQ206" s="55">
        <v>4.9000000000000004</v>
      </c>
      <c r="AR206" s="55">
        <v>4.8</v>
      </c>
      <c r="AS206" s="55">
        <v>4.8</v>
      </c>
      <c r="AT206" s="55">
        <v>4.0999999999999996</v>
      </c>
      <c r="AU206" s="55">
        <v>4.3</v>
      </c>
      <c r="AV206" s="55">
        <v>4</v>
      </c>
      <c r="AW206" s="55">
        <v>4.2</v>
      </c>
      <c r="AX206" s="55">
        <v>3.9</v>
      </c>
      <c r="AY206" s="41">
        <v>4.2</v>
      </c>
      <c r="AZ206" s="55"/>
      <c r="BA206" s="55"/>
      <c r="BB206" s="55"/>
      <c r="BC206" s="55"/>
      <c r="BD206" s="55"/>
      <c r="BE206" s="57"/>
      <c r="BF206" s="8">
        <f t="shared" si="40"/>
        <v>25</v>
      </c>
    </row>
    <row r="207" spans="1:58" ht="34">
      <c r="A207" s="94" t="s">
        <v>156</v>
      </c>
      <c r="B207" s="95" t="s">
        <v>157</v>
      </c>
      <c r="C207" s="96" t="s">
        <v>16</v>
      </c>
      <c r="D207" s="60"/>
      <c r="E207" s="97">
        <f t="shared" ref="E207:AJ207" si="45">IF(OR(COUNT(E61)=0,SUM(E205:E206)=0),"uncalcuable",IF(AND(COUNT(E206)=0,COUNT(E205)&gt;0),(E61-E205)/E61,(E61-E206)/E61))</f>
        <v>0.35365853658536583</v>
      </c>
      <c r="F207" s="97">
        <f t="shared" si="45"/>
        <v>0.3820224719101124</v>
      </c>
      <c r="G207" s="97">
        <f t="shared" si="45"/>
        <v>0.34146341463414626</v>
      </c>
      <c r="H207" s="97">
        <f t="shared" si="45"/>
        <v>0.3493975903614458</v>
      </c>
      <c r="I207" s="97">
        <f t="shared" si="45"/>
        <v>0.32911392405063294</v>
      </c>
      <c r="J207" s="97">
        <f t="shared" si="45"/>
        <v>0.34146341463414626</v>
      </c>
      <c r="K207" s="97">
        <f t="shared" si="45"/>
        <v>0.2820512820512821</v>
      </c>
      <c r="L207" s="97">
        <f t="shared" si="45"/>
        <v>0.3125</v>
      </c>
      <c r="M207" s="97">
        <f t="shared" si="45"/>
        <v>0.32098765432098764</v>
      </c>
      <c r="N207" s="97">
        <f t="shared" si="45"/>
        <v>0.30864197530864201</v>
      </c>
      <c r="O207" s="97">
        <f t="shared" si="45"/>
        <v>0.34146341463414626</v>
      </c>
      <c r="P207" s="97">
        <f t="shared" si="45"/>
        <v>0.27999999999999997</v>
      </c>
      <c r="Q207" s="97">
        <f t="shared" si="45"/>
        <v>0.26760563380281682</v>
      </c>
      <c r="R207" s="97">
        <f t="shared" si="45"/>
        <v>0.31168831168831174</v>
      </c>
      <c r="S207" s="97">
        <f t="shared" si="45"/>
        <v>0.42105263157894729</v>
      </c>
      <c r="T207" s="97">
        <f t="shared" si="45"/>
        <v>0.35526315789473678</v>
      </c>
      <c r="U207" s="97">
        <f t="shared" si="45"/>
        <v>0.375</v>
      </c>
      <c r="V207" s="97">
        <f t="shared" si="45"/>
        <v>0.5</v>
      </c>
      <c r="W207" s="97">
        <f t="shared" si="45"/>
        <v>0.41428571428571431</v>
      </c>
      <c r="X207" s="97">
        <f t="shared" si="45"/>
        <v>0.36764705882352944</v>
      </c>
      <c r="Y207" s="97">
        <f t="shared" si="45"/>
        <v>0.36923076923076931</v>
      </c>
      <c r="Z207" s="97">
        <f t="shared" si="45"/>
        <v>0.33823529411764702</v>
      </c>
      <c r="AA207" s="97">
        <f t="shared" si="45"/>
        <v>0.35820895522388063</v>
      </c>
      <c r="AB207" s="97">
        <f t="shared" si="45"/>
        <v>0.39473684210526316</v>
      </c>
      <c r="AC207" s="97">
        <f t="shared" si="45"/>
        <v>0.36619718309859151</v>
      </c>
      <c r="AD207" s="97">
        <f t="shared" si="45"/>
        <v>0.42682926829268286</v>
      </c>
      <c r="AE207" s="97">
        <f t="shared" si="45"/>
        <v>0.37662337662337664</v>
      </c>
      <c r="AF207" s="97">
        <f t="shared" si="45"/>
        <v>0.39473684210526316</v>
      </c>
      <c r="AG207" s="97">
        <f t="shared" si="45"/>
        <v>0.40540540540540537</v>
      </c>
      <c r="AH207" s="97">
        <f t="shared" si="45"/>
        <v>0.36000000000000004</v>
      </c>
      <c r="AI207" s="97">
        <f t="shared" si="45"/>
        <v>0.43421052631578949</v>
      </c>
      <c r="AJ207" s="97">
        <f t="shared" si="45"/>
        <v>0.37837837837837845</v>
      </c>
      <c r="AK207" s="97">
        <f t="shared" ref="AK207:BD207" si="46">IF(OR(COUNT(AK61)=0,SUM(AK205:AK206)=0),"uncalcuable",IF(AND(COUNT(AK206)=0,COUNT(AK205)&gt;0),(AK61-AK205)/AK61,(AK61-AK206)/AK61))</f>
        <v>0.42857142857142855</v>
      </c>
      <c r="AL207" s="97">
        <f t="shared" si="46"/>
        <v>0.42105263157894729</v>
      </c>
      <c r="AM207" s="97">
        <f t="shared" si="46"/>
        <v>0.41891891891891897</v>
      </c>
      <c r="AN207" s="97">
        <f t="shared" si="46"/>
        <v>0.44444444444444448</v>
      </c>
      <c r="AO207" s="97">
        <f t="shared" si="46"/>
        <v>0.44871794871794873</v>
      </c>
      <c r="AP207" s="97">
        <f t="shared" si="46"/>
        <v>0.41666666666666663</v>
      </c>
      <c r="AQ207" s="97">
        <f t="shared" si="46"/>
        <v>0.38749999999999996</v>
      </c>
      <c r="AR207" s="97">
        <f t="shared" si="46"/>
        <v>0.36842105263157893</v>
      </c>
      <c r="AS207" s="97">
        <f t="shared" si="46"/>
        <v>0.36842105263157893</v>
      </c>
      <c r="AT207" s="97">
        <f t="shared" si="46"/>
        <v>0.46052631578947373</v>
      </c>
      <c r="AU207" s="97">
        <f t="shared" si="46"/>
        <v>0.38571428571428573</v>
      </c>
      <c r="AV207" s="97">
        <f t="shared" si="46"/>
        <v>0.41176470588235292</v>
      </c>
      <c r="AW207" s="97">
        <f t="shared" si="46"/>
        <v>0.38235294117647056</v>
      </c>
      <c r="AX207" s="97">
        <f t="shared" si="46"/>
        <v>0.35000000000000003</v>
      </c>
      <c r="AY207" s="97">
        <f t="shared" si="46"/>
        <v>0.37313432835820892</v>
      </c>
      <c r="AZ207" s="97">
        <f t="shared" si="46"/>
        <v>0.33333333333333326</v>
      </c>
      <c r="BA207" s="97">
        <f t="shared" si="46"/>
        <v>0.34920634920634924</v>
      </c>
      <c r="BB207" s="97">
        <f t="shared" si="46"/>
        <v>0.34848484848484845</v>
      </c>
      <c r="BC207" s="97">
        <f t="shared" si="46"/>
        <v>0.3125</v>
      </c>
      <c r="BD207" s="97" t="str">
        <f t="shared" si="46"/>
        <v>uncalcuable</v>
      </c>
      <c r="BE207" s="57"/>
      <c r="BF207" s="8">
        <f t="shared" ref="BF207:BF216" si="47">COUNT(E207:BD207)</f>
        <v>51</v>
      </c>
    </row>
    <row r="208" spans="1:58" ht="34">
      <c r="A208" s="94" t="s">
        <v>158</v>
      </c>
      <c r="B208" s="95" t="s">
        <v>157</v>
      </c>
      <c r="C208" s="96" t="s">
        <v>16</v>
      </c>
      <c r="D208" s="60"/>
      <c r="E208" s="97" t="str">
        <f t="shared" ref="E208:AJ208" si="48">IF(OR(E206=0,E205=0),"uncalcuable",(E206-E205)/E206)</f>
        <v>uncalcuable</v>
      </c>
      <c r="F208" s="97" t="str">
        <f t="shared" si="48"/>
        <v>uncalcuable</v>
      </c>
      <c r="G208" s="97" t="str">
        <f t="shared" si="48"/>
        <v>uncalcuable</v>
      </c>
      <c r="H208" s="97" t="str">
        <f t="shared" si="48"/>
        <v>uncalcuable</v>
      </c>
      <c r="I208" s="97" t="str">
        <f t="shared" si="48"/>
        <v>uncalcuable</v>
      </c>
      <c r="J208" s="97" t="str">
        <f t="shared" si="48"/>
        <v>uncalcuable</v>
      </c>
      <c r="K208" s="97" t="str">
        <f t="shared" si="48"/>
        <v>uncalcuable</v>
      </c>
      <c r="L208" s="97" t="str">
        <f t="shared" si="48"/>
        <v>uncalcuable</v>
      </c>
      <c r="M208" s="97" t="str">
        <f t="shared" si="48"/>
        <v>uncalcuable</v>
      </c>
      <c r="N208" s="97" t="str">
        <f t="shared" si="48"/>
        <v>uncalcuable</v>
      </c>
      <c r="O208" s="97" t="str">
        <f t="shared" si="48"/>
        <v>uncalcuable</v>
      </c>
      <c r="P208" s="97" t="str">
        <f t="shared" si="48"/>
        <v>uncalcuable</v>
      </c>
      <c r="Q208" s="97" t="str">
        <f t="shared" si="48"/>
        <v>uncalcuable</v>
      </c>
      <c r="R208" s="97" t="str">
        <f t="shared" si="48"/>
        <v>uncalcuable</v>
      </c>
      <c r="S208" s="97" t="str">
        <f t="shared" si="48"/>
        <v>uncalcuable</v>
      </c>
      <c r="T208" s="97" t="str">
        <f t="shared" si="48"/>
        <v>uncalcuable</v>
      </c>
      <c r="U208" s="97" t="str">
        <f t="shared" si="48"/>
        <v>uncalcuable</v>
      </c>
      <c r="V208" s="97" t="str">
        <f t="shared" si="48"/>
        <v>uncalcuable</v>
      </c>
      <c r="W208" s="97" t="str">
        <f t="shared" si="48"/>
        <v>uncalcuable</v>
      </c>
      <c r="X208" s="97" t="str">
        <f t="shared" si="48"/>
        <v>uncalcuable</v>
      </c>
      <c r="Y208" s="97" t="str">
        <f t="shared" si="48"/>
        <v>uncalcuable</v>
      </c>
      <c r="Z208" s="97" t="str">
        <f t="shared" si="48"/>
        <v>uncalcuable</v>
      </c>
      <c r="AA208" s="97">
        <f t="shared" si="48"/>
        <v>0.7441860465116279</v>
      </c>
      <c r="AB208" s="97">
        <f t="shared" si="48"/>
        <v>0.78260869565217395</v>
      </c>
      <c r="AC208" s="97">
        <f t="shared" si="48"/>
        <v>0.77777777777777779</v>
      </c>
      <c r="AD208" s="97">
        <f t="shared" si="48"/>
        <v>0.74468085106382975</v>
      </c>
      <c r="AE208" s="97">
        <f t="shared" si="48"/>
        <v>0.70833333333333337</v>
      </c>
      <c r="AF208" s="97">
        <f t="shared" si="48"/>
        <v>0.65217391304347816</v>
      </c>
      <c r="AG208" s="97">
        <f t="shared" si="48"/>
        <v>0.63636363636363635</v>
      </c>
      <c r="AH208" s="97">
        <f t="shared" si="48"/>
        <v>0.5625</v>
      </c>
      <c r="AI208" s="97">
        <f t="shared" si="48"/>
        <v>0.53488372093023251</v>
      </c>
      <c r="AJ208" s="97">
        <f t="shared" si="48"/>
        <v>0.52173913043478248</v>
      </c>
      <c r="AK208" s="97">
        <f t="shared" ref="AK208:BD208" si="49">IF(OR(AK206=0,AK205=0),"uncalcuable",(AK206-AK205)/AK206)</f>
        <v>0.44999999999999996</v>
      </c>
      <c r="AL208" s="97">
        <f t="shared" si="49"/>
        <v>0.45454545454545459</v>
      </c>
      <c r="AM208" s="97">
        <f t="shared" si="49"/>
        <v>0.44186046511627908</v>
      </c>
      <c r="AN208" s="97">
        <f t="shared" si="49"/>
        <v>0.375</v>
      </c>
      <c r="AO208" s="97">
        <f t="shared" si="49"/>
        <v>0.39534883720930231</v>
      </c>
      <c r="AP208" s="97">
        <f t="shared" si="49"/>
        <v>0.36734693877551022</v>
      </c>
      <c r="AQ208" s="97">
        <f t="shared" si="49"/>
        <v>0.34693877551020408</v>
      </c>
      <c r="AR208" s="97">
        <f t="shared" si="49"/>
        <v>0.33333333333333326</v>
      </c>
      <c r="AS208" s="97">
        <f t="shared" si="49"/>
        <v>0.33333333333333326</v>
      </c>
      <c r="AT208" s="97">
        <f t="shared" si="49"/>
        <v>0.31707317073170732</v>
      </c>
      <c r="AU208" s="97">
        <f t="shared" si="49"/>
        <v>0.37209302325581389</v>
      </c>
      <c r="AV208" s="97">
        <f t="shared" si="49"/>
        <v>0.27500000000000002</v>
      </c>
      <c r="AW208" s="97">
        <f t="shared" si="49"/>
        <v>0.23809523809523808</v>
      </c>
      <c r="AX208" s="97">
        <f t="shared" si="49"/>
        <v>0.17948717948717943</v>
      </c>
      <c r="AY208" s="97">
        <f t="shared" si="49"/>
        <v>0.14285714285714288</v>
      </c>
      <c r="AZ208" s="97" t="str">
        <f t="shared" si="49"/>
        <v>uncalcuable</v>
      </c>
      <c r="BA208" s="97" t="str">
        <f t="shared" si="49"/>
        <v>uncalcuable</v>
      </c>
      <c r="BB208" s="97" t="str">
        <f t="shared" si="49"/>
        <v>uncalcuable</v>
      </c>
      <c r="BC208" s="97" t="str">
        <f t="shared" si="49"/>
        <v>uncalcuable</v>
      </c>
      <c r="BD208" s="97" t="str">
        <f t="shared" si="49"/>
        <v>uncalcuable</v>
      </c>
      <c r="BE208" s="57"/>
      <c r="BF208" s="8">
        <f t="shared" si="47"/>
        <v>25</v>
      </c>
    </row>
    <row r="209" spans="1:58">
      <c r="A209" s="58" t="s">
        <v>159</v>
      </c>
      <c r="B209" s="95" t="s">
        <v>157</v>
      </c>
      <c r="C209" s="96" t="s">
        <v>16</v>
      </c>
      <c r="D209" s="60"/>
      <c r="E209" s="97">
        <f t="shared" ref="E209:AJ209" si="50">IF(OR(E61=0,E205=0),"uncalcuable",(E61-E205)/E61)</f>
        <v>0.35365853658536583</v>
      </c>
      <c r="F209" s="97">
        <f t="shared" si="50"/>
        <v>0.3820224719101124</v>
      </c>
      <c r="G209" s="97">
        <f t="shared" si="50"/>
        <v>0.34146341463414626</v>
      </c>
      <c r="H209" s="97">
        <f t="shared" si="50"/>
        <v>0.3493975903614458</v>
      </c>
      <c r="I209" s="97">
        <f t="shared" si="50"/>
        <v>0.32911392405063294</v>
      </c>
      <c r="J209" s="97">
        <f t="shared" si="50"/>
        <v>0.34146341463414626</v>
      </c>
      <c r="K209" s="97">
        <f t="shared" si="50"/>
        <v>0.2820512820512821</v>
      </c>
      <c r="L209" s="97">
        <f t="shared" si="50"/>
        <v>0.3125</v>
      </c>
      <c r="M209" s="97">
        <f t="shared" si="50"/>
        <v>0.32098765432098764</v>
      </c>
      <c r="N209" s="97">
        <f t="shared" si="50"/>
        <v>0.30864197530864201</v>
      </c>
      <c r="O209" s="97">
        <f t="shared" si="50"/>
        <v>0.34146341463414626</v>
      </c>
      <c r="P209" s="97">
        <f t="shared" si="50"/>
        <v>0.27999999999999997</v>
      </c>
      <c r="Q209" s="97">
        <f t="shared" si="50"/>
        <v>0.26760563380281682</v>
      </c>
      <c r="R209" s="97">
        <f t="shared" si="50"/>
        <v>0.31168831168831174</v>
      </c>
      <c r="S209" s="97">
        <f t="shared" si="50"/>
        <v>0.42105263157894729</v>
      </c>
      <c r="T209" s="97">
        <f t="shared" si="50"/>
        <v>0.35526315789473678</v>
      </c>
      <c r="U209" s="97">
        <f t="shared" si="50"/>
        <v>0.375</v>
      </c>
      <c r="V209" s="97">
        <f t="shared" si="50"/>
        <v>0.5</v>
      </c>
      <c r="W209" s="97">
        <f t="shared" si="50"/>
        <v>0.41428571428571431</v>
      </c>
      <c r="X209" s="97">
        <f t="shared" si="50"/>
        <v>0.36764705882352944</v>
      </c>
      <c r="Y209" s="97">
        <f t="shared" si="50"/>
        <v>0.36923076923076931</v>
      </c>
      <c r="Z209" s="97">
        <f t="shared" si="50"/>
        <v>0.33823529411764702</v>
      </c>
      <c r="AA209" s="97">
        <f t="shared" si="50"/>
        <v>0.83582089552238803</v>
      </c>
      <c r="AB209" s="97">
        <f t="shared" si="50"/>
        <v>0.86842105263157898</v>
      </c>
      <c r="AC209" s="97">
        <f t="shared" si="50"/>
        <v>0.85915492957746475</v>
      </c>
      <c r="AD209" s="97">
        <f t="shared" si="50"/>
        <v>0.85365853658536583</v>
      </c>
      <c r="AE209" s="97">
        <f t="shared" si="50"/>
        <v>0.81818181818181823</v>
      </c>
      <c r="AF209" s="97">
        <f t="shared" si="50"/>
        <v>0.78947368421052633</v>
      </c>
      <c r="AG209" s="97">
        <f t="shared" si="50"/>
        <v>0.78378378378378388</v>
      </c>
      <c r="AH209" s="97">
        <f t="shared" si="50"/>
        <v>0.72000000000000008</v>
      </c>
      <c r="AI209" s="97">
        <f t="shared" si="50"/>
        <v>0.73684210526315785</v>
      </c>
      <c r="AJ209" s="97">
        <f t="shared" si="50"/>
        <v>0.70270270270270274</v>
      </c>
      <c r="AK209" s="97">
        <f t="shared" ref="AK209:BD209" si="51">IF(OR(AK61=0,AK205=0),"uncalcuable",(AK61-AK205)/AK61)</f>
        <v>0.68571428571428572</v>
      </c>
      <c r="AL209" s="97">
        <f t="shared" si="51"/>
        <v>0.68421052631578938</v>
      </c>
      <c r="AM209" s="97">
        <f t="shared" si="51"/>
        <v>0.67567567567567566</v>
      </c>
      <c r="AN209" s="97">
        <f t="shared" si="51"/>
        <v>0.65277777777777779</v>
      </c>
      <c r="AO209" s="97">
        <f t="shared" si="51"/>
        <v>0.66666666666666663</v>
      </c>
      <c r="AP209" s="97">
        <f t="shared" si="51"/>
        <v>0.63095238095238104</v>
      </c>
      <c r="AQ209" s="97">
        <f t="shared" si="51"/>
        <v>0.6</v>
      </c>
      <c r="AR209" s="97">
        <f t="shared" si="51"/>
        <v>0.57894736842105254</v>
      </c>
      <c r="AS209" s="97">
        <f t="shared" si="51"/>
        <v>0.57894736842105254</v>
      </c>
      <c r="AT209" s="97">
        <f t="shared" si="51"/>
        <v>0.63157894736842102</v>
      </c>
      <c r="AU209" s="97">
        <f t="shared" si="51"/>
        <v>0.61428571428571421</v>
      </c>
      <c r="AV209" s="97">
        <f t="shared" si="51"/>
        <v>0.57352941176470584</v>
      </c>
      <c r="AW209" s="97">
        <f t="shared" si="51"/>
        <v>0.52941176470588236</v>
      </c>
      <c r="AX209" s="97">
        <f t="shared" si="51"/>
        <v>0.46666666666666662</v>
      </c>
      <c r="AY209" s="97">
        <f t="shared" si="51"/>
        <v>0.46268656716417911</v>
      </c>
      <c r="AZ209" s="97">
        <f t="shared" si="51"/>
        <v>0.33333333333333326</v>
      </c>
      <c r="BA209" s="97">
        <f t="shared" si="51"/>
        <v>0.34920634920634924</v>
      </c>
      <c r="BB209" s="97">
        <f t="shared" si="51"/>
        <v>0.34848484848484845</v>
      </c>
      <c r="BC209" s="97">
        <f t="shared" si="51"/>
        <v>0.3125</v>
      </c>
      <c r="BD209" s="97" t="str">
        <f t="shared" si="51"/>
        <v>uncalcuable</v>
      </c>
      <c r="BE209" s="57"/>
      <c r="BF209" s="8">
        <f t="shared" si="47"/>
        <v>51</v>
      </c>
    </row>
    <row r="210" spans="1:58" ht="34">
      <c r="A210" s="98" t="s">
        <v>160</v>
      </c>
      <c r="B210" s="99" t="s">
        <v>72</v>
      </c>
      <c r="C210" s="100" t="s">
        <v>16</v>
      </c>
      <c r="D210" s="40"/>
      <c r="E210" s="101"/>
      <c r="F210" s="101">
        <v>0.53510000000000002</v>
      </c>
      <c r="G210" s="101">
        <v>0.5675</v>
      </c>
      <c r="H210" s="101">
        <v>0.52880000000000005</v>
      </c>
      <c r="I210" s="101">
        <v>0.55120000000000002</v>
      </c>
      <c r="J210" s="101">
        <v>0.54759999999999998</v>
      </c>
      <c r="K210" s="101"/>
      <c r="L210" s="101">
        <v>0.55720000000000003</v>
      </c>
      <c r="M210" s="101">
        <v>0.55179999999999996</v>
      </c>
      <c r="N210" s="101">
        <v>0.57040000000000002</v>
      </c>
      <c r="O210" s="101">
        <v>0.54</v>
      </c>
      <c r="P210" s="101">
        <v>0.55649999999999999</v>
      </c>
      <c r="Q210" s="101">
        <v>0.5514</v>
      </c>
      <c r="R210" s="101">
        <v>0.57369999999999999</v>
      </c>
      <c r="S210" s="101">
        <v>0.41770000000000002</v>
      </c>
      <c r="T210" s="101">
        <v>0.46439999999999998</v>
      </c>
      <c r="U210" s="101">
        <v>0.47239999999999999</v>
      </c>
      <c r="V210" s="101">
        <v>0.28360000000000002</v>
      </c>
      <c r="W210" s="101">
        <v>0.38650000000000001</v>
      </c>
      <c r="X210" s="101">
        <v>0.38850000000000001</v>
      </c>
      <c r="Y210" s="101">
        <v>0.39350000000000002</v>
      </c>
      <c r="Z210" s="101">
        <v>0.40400000000000003</v>
      </c>
      <c r="AA210" s="101">
        <v>1.9199999999999998E-2</v>
      </c>
      <c r="AB210" s="101">
        <v>3.1699999999999999E-2</v>
      </c>
      <c r="AC210" s="101">
        <v>1.9E-3</v>
      </c>
      <c r="AD210" s="101">
        <v>2.0500000000000001E-2</v>
      </c>
      <c r="AE210" s="101">
        <v>0.03</v>
      </c>
      <c r="AF210" s="101">
        <v>7.5700000000000003E-2</v>
      </c>
      <c r="AG210" s="101">
        <v>5.8999999999999997E-2</v>
      </c>
      <c r="AH210" s="101">
        <v>7.3499999999999996E-2</v>
      </c>
      <c r="AI210" s="101">
        <v>7.3200000000000001E-2</v>
      </c>
      <c r="AJ210" s="101">
        <v>0.1177</v>
      </c>
      <c r="AK210" s="101">
        <v>0.125</v>
      </c>
      <c r="AL210" s="101">
        <v>0.1363</v>
      </c>
      <c r="AM210" s="101">
        <v>0.13109999999999999</v>
      </c>
      <c r="AN210" s="101">
        <v>0.1598</v>
      </c>
      <c r="AO210" s="101">
        <v>0.14630000000000001</v>
      </c>
      <c r="AP210" s="101">
        <v>0.2036</v>
      </c>
      <c r="AQ210" s="101">
        <v>0.17849999999999999</v>
      </c>
      <c r="AR210" s="101">
        <v>0.1963</v>
      </c>
      <c r="AS210" s="101">
        <v>0.1832</v>
      </c>
      <c r="AT210" s="101">
        <v>0.17499999999999999</v>
      </c>
      <c r="AU210" s="101">
        <v>0.161</v>
      </c>
      <c r="AV210" s="101">
        <v>0.19600000000000001</v>
      </c>
      <c r="AW210" s="101">
        <v>0.21529999999999999</v>
      </c>
      <c r="AX210" s="101">
        <v>0.23860000000000001</v>
      </c>
      <c r="AY210" s="101">
        <v>0.26079999999999998</v>
      </c>
      <c r="AZ210" s="101">
        <v>0.41660000000000003</v>
      </c>
      <c r="BA210" s="101">
        <v>0.41549999999999998</v>
      </c>
      <c r="BB210" s="101">
        <v>0.43819999999999998</v>
      </c>
      <c r="BC210" s="101">
        <v>0.44540000000000002</v>
      </c>
      <c r="BD210" s="101"/>
      <c r="BE210" s="102"/>
      <c r="BF210" s="8">
        <f t="shared" si="47"/>
        <v>49</v>
      </c>
    </row>
    <row r="211" spans="1:58">
      <c r="A211" s="332" t="s">
        <v>161</v>
      </c>
      <c r="B211" s="348" t="s">
        <v>74</v>
      </c>
      <c r="C211" s="10" t="s">
        <v>16</v>
      </c>
      <c r="D211" s="308"/>
      <c r="E211" s="333" t="str">
        <f t="shared" ref="E211:AJ211" si="52">IF(OR(ISBLANK(E210),ISBLANK(E205)),"uncalcuable",E210/E205)</f>
        <v>uncalcuable</v>
      </c>
      <c r="F211" s="333">
        <f t="shared" si="52"/>
        <v>9.7290909090909095E-2</v>
      </c>
      <c r="G211" s="333">
        <f t="shared" si="52"/>
        <v>0.10509259259259258</v>
      </c>
      <c r="H211" s="333">
        <f t="shared" si="52"/>
        <v>9.792592592592593E-2</v>
      </c>
      <c r="I211" s="333">
        <f t="shared" si="52"/>
        <v>0.10400000000000001</v>
      </c>
      <c r="J211" s="333">
        <f t="shared" si="52"/>
        <v>0.10140740740740739</v>
      </c>
      <c r="K211" s="333" t="str">
        <f t="shared" si="52"/>
        <v>uncalcuable</v>
      </c>
      <c r="L211" s="333">
        <f t="shared" si="52"/>
        <v>0.10130909090909092</v>
      </c>
      <c r="M211" s="333">
        <f t="shared" si="52"/>
        <v>0.10032727272727272</v>
      </c>
      <c r="N211" s="333">
        <f t="shared" si="52"/>
        <v>0.10185714285714287</v>
      </c>
      <c r="O211" s="333">
        <f t="shared" si="52"/>
        <v>0.1</v>
      </c>
      <c r="P211" s="333">
        <f t="shared" si="52"/>
        <v>0.10305555555555555</v>
      </c>
      <c r="Q211" s="333">
        <f t="shared" si="52"/>
        <v>0.10603846153846154</v>
      </c>
      <c r="R211" s="333">
        <f t="shared" si="52"/>
        <v>0.10824528301886793</v>
      </c>
      <c r="S211" s="333">
        <f t="shared" si="52"/>
        <v>9.4931818181818173E-2</v>
      </c>
      <c r="T211" s="333">
        <f t="shared" si="52"/>
        <v>9.477551020408162E-2</v>
      </c>
      <c r="U211" s="333">
        <f t="shared" si="52"/>
        <v>9.4479999999999995E-2</v>
      </c>
      <c r="V211" s="333">
        <f t="shared" si="52"/>
        <v>8.5939393939393954E-2</v>
      </c>
      <c r="W211" s="333">
        <f t="shared" si="52"/>
        <v>9.4268292682926844E-2</v>
      </c>
      <c r="X211" s="333">
        <f t="shared" si="52"/>
        <v>9.0348837209302327E-2</v>
      </c>
      <c r="Y211" s="333">
        <f t="shared" si="52"/>
        <v>9.5975609756097577E-2</v>
      </c>
      <c r="Z211" s="333">
        <f t="shared" si="52"/>
        <v>8.977777777777779E-2</v>
      </c>
      <c r="AA211" s="333">
        <f t="shared" si="52"/>
        <v>1.7454545454545452E-2</v>
      </c>
      <c r="AB211" s="333">
        <f t="shared" si="52"/>
        <v>3.1699999999999999E-2</v>
      </c>
      <c r="AC211" s="333">
        <f t="shared" si="52"/>
        <v>1.9E-3</v>
      </c>
      <c r="AD211" s="333">
        <f t="shared" si="52"/>
        <v>1.7083333333333336E-2</v>
      </c>
      <c r="AE211" s="333">
        <f t="shared" si="52"/>
        <v>2.1428571428571429E-2</v>
      </c>
      <c r="AF211" s="333">
        <f t="shared" si="52"/>
        <v>4.73125E-2</v>
      </c>
      <c r="AG211" s="333">
        <f t="shared" si="52"/>
        <v>3.6874999999999998E-2</v>
      </c>
      <c r="AH211" s="333">
        <f t="shared" si="52"/>
        <v>3.4999999999999996E-2</v>
      </c>
      <c r="AI211" s="333">
        <f t="shared" si="52"/>
        <v>3.6600000000000001E-2</v>
      </c>
      <c r="AJ211" s="333">
        <f t="shared" si="52"/>
        <v>5.3499999999999992E-2</v>
      </c>
      <c r="AK211" s="333">
        <f t="shared" ref="AK211:BD211" si="53">IF(OR(ISBLANK(AK210),ISBLANK(AK205)),"uncalcuable",AK210/AK205)</f>
        <v>5.6818181818181816E-2</v>
      </c>
      <c r="AL211" s="333">
        <f t="shared" si="53"/>
        <v>5.6791666666666671E-2</v>
      </c>
      <c r="AM211" s="333">
        <f t="shared" si="53"/>
        <v>5.4625E-2</v>
      </c>
      <c r="AN211" s="333">
        <f t="shared" si="53"/>
        <v>6.3920000000000005E-2</v>
      </c>
      <c r="AO211" s="333">
        <f t="shared" si="53"/>
        <v>5.6269230769230773E-2</v>
      </c>
      <c r="AP211" s="333">
        <f t="shared" si="53"/>
        <v>6.5677419354838715E-2</v>
      </c>
      <c r="AQ211" s="333">
        <f t="shared" si="53"/>
        <v>5.5781249999999998E-2</v>
      </c>
      <c r="AR211" s="333">
        <f t="shared" si="53"/>
        <v>6.1343749999999996E-2</v>
      </c>
      <c r="AS211" s="333">
        <f t="shared" si="53"/>
        <v>5.7249999999999995E-2</v>
      </c>
      <c r="AT211" s="333">
        <f t="shared" si="53"/>
        <v>6.25E-2</v>
      </c>
      <c r="AU211" s="333">
        <f t="shared" si="53"/>
        <v>5.962962962962963E-2</v>
      </c>
      <c r="AV211" s="333">
        <f t="shared" si="53"/>
        <v>6.7586206896551732E-2</v>
      </c>
      <c r="AW211" s="333">
        <f t="shared" si="53"/>
        <v>6.7281249999999987E-2</v>
      </c>
      <c r="AX211" s="333">
        <f t="shared" si="53"/>
        <v>7.4562500000000004E-2</v>
      </c>
      <c r="AY211" s="333">
        <f t="shared" si="53"/>
        <v>7.2444444444444436E-2</v>
      </c>
      <c r="AZ211" s="333">
        <f t="shared" si="53"/>
        <v>9.4681818181818186E-2</v>
      </c>
      <c r="BA211" s="333">
        <f t="shared" si="53"/>
        <v>0.10134146341463415</v>
      </c>
      <c r="BB211" s="333">
        <f t="shared" si="53"/>
        <v>0.10190697674418604</v>
      </c>
      <c r="BC211" s="333">
        <f t="shared" si="53"/>
        <v>0.10122727272727272</v>
      </c>
      <c r="BD211" s="333" t="str">
        <f t="shared" si="53"/>
        <v>uncalcuable</v>
      </c>
      <c r="BE211" s="102"/>
      <c r="BF211" s="8">
        <f t="shared" si="47"/>
        <v>49</v>
      </c>
    </row>
    <row r="212" spans="1:58" ht="34">
      <c r="A212" s="98" t="s">
        <v>162</v>
      </c>
      <c r="B212" s="99" t="s">
        <v>72</v>
      </c>
      <c r="C212" s="22" t="s">
        <v>16</v>
      </c>
      <c r="D212" s="103"/>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v>0.42170000000000002</v>
      </c>
      <c r="AB212" s="104">
        <v>0.43759999999999999</v>
      </c>
      <c r="AC212" s="104">
        <v>0.39129999999999998</v>
      </c>
      <c r="AD212" s="104">
        <v>0.40289999999999998</v>
      </c>
      <c r="AE212" s="104">
        <v>0.41970000000000002</v>
      </c>
      <c r="AF212" s="104">
        <v>0.4415</v>
      </c>
      <c r="AG212" s="104">
        <v>0.42</v>
      </c>
      <c r="AH212" s="104">
        <v>0.43869999999999998</v>
      </c>
      <c r="AI212" s="104">
        <v>0.4194</v>
      </c>
      <c r="AJ212" s="104">
        <v>0.43319999999999997</v>
      </c>
      <c r="AK212" s="104">
        <v>0.46360000000000001</v>
      </c>
      <c r="AL212" s="104">
        <v>0.4214</v>
      </c>
      <c r="AM212" s="104">
        <v>0.40939999999999999</v>
      </c>
      <c r="AN212" s="104">
        <v>0.41880000000000001</v>
      </c>
      <c r="AO212" s="104">
        <v>0.41499999999999998</v>
      </c>
      <c r="AP212" s="104">
        <v>0.42849999999999999</v>
      </c>
      <c r="AQ212" s="104">
        <v>0.42759999999999998</v>
      </c>
      <c r="AR212" s="104">
        <v>0.41249999999999998</v>
      </c>
      <c r="AS212" s="104">
        <v>0.40620000000000001</v>
      </c>
      <c r="AT212" s="104">
        <v>0.38540000000000002</v>
      </c>
      <c r="AU212" s="104">
        <v>0.38500000000000001</v>
      </c>
      <c r="AV212" s="104">
        <v>0.39829999999999999</v>
      </c>
      <c r="AW212" s="104">
        <v>0.40450000000000003</v>
      </c>
      <c r="AX212" s="104">
        <v>0.39429999999999998</v>
      </c>
      <c r="AY212" s="104">
        <v>0.40870000000000001</v>
      </c>
      <c r="AZ212" s="104"/>
      <c r="BA212" s="104"/>
      <c r="BB212" s="104"/>
      <c r="BC212" s="104"/>
      <c r="BD212" s="104"/>
      <c r="BE212" s="102"/>
      <c r="BF212" s="8">
        <f t="shared" si="47"/>
        <v>25</v>
      </c>
    </row>
    <row r="213" spans="1:58">
      <c r="A213" s="36" t="s">
        <v>75</v>
      </c>
      <c r="B213" s="83" t="s">
        <v>76</v>
      </c>
      <c r="C213" s="84" t="s">
        <v>16</v>
      </c>
      <c r="D213" s="40"/>
      <c r="E213" s="52"/>
      <c r="F213" s="52">
        <v>6</v>
      </c>
      <c r="G213" s="52"/>
      <c r="H213" s="52">
        <v>4</v>
      </c>
      <c r="I213" s="52"/>
      <c r="J213" s="52"/>
      <c r="K213" s="52"/>
      <c r="L213" s="52">
        <v>5</v>
      </c>
      <c r="M213" s="52"/>
      <c r="N213" s="52">
        <v>6</v>
      </c>
      <c r="O213" s="52"/>
      <c r="P213" s="52">
        <v>0</v>
      </c>
      <c r="Q213" s="52">
        <v>6</v>
      </c>
      <c r="R213" s="52">
        <v>6</v>
      </c>
      <c r="S213" s="52">
        <v>0</v>
      </c>
      <c r="T213" s="52"/>
      <c r="U213" s="52">
        <v>4</v>
      </c>
      <c r="V213" s="52">
        <v>0</v>
      </c>
      <c r="W213" s="52">
        <v>2</v>
      </c>
      <c r="X213" s="52">
        <v>2</v>
      </c>
      <c r="Y213" s="52">
        <v>4</v>
      </c>
      <c r="Z213" s="52">
        <v>0</v>
      </c>
      <c r="AA213" s="52">
        <v>44</v>
      </c>
      <c r="AB213" s="52">
        <v>16</v>
      </c>
      <c r="AC213" s="52">
        <v>15</v>
      </c>
      <c r="AD213" s="52">
        <v>9</v>
      </c>
      <c r="AE213" s="52">
        <v>9</v>
      </c>
      <c r="AF213" s="52">
        <v>7</v>
      </c>
      <c r="AG213" s="52">
        <v>4</v>
      </c>
      <c r="AH213" s="52">
        <v>7</v>
      </c>
      <c r="AI213" s="52">
        <v>8</v>
      </c>
      <c r="AJ213" s="52">
        <v>5</v>
      </c>
      <c r="AK213" s="52">
        <v>2</v>
      </c>
      <c r="AL213" s="41">
        <v>3</v>
      </c>
      <c r="AM213" s="52">
        <v>5</v>
      </c>
      <c r="AN213" s="52">
        <v>7</v>
      </c>
      <c r="AO213" s="52">
        <v>4</v>
      </c>
      <c r="AP213" s="52">
        <v>7</v>
      </c>
      <c r="AQ213" s="52">
        <v>3</v>
      </c>
      <c r="AR213" s="52">
        <v>4</v>
      </c>
      <c r="AS213" s="52">
        <v>6</v>
      </c>
      <c r="AT213" s="52">
        <v>4</v>
      </c>
      <c r="AU213" s="52">
        <v>3</v>
      </c>
      <c r="AV213" s="52">
        <v>3</v>
      </c>
      <c r="AW213" s="52">
        <v>5</v>
      </c>
      <c r="AX213" s="52">
        <v>7</v>
      </c>
      <c r="AY213" s="41">
        <v>4</v>
      </c>
      <c r="AZ213" s="52">
        <v>0</v>
      </c>
      <c r="BA213" s="52">
        <v>5</v>
      </c>
      <c r="BB213" s="52">
        <v>0</v>
      </c>
      <c r="BC213" s="52">
        <v>2</v>
      </c>
      <c r="BD213" s="52"/>
      <c r="BE213" s="53"/>
      <c r="BF213" s="8">
        <f t="shared" si="47"/>
        <v>43</v>
      </c>
    </row>
    <row r="214" spans="1:58">
      <c r="A214" s="36" t="s">
        <v>77</v>
      </c>
      <c r="B214" s="83" t="s">
        <v>76</v>
      </c>
      <c r="C214" s="84"/>
      <c r="D214" s="40"/>
      <c r="E214" s="52"/>
      <c r="F214" s="52">
        <v>9</v>
      </c>
      <c r="G214" s="52">
        <v>17</v>
      </c>
      <c r="H214" s="52">
        <v>11</v>
      </c>
      <c r="I214" s="52"/>
      <c r="J214" s="52"/>
      <c r="K214" s="52"/>
      <c r="L214" s="52">
        <v>9</v>
      </c>
      <c r="M214" s="52"/>
      <c r="N214" s="52">
        <v>9</v>
      </c>
      <c r="O214" s="52"/>
      <c r="P214" s="52">
        <v>9</v>
      </c>
      <c r="Q214" s="52">
        <v>10</v>
      </c>
      <c r="R214" s="52">
        <v>8</v>
      </c>
      <c r="S214" s="52">
        <v>10</v>
      </c>
      <c r="T214" s="52"/>
      <c r="U214" s="52">
        <v>8</v>
      </c>
      <c r="V214" s="52">
        <v>4</v>
      </c>
      <c r="W214" s="52">
        <v>5</v>
      </c>
      <c r="X214" s="52">
        <v>6</v>
      </c>
      <c r="Y214" s="52">
        <v>7</v>
      </c>
      <c r="Z214" s="52">
        <v>5</v>
      </c>
      <c r="AA214" s="52">
        <v>50</v>
      </c>
      <c r="AB214" s="52">
        <v>20</v>
      </c>
      <c r="AC214" s="52">
        <v>14</v>
      </c>
      <c r="AD214" s="52">
        <v>14</v>
      </c>
      <c r="AE214" s="52">
        <v>14</v>
      </c>
      <c r="AF214" s="52">
        <v>21</v>
      </c>
      <c r="AG214" s="52">
        <v>4</v>
      </c>
      <c r="AH214" s="52">
        <v>12</v>
      </c>
      <c r="AI214" s="52">
        <v>9</v>
      </c>
      <c r="AJ214" s="52">
        <v>7</v>
      </c>
      <c r="AK214" s="52">
        <v>8</v>
      </c>
      <c r="AL214" s="41">
        <v>8</v>
      </c>
      <c r="AM214" s="52">
        <v>9</v>
      </c>
      <c r="AN214" s="52">
        <v>6</v>
      </c>
      <c r="AO214" s="52">
        <v>6</v>
      </c>
      <c r="AP214" s="52">
        <v>5</v>
      </c>
      <c r="AQ214" s="52">
        <v>4</v>
      </c>
      <c r="AR214" s="52">
        <v>7</v>
      </c>
      <c r="AS214" s="52">
        <v>5</v>
      </c>
      <c r="AT214" s="52">
        <v>4</v>
      </c>
      <c r="AU214" s="52">
        <v>5</v>
      </c>
      <c r="AV214" s="52">
        <v>3</v>
      </c>
      <c r="AW214" s="52">
        <v>4</v>
      </c>
      <c r="AX214" s="52">
        <v>5</v>
      </c>
      <c r="AY214" s="41">
        <v>5</v>
      </c>
      <c r="AZ214" s="52">
        <v>4</v>
      </c>
      <c r="BA214" s="52">
        <v>6</v>
      </c>
      <c r="BB214" s="52">
        <v>4</v>
      </c>
      <c r="BC214" s="52">
        <v>10</v>
      </c>
      <c r="BD214" s="52"/>
      <c r="BE214" s="53"/>
      <c r="BF214" s="8">
        <f t="shared" si="47"/>
        <v>44</v>
      </c>
    </row>
    <row r="215" spans="1:58">
      <c r="A215" s="54" t="s">
        <v>78</v>
      </c>
      <c r="B215" s="54" t="s">
        <v>14</v>
      </c>
      <c r="C215" s="19"/>
      <c r="D215" s="57"/>
      <c r="E215" s="105"/>
      <c r="F215" s="105">
        <v>7.45</v>
      </c>
      <c r="G215" s="105">
        <v>7.93</v>
      </c>
      <c r="H215" s="105">
        <v>7.76</v>
      </c>
      <c r="I215" s="105">
        <v>8.1</v>
      </c>
      <c r="J215" s="105">
        <v>8.2100000000000009</v>
      </c>
      <c r="K215" s="105"/>
      <c r="L215" s="105">
        <v>8.18</v>
      </c>
      <c r="M215" s="105"/>
      <c r="N215" s="69">
        <v>8.85</v>
      </c>
      <c r="O215" s="69">
        <v>8.99</v>
      </c>
      <c r="P215" s="69">
        <v>9.1999999999999993</v>
      </c>
      <c r="Q215" s="69">
        <v>9.06</v>
      </c>
      <c r="R215" s="69">
        <v>8.4600000000000009</v>
      </c>
      <c r="S215" s="69">
        <v>8.16</v>
      </c>
      <c r="T215" s="69">
        <v>7.7</v>
      </c>
      <c r="U215" s="69">
        <v>8.4</v>
      </c>
      <c r="V215" s="69">
        <v>5.48</v>
      </c>
      <c r="W215" s="69">
        <v>5.39</v>
      </c>
      <c r="X215" s="69">
        <v>5.69</v>
      </c>
      <c r="Y215" s="69">
        <v>5.33</v>
      </c>
      <c r="Z215" s="69">
        <v>5.73</v>
      </c>
      <c r="AA215" s="69">
        <v>6.32</v>
      </c>
      <c r="AB215" s="69">
        <v>6.46</v>
      </c>
      <c r="AC215" s="69">
        <v>6.7</v>
      </c>
      <c r="AD215" s="69">
        <v>7.54</v>
      </c>
      <c r="AE215" s="69">
        <v>7.78</v>
      </c>
      <c r="AF215" s="69">
        <v>7.9</v>
      </c>
      <c r="AG215" s="69">
        <v>8.1199999999999992</v>
      </c>
      <c r="AH215" s="69">
        <v>8.61</v>
      </c>
      <c r="AI215" s="69">
        <v>8.89</v>
      </c>
      <c r="AJ215" s="69">
        <v>9.36</v>
      </c>
      <c r="AK215" s="69">
        <v>9.9499999999999993</v>
      </c>
      <c r="AL215" s="92">
        <v>10.48</v>
      </c>
      <c r="AM215" s="69">
        <v>10.68</v>
      </c>
      <c r="AN215" s="69">
        <v>11.14</v>
      </c>
      <c r="AO215" s="69">
        <v>11.39</v>
      </c>
      <c r="AP215" s="69">
        <v>12.09</v>
      </c>
      <c r="AQ215" s="69">
        <v>10.69</v>
      </c>
      <c r="AR215" s="69">
        <v>10.76</v>
      </c>
      <c r="AS215" s="69">
        <v>11.16</v>
      </c>
      <c r="AT215" s="69">
        <v>10.85</v>
      </c>
      <c r="AU215" s="69">
        <v>10.71</v>
      </c>
      <c r="AV215" s="69">
        <v>10.16</v>
      </c>
      <c r="AW215" s="69">
        <v>10.8</v>
      </c>
      <c r="AX215" s="69">
        <v>10.08</v>
      </c>
      <c r="AY215" s="92">
        <v>10.01</v>
      </c>
      <c r="AZ215" s="69">
        <v>9.3699999999999992</v>
      </c>
      <c r="BA215" s="69">
        <v>10.01</v>
      </c>
      <c r="BB215" s="69">
        <v>9.77</v>
      </c>
      <c r="BC215" s="69">
        <v>10.130000000000001</v>
      </c>
      <c r="BD215" s="69"/>
      <c r="BE215" s="57"/>
      <c r="BF215" s="8">
        <f t="shared" si="47"/>
        <v>48</v>
      </c>
    </row>
    <row r="216" spans="1:58">
      <c r="A216" s="38" t="s">
        <v>79</v>
      </c>
      <c r="B216" s="83" t="s">
        <v>60</v>
      </c>
      <c r="C216" s="84"/>
      <c r="D216" s="40"/>
      <c r="E216" s="52"/>
      <c r="F216" s="52">
        <v>0</v>
      </c>
      <c r="G216" s="52">
        <v>0</v>
      </c>
      <c r="H216" s="52">
        <v>0</v>
      </c>
      <c r="I216" s="52">
        <v>0</v>
      </c>
      <c r="J216" s="52"/>
      <c r="K216" s="52"/>
      <c r="L216" s="52">
        <v>0</v>
      </c>
      <c r="M216" s="52"/>
      <c r="N216" s="52">
        <v>0</v>
      </c>
      <c r="O216" s="52">
        <v>0</v>
      </c>
      <c r="P216" s="52">
        <v>0</v>
      </c>
      <c r="Q216" s="52">
        <v>0</v>
      </c>
      <c r="R216" s="52">
        <v>0</v>
      </c>
      <c r="S216" s="52">
        <v>0</v>
      </c>
      <c r="T216" s="52"/>
      <c r="U216" s="52">
        <v>0</v>
      </c>
      <c r="V216" s="52">
        <v>0</v>
      </c>
      <c r="W216" s="52">
        <v>0</v>
      </c>
      <c r="X216" s="52">
        <v>0</v>
      </c>
      <c r="Y216" s="52">
        <v>0</v>
      </c>
      <c r="Z216" s="52">
        <v>0</v>
      </c>
      <c r="AA216" s="52">
        <v>0</v>
      </c>
      <c r="AB216" s="52">
        <v>0</v>
      </c>
      <c r="AC216" s="52">
        <v>0</v>
      </c>
      <c r="AD216" s="52">
        <v>0</v>
      </c>
      <c r="AE216" s="52">
        <v>0</v>
      </c>
      <c r="AF216" s="52">
        <v>0</v>
      </c>
      <c r="AG216" s="52">
        <v>0</v>
      </c>
      <c r="AH216" s="52">
        <v>0</v>
      </c>
      <c r="AI216" s="52">
        <v>0</v>
      </c>
      <c r="AJ216" s="52">
        <v>0</v>
      </c>
      <c r="AK216" s="52">
        <v>0</v>
      </c>
      <c r="AL216" s="41">
        <v>0</v>
      </c>
      <c r="AM216" s="52">
        <v>0</v>
      </c>
      <c r="AN216" s="52">
        <v>0</v>
      </c>
      <c r="AO216" s="52">
        <v>0</v>
      </c>
      <c r="AP216" s="52">
        <v>0</v>
      </c>
      <c r="AQ216" s="52">
        <v>0</v>
      </c>
      <c r="AR216" s="52">
        <v>0</v>
      </c>
      <c r="AS216" s="52">
        <v>0</v>
      </c>
      <c r="AT216" s="52">
        <v>0</v>
      </c>
      <c r="AU216" s="52">
        <v>0</v>
      </c>
      <c r="AV216" s="52">
        <v>0</v>
      </c>
      <c r="AW216" s="52">
        <v>0</v>
      </c>
      <c r="AX216" s="52">
        <v>0</v>
      </c>
      <c r="AY216" s="41">
        <v>0</v>
      </c>
      <c r="AZ216" s="52">
        <v>0</v>
      </c>
      <c r="BA216" s="52">
        <v>0</v>
      </c>
      <c r="BB216" s="52">
        <v>0</v>
      </c>
      <c r="BC216" s="52">
        <v>0</v>
      </c>
      <c r="BD216" s="52"/>
      <c r="BE216" s="53"/>
      <c r="BF216" s="8">
        <f t="shared" si="47"/>
        <v>46</v>
      </c>
    </row>
    <row r="217" spans="1:58" ht="1" customHeight="1">
      <c r="A217" s="38"/>
      <c r="B217" s="83"/>
      <c r="C217" s="84"/>
      <c r="D217" s="40"/>
      <c r="E217" s="52"/>
      <c r="F217" s="52"/>
      <c r="G217" s="52"/>
      <c r="H217" s="52"/>
      <c r="I217" s="52"/>
      <c r="J217" s="52"/>
      <c r="K217" s="52"/>
      <c r="L217" s="52"/>
      <c r="M217" s="52"/>
      <c r="N217" s="52"/>
      <c r="O217" s="52"/>
      <c r="P217" s="52"/>
      <c r="Q217" s="52"/>
      <c r="R217" s="52"/>
      <c r="S217" s="52"/>
      <c r="T217" s="52"/>
      <c r="U217" s="52"/>
      <c r="V217" s="52"/>
      <c r="W217" s="52"/>
      <c r="X217" s="52"/>
      <c r="Y217" s="52"/>
      <c r="Z217" s="52"/>
      <c r="AA217" s="52">
        <v>0</v>
      </c>
      <c r="AB217" s="52"/>
      <c r="AC217" s="52"/>
      <c r="AD217" s="52"/>
      <c r="AE217" s="52"/>
      <c r="AF217" s="52"/>
      <c r="AG217" s="52"/>
      <c r="AH217" s="52"/>
      <c r="AI217" s="52"/>
      <c r="AJ217" s="52"/>
      <c r="AK217" s="52"/>
      <c r="AL217" s="41"/>
      <c r="AM217" s="52"/>
      <c r="AN217" s="52"/>
      <c r="AO217" s="52"/>
      <c r="AP217" s="52"/>
      <c r="AQ217" s="52"/>
      <c r="AR217" s="52"/>
      <c r="AS217" s="52"/>
      <c r="AT217" s="52"/>
      <c r="AU217" s="52"/>
      <c r="AV217" s="52"/>
      <c r="AW217" s="52"/>
      <c r="AX217" s="52"/>
      <c r="AY217" s="41"/>
      <c r="AZ217" s="52"/>
      <c r="BA217" s="52"/>
      <c r="BB217" s="52"/>
      <c r="BC217" s="52"/>
      <c r="BD217" s="52"/>
      <c r="BE217" s="53"/>
    </row>
    <row r="218" spans="1:58" ht="1" customHeight="1">
      <c r="A218" s="38"/>
      <c r="B218" s="83"/>
      <c r="C218" s="84"/>
      <c r="D218" s="40"/>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41"/>
      <c r="AM218" s="52"/>
      <c r="AN218" s="52"/>
      <c r="AO218" s="52"/>
      <c r="AP218" s="52"/>
      <c r="AQ218" s="52"/>
      <c r="AR218" s="52"/>
      <c r="AS218" s="52"/>
      <c r="AT218" s="52"/>
      <c r="AU218" s="52"/>
      <c r="AV218" s="52"/>
      <c r="AW218" s="52"/>
      <c r="AX218" s="52"/>
      <c r="AY218" s="41"/>
      <c r="AZ218" s="52"/>
      <c r="BA218" s="52"/>
      <c r="BB218" s="52"/>
      <c r="BC218" s="52"/>
      <c r="BD218" s="52"/>
      <c r="BE218" s="53"/>
    </row>
    <row r="219" spans="1:58" ht="1" customHeight="1">
      <c r="A219" s="38"/>
      <c r="B219" s="83"/>
      <c r="C219" s="84"/>
      <c r="D219" s="40"/>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41"/>
      <c r="AM219" s="52"/>
      <c r="AN219" s="52"/>
      <c r="AO219" s="52"/>
      <c r="AP219" s="52"/>
      <c r="AQ219" s="52"/>
      <c r="AR219" s="52"/>
      <c r="AS219" s="52"/>
      <c r="AT219" s="52"/>
      <c r="AU219" s="52"/>
      <c r="AV219" s="52"/>
      <c r="AW219" s="52"/>
      <c r="AX219" s="52"/>
      <c r="AY219" s="41"/>
      <c r="AZ219" s="52"/>
      <c r="BA219" s="52"/>
      <c r="BB219" s="52"/>
      <c r="BC219" s="52"/>
      <c r="BD219" s="52"/>
      <c r="BE219" s="53"/>
    </row>
    <row r="220" spans="1:58" ht="1" customHeight="1">
      <c r="A220" s="38"/>
      <c r="B220" s="83"/>
      <c r="C220" s="84"/>
      <c r="D220" s="40"/>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41"/>
      <c r="AM220" s="52"/>
      <c r="AN220" s="52"/>
      <c r="AO220" s="52"/>
      <c r="AP220" s="52"/>
      <c r="AQ220" s="52"/>
      <c r="AR220" s="52"/>
      <c r="AS220" s="52"/>
      <c r="AT220" s="52"/>
      <c r="AU220" s="52"/>
      <c r="AV220" s="52"/>
      <c r="AW220" s="52"/>
      <c r="AX220" s="52"/>
      <c r="AY220" s="41"/>
      <c r="AZ220" s="52"/>
      <c r="BA220" s="52"/>
      <c r="BB220" s="52"/>
      <c r="BC220" s="52"/>
      <c r="BD220" s="52"/>
      <c r="BE220" s="53"/>
    </row>
    <row r="221" spans="1:58" ht="1" customHeight="1">
      <c r="A221" s="38"/>
      <c r="B221" s="83"/>
      <c r="C221" s="84"/>
      <c r="D221" s="40"/>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41"/>
      <c r="AM221" s="52"/>
      <c r="AN221" s="52"/>
      <c r="AO221" s="52"/>
      <c r="AP221" s="52"/>
      <c r="AQ221" s="52"/>
      <c r="AR221" s="52"/>
      <c r="AS221" s="52"/>
      <c r="AT221" s="52"/>
      <c r="AU221" s="52"/>
      <c r="AV221" s="52"/>
      <c r="AW221" s="52"/>
      <c r="AX221" s="52"/>
      <c r="AY221" s="41"/>
      <c r="AZ221" s="52"/>
      <c r="BA221" s="52"/>
      <c r="BB221" s="52"/>
      <c r="BC221" s="52"/>
      <c r="BD221" s="52"/>
      <c r="BE221" s="53"/>
    </row>
    <row r="222" spans="1:58" ht="1" customHeight="1">
      <c r="A222" s="38"/>
      <c r="B222" s="83"/>
      <c r="C222" s="84"/>
      <c r="D222" s="40"/>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41"/>
      <c r="AM222" s="52"/>
      <c r="AN222" s="52"/>
      <c r="AO222" s="52"/>
      <c r="AP222" s="52"/>
      <c r="AQ222" s="52"/>
      <c r="AR222" s="52"/>
      <c r="AS222" s="52"/>
      <c r="AT222" s="52"/>
      <c r="AU222" s="52"/>
      <c r="AV222" s="52"/>
      <c r="AW222" s="52"/>
      <c r="AX222" s="52"/>
      <c r="AY222" s="41"/>
      <c r="AZ222" s="52"/>
      <c r="BA222" s="52"/>
      <c r="BB222" s="52"/>
      <c r="BC222" s="52"/>
      <c r="BD222" s="52"/>
      <c r="BE222" s="53"/>
    </row>
    <row r="223" spans="1:58" ht="1" customHeight="1">
      <c r="A223" s="38"/>
      <c r="B223" s="83"/>
      <c r="C223" s="84"/>
      <c r="D223" s="40"/>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41"/>
      <c r="AM223" s="52"/>
      <c r="AN223" s="52"/>
      <c r="AO223" s="52"/>
      <c r="AP223" s="52"/>
      <c r="AQ223" s="52"/>
      <c r="AR223" s="52"/>
      <c r="AS223" s="52"/>
      <c r="AT223" s="52"/>
      <c r="AU223" s="52"/>
      <c r="AV223" s="52"/>
      <c r="AW223" s="52"/>
      <c r="AX223" s="52"/>
      <c r="AY223" s="41"/>
      <c r="AZ223" s="52"/>
      <c r="BA223" s="52"/>
      <c r="BB223" s="52"/>
      <c r="BC223" s="52"/>
      <c r="BD223" s="52"/>
      <c r="BE223" s="53"/>
    </row>
    <row r="224" spans="1:58" ht="1" customHeight="1">
      <c r="A224" s="38"/>
      <c r="B224" s="83"/>
      <c r="C224" s="84"/>
      <c r="D224" s="40"/>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41"/>
      <c r="AM224" s="52"/>
      <c r="AN224" s="52"/>
      <c r="AO224" s="52"/>
      <c r="AP224" s="52"/>
      <c r="AQ224" s="52"/>
      <c r="AR224" s="52"/>
      <c r="AS224" s="52"/>
      <c r="AT224" s="52"/>
      <c r="AU224" s="52"/>
      <c r="AV224" s="52"/>
      <c r="AW224" s="52"/>
      <c r="AX224" s="52"/>
      <c r="AY224" s="41"/>
      <c r="AZ224" s="52"/>
      <c r="BA224" s="52"/>
      <c r="BB224" s="52"/>
      <c r="BC224" s="52"/>
      <c r="BD224" s="52"/>
      <c r="BE224" s="53"/>
    </row>
    <row r="225" spans="1:58" ht="1" customHeight="1">
      <c r="A225" s="38"/>
      <c r="B225" s="83"/>
      <c r="C225" s="84"/>
      <c r="D225" s="40"/>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41"/>
      <c r="AM225" s="52"/>
      <c r="AN225" s="52"/>
      <c r="AO225" s="52"/>
      <c r="AP225" s="52"/>
      <c r="AQ225" s="52"/>
      <c r="AR225" s="52"/>
      <c r="AS225" s="52"/>
      <c r="AT225" s="52"/>
      <c r="AU225" s="52"/>
      <c r="AV225" s="52"/>
      <c r="AW225" s="52"/>
      <c r="AX225" s="52"/>
      <c r="AY225" s="41"/>
      <c r="AZ225" s="52"/>
      <c r="BA225" s="52"/>
      <c r="BB225" s="52"/>
      <c r="BC225" s="52"/>
      <c r="BD225" s="52"/>
      <c r="BE225" s="53"/>
    </row>
    <row r="226" spans="1:58" ht="1" customHeight="1">
      <c r="A226" s="38"/>
      <c r="B226" s="83"/>
      <c r="C226" s="84"/>
      <c r="D226" s="40"/>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41"/>
      <c r="AM226" s="52"/>
      <c r="AN226" s="52"/>
      <c r="AO226" s="52"/>
      <c r="AP226" s="52"/>
      <c r="AQ226" s="52"/>
      <c r="AR226" s="52"/>
      <c r="AS226" s="52"/>
      <c r="AT226" s="52"/>
      <c r="AU226" s="52"/>
      <c r="AV226" s="52"/>
      <c r="AW226" s="52"/>
      <c r="AX226" s="52"/>
      <c r="AY226" s="41"/>
      <c r="AZ226" s="52"/>
      <c r="BA226" s="52"/>
      <c r="BB226" s="52"/>
      <c r="BC226" s="52"/>
      <c r="BD226" s="52"/>
      <c r="BE226" s="53"/>
    </row>
    <row r="227" spans="1:58" ht="1" customHeight="1">
      <c r="A227" s="38"/>
      <c r="B227" s="83"/>
      <c r="C227" s="84"/>
      <c r="D227" s="40"/>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41"/>
      <c r="AM227" s="52"/>
      <c r="AN227" s="52"/>
      <c r="AO227" s="52"/>
      <c r="AP227" s="52"/>
      <c r="AQ227" s="52"/>
      <c r="AR227" s="52"/>
      <c r="AS227" s="52"/>
      <c r="AT227" s="52"/>
      <c r="AU227" s="52"/>
      <c r="AV227" s="52"/>
      <c r="AW227" s="52"/>
      <c r="AX227" s="52"/>
      <c r="AY227" s="41"/>
      <c r="AZ227" s="52"/>
      <c r="BA227" s="52"/>
      <c r="BB227" s="52"/>
      <c r="BC227" s="52"/>
      <c r="BD227" s="52"/>
      <c r="BE227" s="53"/>
    </row>
    <row r="228" spans="1:58" ht="1" customHeight="1">
      <c r="A228" s="38"/>
      <c r="B228" s="83"/>
      <c r="C228" s="84"/>
      <c r="D228" s="40"/>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41"/>
      <c r="AM228" s="52"/>
      <c r="AN228" s="52"/>
      <c r="AO228" s="52"/>
      <c r="AP228" s="52"/>
      <c r="AQ228" s="52"/>
      <c r="AR228" s="52"/>
      <c r="AS228" s="52"/>
      <c r="AT228" s="52"/>
      <c r="AU228" s="52"/>
      <c r="AV228" s="52"/>
      <c r="AW228" s="52"/>
      <c r="AX228" s="52"/>
      <c r="AY228" s="41"/>
      <c r="AZ228" s="52"/>
      <c r="BA228" s="52"/>
      <c r="BB228" s="52"/>
      <c r="BC228" s="52"/>
      <c r="BD228" s="52"/>
      <c r="BE228" s="53"/>
    </row>
    <row r="229" spans="1:58">
      <c r="A229" s="38"/>
      <c r="B229" s="83"/>
      <c r="C229" s="84"/>
      <c r="D229" s="40"/>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41"/>
      <c r="AM229" s="52"/>
      <c r="AN229" s="52"/>
      <c r="AO229" s="52"/>
      <c r="AP229" s="52"/>
      <c r="AQ229" s="52"/>
      <c r="AR229" s="52"/>
      <c r="AS229" s="52"/>
      <c r="AT229" s="52"/>
      <c r="AU229" s="52"/>
      <c r="AV229" s="52"/>
      <c r="AW229" s="52"/>
      <c r="AX229" s="52"/>
      <c r="AY229" s="41"/>
      <c r="AZ229" s="52"/>
      <c r="BA229" s="52"/>
      <c r="BB229" s="52"/>
      <c r="BC229" s="52"/>
      <c r="BD229" s="52"/>
      <c r="BE229" s="53"/>
    </row>
    <row r="230" spans="1:58">
      <c r="A230" s="81" t="s">
        <v>141</v>
      </c>
      <c r="B230" s="83"/>
      <c r="C230" s="84"/>
      <c r="D230" s="40"/>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41"/>
      <c r="AM230" s="52"/>
      <c r="AN230" s="52"/>
      <c r="AO230" s="52"/>
      <c r="AP230" s="52"/>
      <c r="AQ230" s="52"/>
      <c r="AR230" s="52"/>
      <c r="AS230" s="52"/>
      <c r="AT230" s="52"/>
      <c r="AU230" s="52"/>
      <c r="AV230" s="52"/>
      <c r="AW230" s="52"/>
      <c r="AX230" s="52"/>
      <c r="AY230" s="41"/>
      <c r="AZ230" s="52"/>
      <c r="BA230" s="52"/>
      <c r="BB230" s="52"/>
      <c r="BC230" s="52"/>
      <c r="BD230" s="52"/>
      <c r="BE230" s="53"/>
    </row>
    <row r="231" spans="1:58">
      <c r="A231" s="106" t="s">
        <v>81</v>
      </c>
      <c r="B231" s="107" t="s">
        <v>82</v>
      </c>
      <c r="C231" s="108"/>
      <c r="D231" s="60"/>
      <c r="E231" s="75">
        <f t="shared" ref="E231:AC231" si="54">IF(SUM(E232:E235)&gt;0,SUM(E232:E235),"uncalcuable")</f>
        <v>30</v>
      </c>
      <c r="F231" s="75">
        <f t="shared" si="54"/>
        <v>36</v>
      </c>
      <c r="G231" s="75">
        <f t="shared" si="54"/>
        <v>35</v>
      </c>
      <c r="H231" s="75">
        <f t="shared" si="54"/>
        <v>36</v>
      </c>
      <c r="I231" s="75">
        <f t="shared" si="54"/>
        <v>30</v>
      </c>
      <c r="J231" s="75">
        <f t="shared" si="54"/>
        <v>29</v>
      </c>
      <c r="K231" s="75">
        <f t="shared" si="54"/>
        <v>33</v>
      </c>
      <c r="L231" s="75">
        <f t="shared" si="54"/>
        <v>31</v>
      </c>
      <c r="M231" s="75" t="str">
        <f t="shared" si="54"/>
        <v>uncalcuable</v>
      </c>
      <c r="N231" s="75">
        <f t="shared" si="54"/>
        <v>34</v>
      </c>
      <c r="O231" s="75">
        <f t="shared" si="54"/>
        <v>37</v>
      </c>
      <c r="P231" s="75">
        <f t="shared" si="54"/>
        <v>23</v>
      </c>
      <c r="Q231" s="75">
        <f t="shared" si="54"/>
        <v>26</v>
      </c>
      <c r="R231" s="75">
        <f t="shared" si="54"/>
        <v>38</v>
      </c>
      <c r="S231" s="75">
        <f t="shared" si="54"/>
        <v>26</v>
      </c>
      <c r="T231" s="75" t="str">
        <f t="shared" si="54"/>
        <v>uncalcuable</v>
      </c>
      <c r="U231" s="75">
        <f t="shared" si="54"/>
        <v>36</v>
      </c>
      <c r="V231" s="75">
        <f t="shared" si="54"/>
        <v>23</v>
      </c>
      <c r="W231" s="75">
        <f t="shared" si="54"/>
        <v>40</v>
      </c>
      <c r="X231" s="75">
        <f t="shared" si="54"/>
        <v>44</v>
      </c>
      <c r="Y231" s="75">
        <f t="shared" si="54"/>
        <v>39</v>
      </c>
      <c r="Z231" s="75">
        <f t="shared" si="54"/>
        <v>42</v>
      </c>
      <c r="AA231" s="75" t="str">
        <f t="shared" si="54"/>
        <v>uncalcuable</v>
      </c>
      <c r="AB231" s="75" t="str">
        <f t="shared" si="54"/>
        <v>uncalcuable</v>
      </c>
      <c r="AC231" s="75">
        <f t="shared" si="54"/>
        <v>1</v>
      </c>
      <c r="AD231" s="75">
        <v>1</v>
      </c>
      <c r="AE231" s="75">
        <f>IF(SUM(AE232:AE235)&gt;0,SUM(AE232:AE235),"uncalcuable")</f>
        <v>2</v>
      </c>
      <c r="AF231" s="75">
        <f>IF(SUM(AF232:AF235)&gt;0,SUM(AF232:AF235),"uncalcuable")</f>
        <v>5</v>
      </c>
      <c r="AG231" s="75">
        <f>IF(SUM(AG232:AG235)&gt;0,SUM(AG232:AG235),"uncalcuable")</f>
        <v>7</v>
      </c>
      <c r="AH231" s="75">
        <f>IF(SUM(AH232:AH235)&gt;0,SUM(AH232:AH235),"uncalcuable")</f>
        <v>14</v>
      </c>
      <c r="AI231" s="75">
        <f>IF(SUM(AI232:AI235)&gt;0,SUM(AI232:AI235),"uncalcuable")</f>
        <v>21</v>
      </c>
      <c r="AJ231" s="75">
        <v>38</v>
      </c>
      <c r="AK231" s="75">
        <f t="shared" ref="AK231:BD231" si="55">IF(SUM(AK232:AK235)&gt;0,SUM(AK232:AK235),"uncalcuable")</f>
        <v>44</v>
      </c>
      <c r="AL231" s="75">
        <f t="shared" si="55"/>
        <v>49</v>
      </c>
      <c r="AM231" s="75">
        <f t="shared" si="55"/>
        <v>52</v>
      </c>
      <c r="AN231" s="75">
        <f t="shared" si="55"/>
        <v>48</v>
      </c>
      <c r="AO231" s="75">
        <f t="shared" si="55"/>
        <v>46</v>
      </c>
      <c r="AP231" s="75">
        <f t="shared" si="55"/>
        <v>48</v>
      </c>
      <c r="AQ231" s="75">
        <f t="shared" si="55"/>
        <v>45</v>
      </c>
      <c r="AR231" s="75">
        <f t="shared" si="55"/>
        <v>47</v>
      </c>
      <c r="AS231" s="75">
        <f t="shared" si="55"/>
        <v>43</v>
      </c>
      <c r="AT231" s="75">
        <f t="shared" si="55"/>
        <v>39</v>
      </c>
      <c r="AU231" s="75">
        <f t="shared" si="55"/>
        <v>36</v>
      </c>
      <c r="AV231" s="75">
        <f t="shared" si="55"/>
        <v>35</v>
      </c>
      <c r="AW231" s="75">
        <f t="shared" si="55"/>
        <v>32</v>
      </c>
      <c r="AX231" s="75">
        <f t="shared" si="55"/>
        <v>31</v>
      </c>
      <c r="AY231" s="75">
        <f t="shared" si="55"/>
        <v>33</v>
      </c>
      <c r="AZ231" s="75">
        <f t="shared" si="55"/>
        <v>25</v>
      </c>
      <c r="BA231" s="75">
        <f t="shared" si="55"/>
        <v>27</v>
      </c>
      <c r="BB231" s="75">
        <f t="shared" si="55"/>
        <v>28</v>
      </c>
      <c r="BC231" s="75">
        <f t="shared" si="55"/>
        <v>30</v>
      </c>
      <c r="BD231" s="75">
        <f t="shared" si="55"/>
        <v>28</v>
      </c>
      <c r="BE231" s="53"/>
      <c r="BF231" s="8">
        <f>COUNT(E231:BD231)</f>
        <v>48</v>
      </c>
    </row>
    <row r="232" spans="1:58">
      <c r="A232" s="38" t="s">
        <v>83</v>
      </c>
      <c r="B232" s="83" t="s">
        <v>60</v>
      </c>
      <c r="C232" s="84"/>
      <c r="D232" s="40"/>
      <c r="E232" s="52">
        <v>19</v>
      </c>
      <c r="F232" s="52">
        <v>22</v>
      </c>
      <c r="G232" s="52">
        <v>22</v>
      </c>
      <c r="H232" s="52">
        <v>22</v>
      </c>
      <c r="I232" s="52">
        <v>19</v>
      </c>
      <c r="J232" s="52">
        <v>17</v>
      </c>
      <c r="K232" s="52">
        <v>20</v>
      </c>
      <c r="L232" s="52">
        <v>19</v>
      </c>
      <c r="M232" s="52"/>
      <c r="N232" s="52">
        <v>21</v>
      </c>
      <c r="O232" s="52">
        <v>22</v>
      </c>
      <c r="P232" s="52">
        <v>16</v>
      </c>
      <c r="Q232" s="52">
        <v>17</v>
      </c>
      <c r="R232" s="52">
        <v>25</v>
      </c>
      <c r="S232" s="52">
        <v>16</v>
      </c>
      <c r="T232" s="52"/>
      <c r="U232" s="52">
        <v>23</v>
      </c>
      <c r="V232" s="52">
        <v>16</v>
      </c>
      <c r="W232" s="52">
        <v>27</v>
      </c>
      <c r="X232" s="52">
        <v>28</v>
      </c>
      <c r="Y232" s="52">
        <v>25</v>
      </c>
      <c r="Z232" s="52">
        <v>27</v>
      </c>
      <c r="AA232" s="52">
        <v>0</v>
      </c>
      <c r="AB232" s="52">
        <v>0</v>
      </c>
      <c r="AC232" s="52">
        <v>1</v>
      </c>
      <c r="AD232" s="52">
        <v>1</v>
      </c>
      <c r="AE232" s="52">
        <v>2</v>
      </c>
      <c r="AF232" s="52">
        <v>5</v>
      </c>
      <c r="AG232" s="52">
        <v>7</v>
      </c>
      <c r="AH232" s="41">
        <v>13</v>
      </c>
      <c r="AI232" s="41">
        <v>19</v>
      </c>
      <c r="AJ232" s="41">
        <v>34</v>
      </c>
      <c r="AK232" s="41">
        <v>40</v>
      </c>
      <c r="AL232" s="41">
        <v>43</v>
      </c>
      <c r="AM232" s="41">
        <v>42</v>
      </c>
      <c r="AN232" s="41">
        <v>38</v>
      </c>
      <c r="AO232" s="41">
        <v>35</v>
      </c>
      <c r="AP232" s="41">
        <v>37</v>
      </c>
      <c r="AQ232" s="41">
        <v>34</v>
      </c>
      <c r="AR232" s="41">
        <v>33</v>
      </c>
      <c r="AS232" s="41">
        <v>32</v>
      </c>
      <c r="AT232" s="41">
        <v>29</v>
      </c>
      <c r="AU232" s="41">
        <v>26</v>
      </c>
      <c r="AV232" s="41">
        <v>25</v>
      </c>
      <c r="AW232" s="41">
        <v>23</v>
      </c>
      <c r="AX232" s="41">
        <v>22</v>
      </c>
      <c r="AY232" s="41">
        <v>24</v>
      </c>
      <c r="AZ232" s="41">
        <v>18</v>
      </c>
      <c r="BA232" s="41">
        <v>19</v>
      </c>
      <c r="BB232" s="41">
        <v>19</v>
      </c>
      <c r="BC232" s="41">
        <v>20</v>
      </c>
      <c r="BD232" s="41">
        <v>19</v>
      </c>
      <c r="BE232" s="53"/>
      <c r="BF232" s="8">
        <f>COUNT(E232:BD232)</f>
        <v>50</v>
      </c>
    </row>
    <row r="233" spans="1:58">
      <c r="A233" s="38" t="s">
        <v>84</v>
      </c>
      <c r="B233" s="83" t="s">
        <v>60</v>
      </c>
      <c r="C233" s="84"/>
      <c r="D233" s="40"/>
      <c r="E233" s="52">
        <v>9</v>
      </c>
      <c r="F233" s="52">
        <v>12</v>
      </c>
      <c r="G233" s="52">
        <v>11</v>
      </c>
      <c r="H233" s="52">
        <v>12</v>
      </c>
      <c r="I233" s="52">
        <v>9</v>
      </c>
      <c r="J233" s="52">
        <v>10</v>
      </c>
      <c r="K233" s="52">
        <v>11</v>
      </c>
      <c r="L233" s="52">
        <v>10</v>
      </c>
      <c r="M233" s="52"/>
      <c r="N233" s="52">
        <v>11</v>
      </c>
      <c r="O233" s="52">
        <v>12</v>
      </c>
      <c r="P233" s="52">
        <v>6</v>
      </c>
      <c r="Q233" s="52">
        <v>7</v>
      </c>
      <c r="R233" s="52">
        <v>11</v>
      </c>
      <c r="S233" s="52">
        <v>8</v>
      </c>
      <c r="T233" s="52"/>
      <c r="U233" s="52">
        <v>11</v>
      </c>
      <c r="V233" s="52">
        <v>6</v>
      </c>
      <c r="W233" s="52">
        <v>11</v>
      </c>
      <c r="X233" s="52">
        <v>13</v>
      </c>
      <c r="Y233" s="52">
        <v>12</v>
      </c>
      <c r="Z233" s="52">
        <v>13</v>
      </c>
      <c r="AA233" s="52">
        <v>0</v>
      </c>
      <c r="AB233" s="52">
        <v>0</v>
      </c>
      <c r="AC233" s="52">
        <v>0</v>
      </c>
      <c r="AD233" s="52">
        <v>0</v>
      </c>
      <c r="AE233" s="52">
        <v>0</v>
      </c>
      <c r="AF233" s="52">
        <v>0</v>
      </c>
      <c r="AG233" s="52">
        <v>0</v>
      </c>
      <c r="AH233" s="41">
        <v>1</v>
      </c>
      <c r="AI233" s="41">
        <v>1</v>
      </c>
      <c r="AJ233" s="41">
        <v>3</v>
      </c>
      <c r="AK233" s="41">
        <v>4</v>
      </c>
      <c r="AL233" s="41">
        <v>6</v>
      </c>
      <c r="AM233" s="41">
        <v>9</v>
      </c>
      <c r="AN233" s="41">
        <v>9</v>
      </c>
      <c r="AO233" s="41">
        <v>9</v>
      </c>
      <c r="AP233" s="41">
        <v>10</v>
      </c>
      <c r="AQ233" s="41">
        <v>10</v>
      </c>
      <c r="AR233" s="41">
        <v>11</v>
      </c>
      <c r="AS233" s="41">
        <v>10</v>
      </c>
      <c r="AT233" s="41">
        <v>9</v>
      </c>
      <c r="AU233" s="41">
        <v>9</v>
      </c>
      <c r="AV233" s="41">
        <v>9</v>
      </c>
      <c r="AW233" s="41">
        <v>8</v>
      </c>
      <c r="AX233" s="41">
        <v>8</v>
      </c>
      <c r="AY233" s="41">
        <v>8</v>
      </c>
      <c r="AZ233" s="41">
        <v>6</v>
      </c>
      <c r="BA233" s="41">
        <v>6</v>
      </c>
      <c r="BB233" s="41">
        <v>7</v>
      </c>
      <c r="BC233" s="41">
        <v>8</v>
      </c>
      <c r="BD233" s="41">
        <v>7</v>
      </c>
      <c r="BE233" s="53"/>
      <c r="BF233" s="8">
        <f>COUNT(E233:BD233)</f>
        <v>50</v>
      </c>
    </row>
    <row r="234" spans="1:58">
      <c r="A234" s="38" t="s">
        <v>85</v>
      </c>
      <c r="B234" s="83" t="s">
        <v>60</v>
      </c>
      <c r="C234" s="84"/>
      <c r="D234" s="40"/>
      <c r="E234" s="52">
        <v>2</v>
      </c>
      <c r="F234" s="52">
        <v>2</v>
      </c>
      <c r="G234" s="52">
        <v>2</v>
      </c>
      <c r="H234" s="52">
        <v>2</v>
      </c>
      <c r="I234" s="52">
        <v>2</v>
      </c>
      <c r="J234" s="52">
        <v>2</v>
      </c>
      <c r="K234" s="52">
        <v>2</v>
      </c>
      <c r="L234" s="52">
        <v>2</v>
      </c>
      <c r="M234" s="52"/>
      <c r="N234" s="52">
        <v>2</v>
      </c>
      <c r="O234" s="52">
        <v>3</v>
      </c>
      <c r="P234" s="52">
        <v>1</v>
      </c>
      <c r="Q234" s="52">
        <v>2</v>
      </c>
      <c r="R234" s="52">
        <v>2</v>
      </c>
      <c r="S234" s="52">
        <v>2</v>
      </c>
      <c r="T234" s="52"/>
      <c r="U234" s="52">
        <v>2</v>
      </c>
      <c r="V234" s="52">
        <v>1</v>
      </c>
      <c r="W234" s="52">
        <v>2</v>
      </c>
      <c r="X234" s="52">
        <v>3</v>
      </c>
      <c r="Y234" s="52">
        <v>2</v>
      </c>
      <c r="Z234" s="52">
        <v>2</v>
      </c>
      <c r="AA234" s="52">
        <v>0</v>
      </c>
      <c r="AB234" s="52">
        <v>0</v>
      </c>
      <c r="AC234" s="52">
        <v>0</v>
      </c>
      <c r="AD234" s="52">
        <v>0</v>
      </c>
      <c r="AE234" s="52">
        <v>0</v>
      </c>
      <c r="AF234" s="52">
        <v>0</v>
      </c>
      <c r="AG234" s="52">
        <v>0</v>
      </c>
      <c r="AH234" s="52">
        <v>0</v>
      </c>
      <c r="AI234" s="41">
        <v>1</v>
      </c>
      <c r="AJ234" s="41">
        <v>1</v>
      </c>
      <c r="AK234" s="41">
        <v>0</v>
      </c>
      <c r="AL234" s="41">
        <v>0</v>
      </c>
      <c r="AM234" s="41">
        <v>1</v>
      </c>
      <c r="AN234" s="41">
        <v>1</v>
      </c>
      <c r="AO234" s="41">
        <v>1</v>
      </c>
      <c r="AP234" s="41">
        <v>1</v>
      </c>
      <c r="AQ234" s="41">
        <v>1</v>
      </c>
      <c r="AR234" s="41">
        <v>2</v>
      </c>
      <c r="AS234" s="41">
        <v>1</v>
      </c>
      <c r="AT234" s="41">
        <v>1</v>
      </c>
      <c r="AU234" s="41">
        <v>1</v>
      </c>
      <c r="AV234" s="41">
        <v>1</v>
      </c>
      <c r="AW234" s="41">
        <v>1</v>
      </c>
      <c r="AX234" s="41">
        <v>1</v>
      </c>
      <c r="AY234" s="41">
        <v>1</v>
      </c>
      <c r="AZ234" s="41">
        <v>1</v>
      </c>
      <c r="BA234" s="41">
        <v>2</v>
      </c>
      <c r="BB234" s="41">
        <v>2</v>
      </c>
      <c r="BC234" s="41">
        <v>2</v>
      </c>
      <c r="BD234" s="41">
        <v>2</v>
      </c>
      <c r="BE234" s="53"/>
      <c r="BF234" s="8">
        <f>COUNT(E234:BD234)</f>
        <v>50</v>
      </c>
    </row>
    <row r="235" spans="1:58">
      <c r="A235" s="35" t="s">
        <v>86</v>
      </c>
      <c r="B235" s="83" t="s">
        <v>60</v>
      </c>
      <c r="C235" s="84"/>
      <c r="D235" s="40"/>
      <c r="E235" s="52">
        <v>0</v>
      </c>
      <c r="F235" s="52">
        <v>0</v>
      </c>
      <c r="G235" s="52">
        <v>0</v>
      </c>
      <c r="H235" s="52">
        <v>0</v>
      </c>
      <c r="I235" s="52">
        <v>0</v>
      </c>
      <c r="J235" s="52">
        <v>0</v>
      </c>
      <c r="K235" s="52">
        <v>0</v>
      </c>
      <c r="L235" s="52">
        <v>0</v>
      </c>
      <c r="M235" s="52"/>
      <c r="N235" s="52">
        <v>0</v>
      </c>
      <c r="O235" s="52">
        <v>0</v>
      </c>
      <c r="P235" s="52">
        <v>0</v>
      </c>
      <c r="Q235" s="52">
        <v>0</v>
      </c>
      <c r="R235" s="52">
        <v>0</v>
      </c>
      <c r="S235" s="52">
        <v>0</v>
      </c>
      <c r="T235" s="52"/>
      <c r="U235" s="52">
        <v>0</v>
      </c>
      <c r="V235" s="52">
        <v>0</v>
      </c>
      <c r="W235" s="52">
        <v>0</v>
      </c>
      <c r="X235" s="52">
        <v>0</v>
      </c>
      <c r="Y235" s="52">
        <v>0</v>
      </c>
      <c r="Z235" s="52">
        <v>0</v>
      </c>
      <c r="AA235" s="52">
        <v>0</v>
      </c>
      <c r="AB235" s="52">
        <v>0</v>
      </c>
      <c r="AC235" s="52">
        <v>0</v>
      </c>
      <c r="AD235" s="52">
        <v>0</v>
      </c>
      <c r="AE235" s="52">
        <v>0</v>
      </c>
      <c r="AF235" s="52">
        <v>0</v>
      </c>
      <c r="AG235" s="52">
        <v>0</v>
      </c>
      <c r="AH235" s="52">
        <v>0</v>
      </c>
      <c r="AI235" s="52">
        <v>0</v>
      </c>
      <c r="AJ235" s="52">
        <v>0</v>
      </c>
      <c r="AK235" s="52">
        <v>0</v>
      </c>
      <c r="AL235" s="52">
        <v>0</v>
      </c>
      <c r="AM235" s="52">
        <v>0</v>
      </c>
      <c r="AN235" s="52">
        <v>0</v>
      </c>
      <c r="AO235" s="52">
        <v>1</v>
      </c>
      <c r="AP235" s="52">
        <v>0</v>
      </c>
      <c r="AQ235" s="52">
        <v>0</v>
      </c>
      <c r="AR235" s="52">
        <v>1</v>
      </c>
      <c r="AS235" s="52">
        <v>0</v>
      </c>
      <c r="AT235" s="41">
        <v>0</v>
      </c>
      <c r="AU235" s="41">
        <v>0</v>
      </c>
      <c r="AV235" s="41">
        <v>0</v>
      </c>
      <c r="AW235" s="41">
        <v>0</v>
      </c>
      <c r="AX235" s="41">
        <v>0</v>
      </c>
      <c r="AY235" s="41">
        <v>0</v>
      </c>
      <c r="AZ235" s="41">
        <v>0</v>
      </c>
      <c r="BA235" s="41">
        <v>0</v>
      </c>
      <c r="BB235" s="41">
        <v>0</v>
      </c>
      <c r="BC235" s="41">
        <v>0</v>
      </c>
      <c r="BD235" s="41">
        <v>0</v>
      </c>
      <c r="BE235" s="53"/>
      <c r="BF235" s="8">
        <f>COUNT(E235:BD235)</f>
        <v>50</v>
      </c>
    </row>
    <row r="236" spans="1:58">
      <c r="A236" s="35"/>
      <c r="B236" s="36"/>
      <c r="C236" s="11"/>
      <c r="D236" s="40"/>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53"/>
    </row>
    <row r="237" spans="1:58">
      <c r="A237" s="45" t="s">
        <v>163</v>
      </c>
      <c r="B237" s="38"/>
      <c r="C237" s="18"/>
      <c r="D237" s="40"/>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53"/>
    </row>
    <row r="238" spans="1:58">
      <c r="A238" s="106" t="s">
        <v>81</v>
      </c>
      <c r="B238" s="107" t="s">
        <v>82</v>
      </c>
      <c r="C238" s="108"/>
      <c r="D238" s="60"/>
      <c r="E238" s="75">
        <f t="shared" ref="E238:AC238" si="56">IF(SUM(E239:E242)&gt;0,SUM(E239:E242),"uncalcuable")</f>
        <v>28</v>
      </c>
      <c r="F238" s="75">
        <f t="shared" si="56"/>
        <v>34</v>
      </c>
      <c r="G238" s="75">
        <f t="shared" si="56"/>
        <v>31</v>
      </c>
      <c r="H238" s="75">
        <f t="shared" si="56"/>
        <v>34</v>
      </c>
      <c r="I238" s="75">
        <f t="shared" si="56"/>
        <v>26</v>
      </c>
      <c r="J238" s="75">
        <f t="shared" si="56"/>
        <v>29</v>
      </c>
      <c r="K238" s="75">
        <f t="shared" si="56"/>
        <v>35</v>
      </c>
      <c r="L238" s="75">
        <f t="shared" si="56"/>
        <v>28</v>
      </c>
      <c r="M238" s="75" t="str">
        <f t="shared" si="56"/>
        <v>uncalcuable</v>
      </c>
      <c r="N238" s="75">
        <f t="shared" si="56"/>
        <v>30</v>
      </c>
      <c r="O238" s="75">
        <f t="shared" si="56"/>
        <v>31</v>
      </c>
      <c r="P238" s="75">
        <f t="shared" si="56"/>
        <v>29</v>
      </c>
      <c r="Q238" s="75">
        <f t="shared" si="56"/>
        <v>31</v>
      </c>
      <c r="R238" s="75">
        <f t="shared" si="56"/>
        <v>34</v>
      </c>
      <c r="S238" s="75">
        <f t="shared" si="56"/>
        <v>27</v>
      </c>
      <c r="T238" s="75" t="str">
        <f t="shared" si="56"/>
        <v>uncalcuable</v>
      </c>
      <c r="U238" s="75">
        <f t="shared" si="56"/>
        <v>35</v>
      </c>
      <c r="V238" s="75">
        <f t="shared" si="56"/>
        <v>21</v>
      </c>
      <c r="W238" s="75">
        <f t="shared" si="56"/>
        <v>38</v>
      </c>
      <c r="X238" s="75">
        <f t="shared" si="56"/>
        <v>40</v>
      </c>
      <c r="Y238" s="75">
        <f t="shared" si="56"/>
        <v>34</v>
      </c>
      <c r="Z238" s="75">
        <f t="shared" si="56"/>
        <v>38</v>
      </c>
      <c r="AA238" s="75">
        <f t="shared" si="56"/>
        <v>40</v>
      </c>
      <c r="AB238" s="75">
        <f t="shared" si="56"/>
        <v>38</v>
      </c>
      <c r="AC238" s="75">
        <f t="shared" si="56"/>
        <v>43</v>
      </c>
      <c r="AD238" s="75">
        <v>45</v>
      </c>
      <c r="AE238" s="75">
        <f t="shared" ref="AE238:BD238" si="57">IF(SUM(AE239:AE242)&gt;0,SUM(AE239:AE242),"uncalcuable")</f>
        <v>56</v>
      </c>
      <c r="AF238" s="75">
        <f t="shared" si="57"/>
        <v>45</v>
      </c>
      <c r="AG238" s="75">
        <f t="shared" si="57"/>
        <v>51</v>
      </c>
      <c r="AH238" s="75">
        <f t="shared" si="57"/>
        <v>58</v>
      </c>
      <c r="AI238" s="75">
        <f t="shared" si="57"/>
        <v>55</v>
      </c>
      <c r="AJ238" s="75">
        <f t="shared" si="57"/>
        <v>54</v>
      </c>
      <c r="AK238" s="75">
        <f t="shared" si="57"/>
        <v>50</v>
      </c>
      <c r="AL238" s="75">
        <f t="shared" si="57"/>
        <v>51</v>
      </c>
      <c r="AM238" s="75">
        <f t="shared" si="57"/>
        <v>51</v>
      </c>
      <c r="AN238" s="75">
        <f t="shared" si="57"/>
        <v>48</v>
      </c>
      <c r="AO238" s="75">
        <f t="shared" si="57"/>
        <v>40</v>
      </c>
      <c r="AP238" s="75">
        <f t="shared" si="57"/>
        <v>44</v>
      </c>
      <c r="AQ238" s="75">
        <f t="shared" si="57"/>
        <v>39</v>
      </c>
      <c r="AR238" s="75">
        <f t="shared" si="57"/>
        <v>38</v>
      </c>
      <c r="AS238" s="75">
        <f t="shared" si="57"/>
        <v>36</v>
      </c>
      <c r="AT238" s="75">
        <f t="shared" si="57"/>
        <v>35</v>
      </c>
      <c r="AU238" s="75">
        <f t="shared" si="57"/>
        <v>34</v>
      </c>
      <c r="AV238" s="75">
        <f t="shared" si="57"/>
        <v>24</v>
      </c>
      <c r="AW238" s="75">
        <f t="shared" si="57"/>
        <v>27</v>
      </c>
      <c r="AX238" s="75">
        <f t="shared" si="57"/>
        <v>20</v>
      </c>
      <c r="AY238" s="75">
        <f t="shared" si="57"/>
        <v>23</v>
      </c>
      <c r="AZ238" s="75">
        <f t="shared" si="57"/>
        <v>26</v>
      </c>
      <c r="BA238" s="75">
        <f t="shared" si="57"/>
        <v>24</v>
      </c>
      <c r="BB238" s="75">
        <f t="shared" si="57"/>
        <v>25</v>
      </c>
      <c r="BC238" s="75">
        <f t="shared" si="57"/>
        <v>26</v>
      </c>
      <c r="BD238" s="75">
        <f t="shared" si="57"/>
        <v>27</v>
      </c>
      <c r="BE238" s="53"/>
      <c r="BF238" s="8">
        <f>COUNT(E238:BD238)</f>
        <v>50</v>
      </c>
    </row>
    <row r="239" spans="1:58">
      <c r="A239" s="38" t="s">
        <v>83</v>
      </c>
      <c r="B239" s="83" t="s">
        <v>60</v>
      </c>
      <c r="C239" s="84"/>
      <c r="D239" s="40"/>
      <c r="E239" s="52">
        <v>17</v>
      </c>
      <c r="F239" s="52">
        <v>21</v>
      </c>
      <c r="G239" s="52">
        <v>19</v>
      </c>
      <c r="H239" s="52">
        <v>21</v>
      </c>
      <c r="I239" s="52">
        <v>16</v>
      </c>
      <c r="J239" s="52">
        <v>16</v>
      </c>
      <c r="K239" s="52">
        <v>20</v>
      </c>
      <c r="L239" s="52">
        <v>18</v>
      </c>
      <c r="M239" s="52"/>
      <c r="N239" s="52">
        <v>18</v>
      </c>
      <c r="O239" s="52">
        <v>19</v>
      </c>
      <c r="P239" s="52">
        <v>18</v>
      </c>
      <c r="Q239" s="52">
        <v>20</v>
      </c>
      <c r="R239" s="52">
        <v>23</v>
      </c>
      <c r="S239" s="52">
        <v>18</v>
      </c>
      <c r="T239" s="52"/>
      <c r="U239" s="52">
        <v>19</v>
      </c>
      <c r="V239" s="52">
        <v>15</v>
      </c>
      <c r="W239" s="52">
        <v>26</v>
      </c>
      <c r="X239" s="52">
        <v>25</v>
      </c>
      <c r="Y239" s="52">
        <v>22</v>
      </c>
      <c r="Z239" s="52">
        <v>24</v>
      </c>
      <c r="AA239" s="52">
        <v>26</v>
      </c>
      <c r="AB239" s="52">
        <v>23</v>
      </c>
      <c r="AC239" s="52">
        <v>27</v>
      </c>
      <c r="AD239" s="52">
        <v>29</v>
      </c>
      <c r="AE239" s="52">
        <v>36</v>
      </c>
      <c r="AF239" s="52">
        <v>29</v>
      </c>
      <c r="AG239" s="52">
        <v>34</v>
      </c>
      <c r="AH239" s="52">
        <v>40</v>
      </c>
      <c r="AI239" s="52">
        <v>38</v>
      </c>
      <c r="AJ239" s="52">
        <v>38</v>
      </c>
      <c r="AK239" s="52">
        <v>35</v>
      </c>
      <c r="AL239" s="41">
        <v>37</v>
      </c>
      <c r="AM239" s="52">
        <v>36</v>
      </c>
      <c r="AN239" s="52">
        <v>34</v>
      </c>
      <c r="AO239" s="52">
        <v>29</v>
      </c>
      <c r="AP239" s="52">
        <v>32</v>
      </c>
      <c r="AQ239" s="52">
        <v>29</v>
      </c>
      <c r="AR239" s="52">
        <v>28</v>
      </c>
      <c r="AS239" s="52">
        <v>25</v>
      </c>
      <c r="AT239" s="52">
        <v>24</v>
      </c>
      <c r="AU239" s="52">
        <v>24</v>
      </c>
      <c r="AV239" s="52">
        <v>17</v>
      </c>
      <c r="AW239" s="52">
        <v>18</v>
      </c>
      <c r="AX239" s="52">
        <v>14</v>
      </c>
      <c r="AY239" s="41">
        <v>15</v>
      </c>
      <c r="AZ239" s="52">
        <v>19</v>
      </c>
      <c r="BA239" s="52">
        <v>16</v>
      </c>
      <c r="BB239" s="52">
        <v>16</v>
      </c>
      <c r="BC239" s="52">
        <v>18</v>
      </c>
      <c r="BD239" s="52">
        <v>18</v>
      </c>
      <c r="BE239" s="53"/>
      <c r="BF239" s="8">
        <f>COUNT(E239:BD239)</f>
        <v>50</v>
      </c>
    </row>
    <row r="240" spans="1:58">
      <c r="A240" s="38" t="s">
        <v>84</v>
      </c>
      <c r="B240" s="83" t="s">
        <v>60</v>
      </c>
      <c r="C240" s="84"/>
      <c r="D240" s="40"/>
      <c r="E240" s="52">
        <v>9</v>
      </c>
      <c r="F240" s="52">
        <v>11</v>
      </c>
      <c r="G240" s="52">
        <v>10</v>
      </c>
      <c r="H240" s="52">
        <v>11</v>
      </c>
      <c r="I240" s="52">
        <v>8</v>
      </c>
      <c r="J240" s="52">
        <v>11</v>
      </c>
      <c r="K240" s="52">
        <v>13</v>
      </c>
      <c r="L240" s="52">
        <v>8</v>
      </c>
      <c r="M240" s="52"/>
      <c r="N240" s="52">
        <v>10</v>
      </c>
      <c r="O240" s="52">
        <v>10</v>
      </c>
      <c r="P240" s="52">
        <v>9</v>
      </c>
      <c r="Q240" s="52">
        <v>9</v>
      </c>
      <c r="R240" s="52">
        <v>9</v>
      </c>
      <c r="S240" s="52">
        <v>8</v>
      </c>
      <c r="T240" s="52"/>
      <c r="U240" s="52">
        <v>13</v>
      </c>
      <c r="V240" s="52">
        <v>5</v>
      </c>
      <c r="W240" s="52">
        <v>10</v>
      </c>
      <c r="X240" s="52">
        <v>12</v>
      </c>
      <c r="Y240" s="52">
        <v>10</v>
      </c>
      <c r="Z240" s="52">
        <v>12</v>
      </c>
      <c r="AA240" s="52">
        <v>12</v>
      </c>
      <c r="AB240" s="52">
        <v>12</v>
      </c>
      <c r="AC240" s="52">
        <v>13</v>
      </c>
      <c r="AD240" s="52">
        <v>13</v>
      </c>
      <c r="AE240" s="52">
        <v>16</v>
      </c>
      <c r="AF240" s="52">
        <v>13</v>
      </c>
      <c r="AG240" s="52">
        <v>14</v>
      </c>
      <c r="AH240" s="52">
        <v>15</v>
      </c>
      <c r="AI240" s="52">
        <v>14</v>
      </c>
      <c r="AJ240" s="52">
        <v>14</v>
      </c>
      <c r="AK240" s="52">
        <v>13</v>
      </c>
      <c r="AL240" s="41">
        <v>12</v>
      </c>
      <c r="AM240" s="52">
        <v>13</v>
      </c>
      <c r="AN240" s="52">
        <v>12</v>
      </c>
      <c r="AO240" s="52">
        <v>9</v>
      </c>
      <c r="AP240" s="52">
        <v>10</v>
      </c>
      <c r="AQ240" s="52">
        <v>9</v>
      </c>
      <c r="AR240" s="52">
        <v>9</v>
      </c>
      <c r="AS240" s="52">
        <v>9</v>
      </c>
      <c r="AT240" s="52">
        <v>9</v>
      </c>
      <c r="AU240" s="52">
        <v>8</v>
      </c>
      <c r="AV240" s="52">
        <v>6</v>
      </c>
      <c r="AW240" s="52">
        <v>7</v>
      </c>
      <c r="AX240" s="52">
        <v>5</v>
      </c>
      <c r="AY240" s="41">
        <v>6</v>
      </c>
      <c r="AZ240" s="52">
        <v>6</v>
      </c>
      <c r="BA240" s="52">
        <v>6</v>
      </c>
      <c r="BB240" s="52">
        <v>7</v>
      </c>
      <c r="BC240" s="52">
        <v>6</v>
      </c>
      <c r="BD240" s="52">
        <v>7</v>
      </c>
      <c r="BE240" s="53"/>
      <c r="BF240" s="8">
        <f>COUNT(E240:BD240)</f>
        <v>50</v>
      </c>
    </row>
    <row r="241" spans="1:58">
      <c r="A241" s="38" t="s">
        <v>85</v>
      </c>
      <c r="B241" s="83" t="s">
        <v>60</v>
      </c>
      <c r="C241" s="84"/>
      <c r="D241" s="40"/>
      <c r="E241" s="52">
        <v>2</v>
      </c>
      <c r="F241" s="52">
        <v>2</v>
      </c>
      <c r="G241" s="52">
        <v>2</v>
      </c>
      <c r="H241" s="52">
        <v>2</v>
      </c>
      <c r="I241" s="52">
        <v>2</v>
      </c>
      <c r="J241" s="52">
        <v>2</v>
      </c>
      <c r="K241" s="52">
        <v>2</v>
      </c>
      <c r="L241" s="52">
        <v>2</v>
      </c>
      <c r="M241" s="52"/>
      <c r="N241" s="52">
        <v>2</v>
      </c>
      <c r="O241" s="52">
        <v>2</v>
      </c>
      <c r="P241" s="52">
        <v>2</v>
      </c>
      <c r="Q241" s="52">
        <v>2</v>
      </c>
      <c r="R241" s="52">
        <v>2</v>
      </c>
      <c r="S241" s="52">
        <v>1</v>
      </c>
      <c r="T241" s="52"/>
      <c r="U241" s="52">
        <v>3</v>
      </c>
      <c r="V241" s="52">
        <v>1</v>
      </c>
      <c r="W241" s="52">
        <v>2</v>
      </c>
      <c r="X241" s="52">
        <v>3</v>
      </c>
      <c r="Y241" s="52">
        <v>2</v>
      </c>
      <c r="Z241" s="52">
        <v>2</v>
      </c>
      <c r="AA241" s="52">
        <v>2</v>
      </c>
      <c r="AB241" s="52">
        <v>3</v>
      </c>
      <c r="AC241" s="52">
        <v>3</v>
      </c>
      <c r="AD241" s="52">
        <v>3</v>
      </c>
      <c r="AE241" s="52">
        <v>4</v>
      </c>
      <c r="AF241" s="52">
        <v>3</v>
      </c>
      <c r="AG241" s="52">
        <v>3</v>
      </c>
      <c r="AH241" s="52">
        <v>3</v>
      </c>
      <c r="AI241" s="52">
        <v>3</v>
      </c>
      <c r="AJ241" s="52">
        <v>2</v>
      </c>
      <c r="AK241" s="52">
        <v>2</v>
      </c>
      <c r="AL241" s="41">
        <v>2</v>
      </c>
      <c r="AM241" s="52">
        <v>2</v>
      </c>
      <c r="AN241" s="52">
        <v>2</v>
      </c>
      <c r="AO241" s="52">
        <v>2</v>
      </c>
      <c r="AP241" s="52">
        <v>2</v>
      </c>
      <c r="AQ241" s="52">
        <v>1</v>
      </c>
      <c r="AR241" s="52">
        <v>1</v>
      </c>
      <c r="AS241" s="52">
        <v>2</v>
      </c>
      <c r="AT241" s="52">
        <v>2</v>
      </c>
      <c r="AU241" s="52">
        <v>2</v>
      </c>
      <c r="AV241" s="52">
        <v>1</v>
      </c>
      <c r="AW241" s="52">
        <v>2</v>
      </c>
      <c r="AX241" s="52">
        <v>1</v>
      </c>
      <c r="AY241" s="41">
        <v>2</v>
      </c>
      <c r="AZ241" s="52">
        <v>1</v>
      </c>
      <c r="BA241" s="52">
        <v>2</v>
      </c>
      <c r="BB241" s="52">
        <v>2</v>
      </c>
      <c r="BC241" s="52">
        <v>2</v>
      </c>
      <c r="BD241" s="52">
        <v>2</v>
      </c>
      <c r="BE241" s="53"/>
      <c r="BF241" s="8">
        <f>COUNT(E241:BD241)</f>
        <v>50</v>
      </c>
    </row>
    <row r="242" spans="1:58">
      <c r="A242" s="35" t="s">
        <v>86</v>
      </c>
      <c r="B242" s="83" t="s">
        <v>60</v>
      </c>
      <c r="C242" s="84"/>
      <c r="D242" s="40"/>
      <c r="E242" s="41">
        <v>0</v>
      </c>
      <c r="F242" s="41">
        <v>0</v>
      </c>
      <c r="G242" s="41">
        <v>0</v>
      </c>
      <c r="H242" s="41">
        <v>0</v>
      </c>
      <c r="I242" s="41">
        <v>0</v>
      </c>
      <c r="J242" s="41">
        <v>0</v>
      </c>
      <c r="K242" s="41">
        <v>0</v>
      </c>
      <c r="L242" s="41">
        <v>0</v>
      </c>
      <c r="M242" s="41"/>
      <c r="N242" s="41">
        <v>0</v>
      </c>
      <c r="O242" s="41">
        <v>0</v>
      </c>
      <c r="P242" s="41">
        <v>0</v>
      </c>
      <c r="Q242" s="41">
        <v>0</v>
      </c>
      <c r="R242" s="41">
        <v>0</v>
      </c>
      <c r="S242" s="41">
        <v>0</v>
      </c>
      <c r="T242" s="41"/>
      <c r="U242" s="41">
        <v>0</v>
      </c>
      <c r="V242" s="41">
        <v>0</v>
      </c>
      <c r="W242" s="41">
        <v>0</v>
      </c>
      <c r="X242" s="41">
        <v>0</v>
      </c>
      <c r="Y242" s="41">
        <v>0</v>
      </c>
      <c r="Z242" s="41">
        <v>0</v>
      </c>
      <c r="AA242" s="52">
        <v>0</v>
      </c>
      <c r="AB242" s="41">
        <v>0</v>
      </c>
      <c r="AC242" s="41">
        <v>0</v>
      </c>
      <c r="AD242" s="41">
        <v>0</v>
      </c>
      <c r="AE242" s="41">
        <v>0</v>
      </c>
      <c r="AF242" s="41">
        <v>0</v>
      </c>
      <c r="AG242" s="41">
        <v>0</v>
      </c>
      <c r="AH242" s="41">
        <v>0</v>
      </c>
      <c r="AI242" s="41">
        <v>0</v>
      </c>
      <c r="AJ242" s="41">
        <v>0</v>
      </c>
      <c r="AK242" s="41">
        <v>0</v>
      </c>
      <c r="AL242" s="41">
        <v>0</v>
      </c>
      <c r="AM242" s="41">
        <v>0</v>
      </c>
      <c r="AN242" s="41">
        <v>0</v>
      </c>
      <c r="AO242" s="41">
        <v>0</v>
      </c>
      <c r="AP242" s="41">
        <v>0</v>
      </c>
      <c r="AQ242" s="41">
        <v>0</v>
      </c>
      <c r="AR242" s="41">
        <v>0</v>
      </c>
      <c r="AS242" s="41">
        <v>0</v>
      </c>
      <c r="AT242" s="41">
        <v>0</v>
      </c>
      <c r="AU242" s="41">
        <v>0</v>
      </c>
      <c r="AV242" s="41">
        <v>0</v>
      </c>
      <c r="AW242" s="41">
        <v>0</v>
      </c>
      <c r="AX242" s="41">
        <v>0</v>
      </c>
      <c r="AY242" s="41">
        <v>0</v>
      </c>
      <c r="AZ242" s="41">
        <v>0</v>
      </c>
      <c r="BA242" s="41">
        <v>0</v>
      </c>
      <c r="BB242" s="41">
        <v>0</v>
      </c>
      <c r="BC242" s="41">
        <v>0</v>
      </c>
      <c r="BD242" s="41">
        <v>0</v>
      </c>
      <c r="BE242" s="40"/>
      <c r="BF242" s="8">
        <f>COUNT(E242:BD242)</f>
        <v>50</v>
      </c>
    </row>
    <row r="243" spans="1:58">
      <c r="A243" s="35"/>
      <c r="B243" s="83"/>
      <c r="C243" s="84"/>
      <c r="D243" s="40"/>
      <c r="E243" s="41"/>
      <c r="F243" s="41"/>
      <c r="G243" s="41"/>
      <c r="H243" s="41"/>
      <c r="I243" s="41"/>
      <c r="J243" s="41"/>
      <c r="K243" s="41"/>
      <c r="L243" s="41"/>
      <c r="M243" s="41"/>
      <c r="N243" s="41"/>
      <c r="O243" s="41"/>
      <c r="P243" s="41"/>
      <c r="Q243" s="41"/>
      <c r="R243" s="41"/>
      <c r="S243" s="41"/>
      <c r="T243" s="41"/>
      <c r="U243" s="41"/>
      <c r="V243" s="41"/>
      <c r="W243" s="41"/>
      <c r="X243" s="41"/>
      <c r="Y243" s="41"/>
      <c r="Z243" s="41"/>
      <c r="AA243" s="52"/>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0"/>
    </row>
    <row r="244" spans="1:58">
      <c r="A244" s="45" t="s">
        <v>146</v>
      </c>
      <c r="B244" s="38"/>
      <c r="C244" s="18"/>
      <c r="D244" s="40"/>
      <c r="E244" s="41"/>
      <c r="F244" s="41"/>
      <c r="G244" s="41"/>
      <c r="H244" s="41"/>
      <c r="I244" s="41"/>
      <c r="J244" s="41"/>
      <c r="K244" s="41"/>
      <c r="L244" s="41"/>
      <c r="M244" s="41"/>
      <c r="N244" s="41"/>
      <c r="O244" s="41"/>
      <c r="P244" s="41"/>
      <c r="Q244" s="41"/>
      <c r="R244" s="41"/>
      <c r="S244" s="41"/>
      <c r="T244" s="41"/>
      <c r="U244" s="41"/>
      <c r="V244" s="41"/>
      <c r="W244" s="41"/>
      <c r="X244" s="41"/>
      <c r="Y244" s="41"/>
      <c r="Z244" s="41"/>
      <c r="AA244" s="52"/>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0"/>
    </row>
    <row r="245" spans="1:58">
      <c r="A245" s="106" t="s">
        <v>81</v>
      </c>
      <c r="B245" s="107" t="s">
        <v>82</v>
      </c>
      <c r="C245" s="108"/>
      <c r="D245" s="60"/>
      <c r="E245" s="75" t="str">
        <f t="shared" ref="E245:AC245" si="58">IF(SUM(E246:E249)&gt;0,SUM(E246:E249),"uncalcuable")</f>
        <v>uncalcuable</v>
      </c>
      <c r="F245" s="75" t="str">
        <f t="shared" si="58"/>
        <v>uncalcuable</v>
      </c>
      <c r="G245" s="75" t="str">
        <f t="shared" si="58"/>
        <v>uncalcuable</v>
      </c>
      <c r="H245" s="75" t="str">
        <f t="shared" si="58"/>
        <v>uncalcuable</v>
      </c>
      <c r="I245" s="75" t="str">
        <f t="shared" si="58"/>
        <v>uncalcuable</v>
      </c>
      <c r="J245" s="75" t="str">
        <f t="shared" si="58"/>
        <v>uncalcuable</v>
      </c>
      <c r="K245" s="75" t="str">
        <f t="shared" si="58"/>
        <v>uncalcuable</v>
      </c>
      <c r="L245" s="75" t="str">
        <f t="shared" si="58"/>
        <v>uncalcuable</v>
      </c>
      <c r="M245" s="75" t="str">
        <f t="shared" si="58"/>
        <v>uncalcuable</v>
      </c>
      <c r="N245" s="75" t="str">
        <f t="shared" si="58"/>
        <v>uncalcuable</v>
      </c>
      <c r="O245" s="75" t="str">
        <f t="shared" si="58"/>
        <v>uncalcuable</v>
      </c>
      <c r="P245" s="75" t="str">
        <f t="shared" si="58"/>
        <v>uncalcuable</v>
      </c>
      <c r="Q245" s="75" t="str">
        <f t="shared" si="58"/>
        <v>uncalcuable</v>
      </c>
      <c r="R245" s="75" t="str">
        <f t="shared" si="58"/>
        <v>uncalcuable</v>
      </c>
      <c r="S245" s="75" t="str">
        <f t="shared" si="58"/>
        <v>uncalcuable</v>
      </c>
      <c r="T245" s="75" t="str">
        <f t="shared" si="58"/>
        <v>uncalcuable</v>
      </c>
      <c r="U245" s="75" t="str">
        <f t="shared" si="58"/>
        <v>uncalcuable</v>
      </c>
      <c r="V245" s="75" t="str">
        <f t="shared" si="58"/>
        <v>uncalcuable</v>
      </c>
      <c r="W245" s="75" t="str">
        <f t="shared" si="58"/>
        <v>uncalcuable</v>
      </c>
      <c r="X245" s="75" t="str">
        <f t="shared" si="58"/>
        <v>uncalcuable</v>
      </c>
      <c r="Y245" s="75" t="str">
        <f t="shared" si="58"/>
        <v>uncalcuable</v>
      </c>
      <c r="Z245" s="75" t="str">
        <f t="shared" si="58"/>
        <v>uncalcuable</v>
      </c>
      <c r="AA245" s="75">
        <f t="shared" si="58"/>
        <v>40</v>
      </c>
      <c r="AB245" s="75">
        <f t="shared" si="58"/>
        <v>32</v>
      </c>
      <c r="AC245" s="75">
        <f t="shared" si="58"/>
        <v>43</v>
      </c>
      <c r="AD245" s="75">
        <v>46</v>
      </c>
      <c r="AE245" s="75">
        <f t="shared" ref="AE245:BD245" si="59">IF(SUM(AE246:AE249)&gt;0,SUM(AE246:AE249),"uncalcuable")</f>
        <v>59</v>
      </c>
      <c r="AF245" s="75">
        <f t="shared" si="59"/>
        <v>45</v>
      </c>
      <c r="AG245" s="75">
        <f t="shared" si="59"/>
        <v>51</v>
      </c>
      <c r="AH245" s="75">
        <f t="shared" si="59"/>
        <v>58</v>
      </c>
      <c r="AI245" s="75">
        <f t="shared" si="59"/>
        <v>56</v>
      </c>
      <c r="AJ245" s="75">
        <f t="shared" si="59"/>
        <v>56</v>
      </c>
      <c r="AK245" s="75">
        <f t="shared" si="59"/>
        <v>54</v>
      </c>
      <c r="AL245" s="75">
        <f t="shared" si="59"/>
        <v>55</v>
      </c>
      <c r="AM245" s="75">
        <f t="shared" si="59"/>
        <v>52</v>
      </c>
      <c r="AN245" s="75">
        <f t="shared" si="59"/>
        <v>48</v>
      </c>
      <c r="AO245" s="75">
        <f t="shared" si="59"/>
        <v>40</v>
      </c>
      <c r="AP245" s="75">
        <f t="shared" si="59"/>
        <v>43</v>
      </c>
      <c r="AQ245" s="75">
        <f t="shared" si="59"/>
        <v>42</v>
      </c>
      <c r="AR245" s="75">
        <f t="shared" si="59"/>
        <v>39</v>
      </c>
      <c r="AS245" s="75">
        <f t="shared" si="59"/>
        <v>41</v>
      </c>
      <c r="AT245" s="75">
        <f t="shared" si="59"/>
        <v>37</v>
      </c>
      <c r="AU245" s="75">
        <f t="shared" si="59"/>
        <v>36</v>
      </c>
      <c r="AV245" s="75">
        <f t="shared" si="59"/>
        <v>23</v>
      </c>
      <c r="AW245" s="75">
        <f t="shared" si="59"/>
        <v>30</v>
      </c>
      <c r="AX245" s="75">
        <f t="shared" si="59"/>
        <v>20</v>
      </c>
      <c r="AY245" s="75">
        <f t="shared" si="59"/>
        <v>23</v>
      </c>
      <c r="AZ245" s="75" t="str">
        <f t="shared" si="59"/>
        <v>uncalcuable</v>
      </c>
      <c r="BA245" s="75" t="str">
        <f t="shared" si="59"/>
        <v>uncalcuable</v>
      </c>
      <c r="BB245" s="75" t="str">
        <f t="shared" si="59"/>
        <v>uncalcuable</v>
      </c>
      <c r="BC245" s="75" t="str">
        <f t="shared" si="59"/>
        <v>uncalcuable</v>
      </c>
      <c r="BD245" s="75" t="str">
        <f t="shared" si="59"/>
        <v>uncalcuable</v>
      </c>
      <c r="BE245" s="40"/>
      <c r="BF245" s="8">
        <f>COUNT(E245:BD245)</f>
        <v>25</v>
      </c>
    </row>
    <row r="246" spans="1:58">
      <c r="A246" s="38" t="s">
        <v>83</v>
      </c>
      <c r="B246" s="83" t="s">
        <v>60</v>
      </c>
      <c r="C246" s="84"/>
      <c r="D246" s="40"/>
      <c r="E246" s="41"/>
      <c r="F246" s="41"/>
      <c r="G246" s="41"/>
      <c r="H246" s="41"/>
      <c r="I246" s="41"/>
      <c r="J246" s="41"/>
      <c r="K246" s="41"/>
      <c r="L246" s="41"/>
      <c r="M246" s="41"/>
      <c r="N246" s="41"/>
      <c r="O246" s="41"/>
      <c r="P246" s="41"/>
      <c r="Q246" s="41"/>
      <c r="R246" s="41"/>
      <c r="S246" s="41"/>
      <c r="T246" s="41"/>
      <c r="U246" s="41"/>
      <c r="V246" s="41"/>
      <c r="W246" s="41"/>
      <c r="X246" s="41"/>
      <c r="Y246" s="41"/>
      <c r="Z246" s="41"/>
      <c r="AA246" s="52">
        <v>25</v>
      </c>
      <c r="AB246" s="41">
        <v>20</v>
      </c>
      <c r="AC246" s="41">
        <v>27</v>
      </c>
      <c r="AD246" s="41">
        <v>29</v>
      </c>
      <c r="AE246" s="41">
        <v>38</v>
      </c>
      <c r="AF246" s="41">
        <v>29</v>
      </c>
      <c r="AG246" s="41">
        <v>34</v>
      </c>
      <c r="AH246" s="41">
        <v>40</v>
      </c>
      <c r="AI246" s="41">
        <v>39</v>
      </c>
      <c r="AJ246" s="41">
        <v>40</v>
      </c>
      <c r="AK246" s="41">
        <v>40</v>
      </c>
      <c r="AL246" s="41">
        <v>40</v>
      </c>
      <c r="AM246" s="41">
        <v>37</v>
      </c>
      <c r="AN246" s="41">
        <v>35</v>
      </c>
      <c r="AO246" s="41">
        <v>29</v>
      </c>
      <c r="AP246" s="41">
        <v>31</v>
      </c>
      <c r="AQ246" s="41">
        <v>30</v>
      </c>
      <c r="AR246" s="41">
        <v>29</v>
      </c>
      <c r="AS246" s="41">
        <v>29</v>
      </c>
      <c r="AT246" s="41">
        <v>26</v>
      </c>
      <c r="AU246" s="41">
        <v>25</v>
      </c>
      <c r="AV246" s="41">
        <v>16</v>
      </c>
      <c r="AW246" s="41">
        <v>20</v>
      </c>
      <c r="AX246" s="41">
        <v>14</v>
      </c>
      <c r="AY246" s="41">
        <v>16</v>
      </c>
      <c r="AZ246" s="41"/>
      <c r="BA246" s="41"/>
      <c r="BB246" s="41"/>
      <c r="BC246" s="41"/>
      <c r="BD246" s="41"/>
      <c r="BE246" s="40"/>
      <c r="BF246" s="8">
        <f>COUNT(E246:BD246)</f>
        <v>25</v>
      </c>
    </row>
    <row r="247" spans="1:58">
      <c r="A247" s="38" t="s">
        <v>84</v>
      </c>
      <c r="B247" s="83" t="s">
        <v>60</v>
      </c>
      <c r="C247" s="84"/>
      <c r="D247" s="40"/>
      <c r="E247" s="41"/>
      <c r="F247" s="41"/>
      <c r="G247" s="41"/>
      <c r="H247" s="41"/>
      <c r="I247" s="41"/>
      <c r="J247" s="41"/>
      <c r="K247" s="41"/>
      <c r="L247" s="41"/>
      <c r="M247" s="41"/>
      <c r="N247" s="41"/>
      <c r="O247" s="41"/>
      <c r="P247" s="41"/>
      <c r="Q247" s="41"/>
      <c r="R247" s="41"/>
      <c r="S247" s="41"/>
      <c r="T247" s="41"/>
      <c r="U247" s="41"/>
      <c r="V247" s="41"/>
      <c r="W247" s="41"/>
      <c r="X247" s="41"/>
      <c r="Y247" s="41"/>
      <c r="Z247" s="41"/>
      <c r="AA247" s="52">
        <v>12</v>
      </c>
      <c r="AB247" s="41">
        <v>10</v>
      </c>
      <c r="AC247" s="41">
        <v>13</v>
      </c>
      <c r="AD247" s="41">
        <v>13</v>
      </c>
      <c r="AE247" s="41">
        <v>17</v>
      </c>
      <c r="AF247" s="41">
        <v>13</v>
      </c>
      <c r="AG247" s="41">
        <v>14</v>
      </c>
      <c r="AH247" s="41">
        <v>15</v>
      </c>
      <c r="AI247" s="41">
        <v>14</v>
      </c>
      <c r="AJ247" s="41">
        <v>14</v>
      </c>
      <c r="AK247" s="41">
        <v>14</v>
      </c>
      <c r="AL247" s="41">
        <v>13</v>
      </c>
      <c r="AM247" s="41">
        <v>13</v>
      </c>
      <c r="AN247" s="41">
        <v>11</v>
      </c>
      <c r="AO247" s="41">
        <v>9</v>
      </c>
      <c r="AP247" s="41">
        <v>10</v>
      </c>
      <c r="AQ247" s="41">
        <v>10</v>
      </c>
      <c r="AR247" s="41">
        <v>9</v>
      </c>
      <c r="AS247" s="41">
        <v>10</v>
      </c>
      <c r="AT247" s="41">
        <v>9</v>
      </c>
      <c r="AU247" s="41">
        <v>9</v>
      </c>
      <c r="AV247" s="41">
        <v>6</v>
      </c>
      <c r="AW247" s="41">
        <v>8</v>
      </c>
      <c r="AX247" s="41">
        <v>5</v>
      </c>
      <c r="AY247" s="41">
        <v>6</v>
      </c>
      <c r="AZ247" s="41"/>
      <c r="BA247" s="41"/>
      <c r="BB247" s="41"/>
      <c r="BC247" s="41"/>
      <c r="BD247" s="41"/>
      <c r="BE247" s="40"/>
      <c r="BF247" s="8">
        <f>COUNT(E247:BD247)</f>
        <v>25</v>
      </c>
    </row>
    <row r="248" spans="1:58">
      <c r="A248" s="38" t="s">
        <v>85</v>
      </c>
      <c r="B248" s="83" t="s">
        <v>60</v>
      </c>
      <c r="C248" s="84"/>
      <c r="D248" s="40"/>
      <c r="E248" s="41"/>
      <c r="F248" s="41"/>
      <c r="G248" s="41"/>
      <c r="H248" s="41"/>
      <c r="I248" s="41"/>
      <c r="J248" s="41"/>
      <c r="K248" s="41"/>
      <c r="L248" s="41"/>
      <c r="M248" s="41"/>
      <c r="N248" s="41"/>
      <c r="O248" s="41"/>
      <c r="P248" s="41"/>
      <c r="Q248" s="41"/>
      <c r="R248" s="41"/>
      <c r="S248" s="41"/>
      <c r="T248" s="41"/>
      <c r="U248" s="41"/>
      <c r="V248" s="41"/>
      <c r="W248" s="41"/>
      <c r="X248" s="41"/>
      <c r="Y248" s="41"/>
      <c r="Z248" s="41"/>
      <c r="AA248" s="52">
        <v>3</v>
      </c>
      <c r="AB248" s="41">
        <v>2</v>
      </c>
      <c r="AC248" s="41">
        <v>3</v>
      </c>
      <c r="AD248" s="41">
        <v>3</v>
      </c>
      <c r="AE248" s="41">
        <v>4</v>
      </c>
      <c r="AF248" s="41">
        <v>3</v>
      </c>
      <c r="AG248" s="41">
        <v>3</v>
      </c>
      <c r="AH248" s="41">
        <v>3</v>
      </c>
      <c r="AI248" s="41">
        <v>3</v>
      </c>
      <c r="AJ248" s="41">
        <v>2</v>
      </c>
      <c r="AK248" s="41">
        <v>0</v>
      </c>
      <c r="AL248" s="41">
        <v>2</v>
      </c>
      <c r="AM248" s="41">
        <v>2</v>
      </c>
      <c r="AN248" s="41">
        <v>2</v>
      </c>
      <c r="AO248" s="41">
        <v>2</v>
      </c>
      <c r="AP248" s="41">
        <v>2</v>
      </c>
      <c r="AQ248" s="41">
        <v>2</v>
      </c>
      <c r="AR248" s="41">
        <v>1</v>
      </c>
      <c r="AS248" s="41">
        <v>2</v>
      </c>
      <c r="AT248" s="41">
        <v>2</v>
      </c>
      <c r="AU248" s="41">
        <v>2</v>
      </c>
      <c r="AV248" s="41">
        <v>1</v>
      </c>
      <c r="AW248" s="41">
        <v>2</v>
      </c>
      <c r="AX248" s="41">
        <v>1</v>
      </c>
      <c r="AY248" s="41">
        <v>1</v>
      </c>
      <c r="AZ248" s="41"/>
      <c r="BA248" s="41"/>
      <c r="BB248" s="41"/>
      <c r="BC248" s="41"/>
      <c r="BD248" s="41"/>
      <c r="BE248" s="40"/>
      <c r="BF248" s="8">
        <f>COUNT(E248:BD248)</f>
        <v>25</v>
      </c>
    </row>
    <row r="249" spans="1:58">
      <c r="A249" s="35" t="s">
        <v>86</v>
      </c>
      <c r="B249" s="83" t="s">
        <v>60</v>
      </c>
      <c r="C249" s="84"/>
      <c r="D249" s="40"/>
      <c r="E249" s="41"/>
      <c r="F249" s="41"/>
      <c r="G249" s="41"/>
      <c r="H249" s="41"/>
      <c r="I249" s="41"/>
      <c r="J249" s="41"/>
      <c r="K249" s="41"/>
      <c r="L249" s="41"/>
      <c r="M249" s="41"/>
      <c r="N249" s="41"/>
      <c r="O249" s="41"/>
      <c r="P249" s="41"/>
      <c r="Q249" s="41"/>
      <c r="R249" s="41"/>
      <c r="S249" s="41"/>
      <c r="T249" s="41"/>
      <c r="U249" s="41"/>
      <c r="V249" s="41"/>
      <c r="W249" s="41"/>
      <c r="X249" s="41"/>
      <c r="Y249" s="41"/>
      <c r="Z249" s="41"/>
      <c r="AA249" s="52">
        <v>0</v>
      </c>
      <c r="AB249" s="41">
        <v>0</v>
      </c>
      <c r="AC249" s="41">
        <v>0</v>
      </c>
      <c r="AD249" s="41">
        <v>1</v>
      </c>
      <c r="AE249" s="41">
        <v>0</v>
      </c>
      <c r="AF249" s="41">
        <v>0</v>
      </c>
      <c r="AG249" s="41">
        <v>0</v>
      </c>
      <c r="AH249" s="41">
        <v>0</v>
      </c>
      <c r="AI249" s="41">
        <v>0</v>
      </c>
      <c r="AJ249" s="41">
        <v>0</v>
      </c>
      <c r="AK249" s="41">
        <v>0</v>
      </c>
      <c r="AL249" s="41">
        <v>0</v>
      </c>
      <c r="AM249" s="41">
        <v>0</v>
      </c>
      <c r="AN249" s="41">
        <v>0</v>
      </c>
      <c r="AO249" s="41">
        <v>0</v>
      </c>
      <c r="AP249" s="41">
        <v>0</v>
      </c>
      <c r="AQ249" s="41">
        <v>0</v>
      </c>
      <c r="AR249" s="41">
        <v>0</v>
      </c>
      <c r="AS249" s="41">
        <v>0</v>
      </c>
      <c r="AT249" s="41">
        <v>0</v>
      </c>
      <c r="AU249" s="41">
        <v>0</v>
      </c>
      <c r="AV249" s="41">
        <v>0</v>
      </c>
      <c r="AW249" s="41">
        <v>0</v>
      </c>
      <c r="AX249" s="41">
        <v>0</v>
      </c>
      <c r="AY249" s="41">
        <v>0</v>
      </c>
      <c r="AZ249" s="41"/>
      <c r="BA249" s="41"/>
      <c r="BB249" s="41"/>
      <c r="BC249" s="41"/>
      <c r="BD249" s="41"/>
      <c r="BE249" s="40"/>
      <c r="BF249" s="8">
        <f>COUNT(E249:BD249)</f>
        <v>25</v>
      </c>
    </row>
    <row r="250" spans="1:58">
      <c r="A250" s="38"/>
      <c r="B250" s="38"/>
      <c r="C250" s="18"/>
      <c r="D250" s="40"/>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0"/>
    </row>
    <row r="251" spans="1:58">
      <c r="A251" s="45" t="s">
        <v>87</v>
      </c>
      <c r="B251" s="38"/>
      <c r="C251" s="11" t="s">
        <v>16</v>
      </c>
      <c r="D251" s="40"/>
      <c r="E251" s="69"/>
      <c r="F251" s="69"/>
      <c r="G251" s="69"/>
      <c r="H251" s="69"/>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0"/>
    </row>
    <row r="252" spans="1:58">
      <c r="A252" s="38"/>
      <c r="B252" s="38"/>
      <c r="C252" s="18"/>
      <c r="D252" s="40"/>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0"/>
    </row>
    <row r="253" spans="1:58">
      <c r="A253" s="61" t="s">
        <v>164</v>
      </c>
      <c r="B253" s="36" t="s">
        <v>89</v>
      </c>
      <c r="C253" s="11"/>
      <c r="D253" s="40"/>
      <c r="E253" s="109"/>
      <c r="F253" s="109">
        <v>0</v>
      </c>
      <c r="G253" s="109">
        <v>0</v>
      </c>
      <c r="H253" s="109">
        <v>0</v>
      </c>
      <c r="I253" s="109">
        <v>0</v>
      </c>
      <c r="J253" s="109">
        <v>0</v>
      </c>
      <c r="K253" s="109">
        <v>0</v>
      </c>
      <c r="L253" s="109">
        <v>200</v>
      </c>
      <c r="M253" s="109"/>
      <c r="N253" s="109">
        <v>1200</v>
      </c>
      <c r="O253" s="109">
        <v>0</v>
      </c>
      <c r="P253" s="109">
        <v>0</v>
      </c>
      <c r="Q253" s="109">
        <v>0</v>
      </c>
      <c r="R253" s="109">
        <v>0</v>
      </c>
      <c r="S253" s="109">
        <v>400</v>
      </c>
      <c r="T253" s="109">
        <v>0</v>
      </c>
      <c r="U253" s="109">
        <v>400</v>
      </c>
      <c r="V253" s="109">
        <v>0</v>
      </c>
      <c r="W253" s="109">
        <v>800</v>
      </c>
      <c r="X253" s="109">
        <v>200</v>
      </c>
      <c r="Y253" s="109">
        <v>400</v>
      </c>
      <c r="Z253" s="109">
        <v>200</v>
      </c>
      <c r="AA253" s="109">
        <v>2600</v>
      </c>
      <c r="AB253" s="109">
        <v>6000</v>
      </c>
      <c r="AC253" s="109">
        <v>10600</v>
      </c>
      <c r="AD253" s="109">
        <v>5800</v>
      </c>
      <c r="AE253" s="109"/>
      <c r="AF253" s="109">
        <v>3400</v>
      </c>
      <c r="AG253" s="109">
        <v>1400</v>
      </c>
      <c r="AH253" s="109">
        <v>14200</v>
      </c>
      <c r="AI253" s="109">
        <v>14400</v>
      </c>
      <c r="AJ253" s="109">
        <v>41800</v>
      </c>
      <c r="AK253" s="109">
        <v>3400</v>
      </c>
      <c r="AL253" s="110">
        <v>3200</v>
      </c>
      <c r="AM253" s="109">
        <v>10200</v>
      </c>
      <c r="AN253" s="109">
        <v>25000</v>
      </c>
      <c r="AO253" s="109">
        <v>17800</v>
      </c>
      <c r="AP253" s="109">
        <v>8200</v>
      </c>
      <c r="AQ253" s="109">
        <v>1800</v>
      </c>
      <c r="AR253" s="109">
        <v>5400</v>
      </c>
      <c r="AS253" s="109">
        <v>3000</v>
      </c>
      <c r="AT253" s="109">
        <v>4800</v>
      </c>
      <c r="AU253" s="109">
        <v>4400</v>
      </c>
      <c r="AV253" s="109">
        <v>3600</v>
      </c>
      <c r="AW253" s="109">
        <v>220</v>
      </c>
      <c r="AX253" s="109">
        <v>800</v>
      </c>
      <c r="AY253" s="110">
        <v>800</v>
      </c>
      <c r="AZ253" s="109">
        <v>2000</v>
      </c>
      <c r="BA253" s="109">
        <v>600</v>
      </c>
      <c r="BB253" s="109">
        <v>800</v>
      </c>
      <c r="BC253" s="109">
        <v>600</v>
      </c>
      <c r="BD253" s="109"/>
      <c r="BE253" s="53"/>
    </row>
    <row r="254" spans="1:58">
      <c r="A254" s="35" t="s">
        <v>165</v>
      </c>
      <c r="B254" s="36" t="s">
        <v>89</v>
      </c>
      <c r="C254" s="11"/>
      <c r="D254" s="40"/>
      <c r="E254" s="109"/>
      <c r="F254" s="109">
        <v>14400</v>
      </c>
      <c r="G254" s="109">
        <v>7800</v>
      </c>
      <c r="H254" s="109">
        <v>17000</v>
      </c>
      <c r="I254" s="109">
        <v>9800</v>
      </c>
      <c r="J254" s="109">
        <v>15800</v>
      </c>
      <c r="K254" s="109">
        <v>28200</v>
      </c>
      <c r="L254" s="109">
        <v>25200</v>
      </c>
      <c r="M254" s="109"/>
      <c r="N254" s="109">
        <v>54800</v>
      </c>
      <c r="O254" s="109">
        <v>27400</v>
      </c>
      <c r="P254" s="109">
        <v>14800</v>
      </c>
      <c r="Q254" s="109">
        <v>53600</v>
      </c>
      <c r="R254" s="109">
        <v>24400</v>
      </c>
      <c r="S254" s="109">
        <v>26600</v>
      </c>
      <c r="T254" s="109">
        <v>34000</v>
      </c>
      <c r="U254" s="109">
        <v>112800</v>
      </c>
      <c r="V254" s="109">
        <v>200</v>
      </c>
      <c r="W254" s="109">
        <v>0</v>
      </c>
      <c r="X254" s="109">
        <v>0</v>
      </c>
      <c r="Y254" s="109">
        <v>200</v>
      </c>
      <c r="Z254" s="109">
        <v>400</v>
      </c>
      <c r="AA254" s="109">
        <v>1400</v>
      </c>
      <c r="AB254" s="109">
        <v>1000</v>
      </c>
      <c r="AC254" s="109">
        <v>600</v>
      </c>
      <c r="AD254" s="109">
        <v>2800</v>
      </c>
      <c r="AE254" s="109"/>
      <c r="AF254" s="109">
        <v>3000</v>
      </c>
      <c r="AG254" s="109">
        <v>400</v>
      </c>
      <c r="AH254" s="109">
        <v>1400</v>
      </c>
      <c r="AI254" s="109">
        <v>25600</v>
      </c>
      <c r="AJ254" s="109">
        <v>29600</v>
      </c>
      <c r="AK254" s="109">
        <v>4600</v>
      </c>
      <c r="AL254" s="110">
        <v>3600</v>
      </c>
      <c r="AM254" s="109">
        <v>0</v>
      </c>
      <c r="AN254" s="109">
        <v>800</v>
      </c>
      <c r="AO254" s="109">
        <v>0</v>
      </c>
      <c r="AP254" s="109">
        <v>800</v>
      </c>
      <c r="AQ254" s="109">
        <v>200</v>
      </c>
      <c r="AR254" s="109">
        <v>200</v>
      </c>
      <c r="AS254" s="109">
        <v>1000</v>
      </c>
      <c r="AT254" s="109">
        <v>0</v>
      </c>
      <c r="AU254" s="109">
        <v>0</v>
      </c>
      <c r="AV254" s="109">
        <v>400</v>
      </c>
      <c r="AW254" s="109">
        <v>200</v>
      </c>
      <c r="AX254" s="109">
        <v>200</v>
      </c>
      <c r="AY254" s="110">
        <v>0</v>
      </c>
      <c r="AZ254" s="109">
        <v>1800</v>
      </c>
      <c r="BA254" s="109">
        <v>1600</v>
      </c>
      <c r="BB254" s="109">
        <v>800</v>
      </c>
      <c r="BC254" s="109">
        <v>2200</v>
      </c>
      <c r="BD254" s="109"/>
      <c r="BE254" s="53"/>
    </row>
    <row r="255" spans="1:58">
      <c r="A255" s="35" t="s">
        <v>166</v>
      </c>
      <c r="B255" s="38" t="s">
        <v>89</v>
      </c>
      <c r="C255" s="18"/>
      <c r="D255" s="40"/>
      <c r="E255" s="109"/>
      <c r="F255" s="109">
        <v>0</v>
      </c>
      <c r="G255" s="109">
        <v>0</v>
      </c>
      <c r="H255" s="109">
        <v>0</v>
      </c>
      <c r="I255" s="109">
        <v>0</v>
      </c>
      <c r="J255" s="109">
        <v>0</v>
      </c>
      <c r="K255" s="109">
        <v>0</v>
      </c>
      <c r="L255" s="109">
        <v>0</v>
      </c>
      <c r="M255" s="109"/>
      <c r="N255" s="109">
        <v>0</v>
      </c>
      <c r="O255" s="109">
        <v>0</v>
      </c>
      <c r="P255" s="109">
        <v>0</v>
      </c>
      <c r="Q255" s="109">
        <v>0</v>
      </c>
      <c r="R255" s="109">
        <v>0</v>
      </c>
      <c r="S255" s="109">
        <v>0</v>
      </c>
      <c r="T255" s="109">
        <v>0</v>
      </c>
      <c r="U255" s="109">
        <v>0</v>
      </c>
      <c r="V255" s="109">
        <v>200</v>
      </c>
      <c r="W255" s="109">
        <v>200</v>
      </c>
      <c r="X255" s="109">
        <v>0</v>
      </c>
      <c r="Y255" s="109">
        <v>0</v>
      </c>
      <c r="Z255" s="109">
        <v>200</v>
      </c>
      <c r="AA255" s="109">
        <v>0</v>
      </c>
      <c r="AB255" s="109">
        <v>600</v>
      </c>
      <c r="AC255" s="109">
        <v>0</v>
      </c>
      <c r="AD255" s="109">
        <v>600</v>
      </c>
      <c r="AE255" s="109"/>
      <c r="AF255" s="109">
        <v>1400</v>
      </c>
      <c r="AG255" s="109">
        <v>400</v>
      </c>
      <c r="AH255" s="109">
        <v>200</v>
      </c>
      <c r="AI255" s="109">
        <v>1200</v>
      </c>
      <c r="AJ255" s="109">
        <v>800</v>
      </c>
      <c r="AK255" s="109">
        <v>0</v>
      </c>
      <c r="AL255" s="110">
        <v>400</v>
      </c>
      <c r="AM255" s="109">
        <v>0</v>
      </c>
      <c r="AN255" s="109">
        <v>400</v>
      </c>
      <c r="AO255" s="109">
        <v>200</v>
      </c>
      <c r="AP255" s="109">
        <v>600</v>
      </c>
      <c r="AQ255" s="109">
        <v>400</v>
      </c>
      <c r="AR255" s="109">
        <v>600</v>
      </c>
      <c r="AS255" s="109">
        <v>400</v>
      </c>
      <c r="AT255" s="109">
        <v>200</v>
      </c>
      <c r="AU255" s="109">
        <v>600</v>
      </c>
      <c r="AV255" s="109">
        <v>0</v>
      </c>
      <c r="AW255" s="109">
        <v>0</v>
      </c>
      <c r="AX255" s="109">
        <v>0</v>
      </c>
      <c r="AY255" s="110">
        <v>0</v>
      </c>
      <c r="AZ255" s="109">
        <v>200</v>
      </c>
      <c r="BA255" s="109">
        <v>200</v>
      </c>
      <c r="BB255" s="109">
        <v>400</v>
      </c>
      <c r="BC255" s="109">
        <v>200</v>
      </c>
      <c r="BD255" s="109"/>
      <c r="BE255" s="53"/>
    </row>
    <row r="256" spans="1:58">
      <c r="A256" s="35" t="s">
        <v>167</v>
      </c>
      <c r="B256" s="35" t="s">
        <v>89</v>
      </c>
      <c r="C256" s="72"/>
      <c r="D256" s="40"/>
      <c r="E256" s="109"/>
      <c r="F256" s="109">
        <v>0</v>
      </c>
      <c r="G256" s="109">
        <v>0</v>
      </c>
      <c r="H256" s="109">
        <v>0</v>
      </c>
      <c r="I256" s="109">
        <v>0</v>
      </c>
      <c r="J256" s="109">
        <v>0</v>
      </c>
      <c r="K256" s="109">
        <v>0</v>
      </c>
      <c r="L256" s="109">
        <v>0</v>
      </c>
      <c r="M256" s="109"/>
      <c r="N256" s="109">
        <v>0</v>
      </c>
      <c r="O256" s="109">
        <v>0</v>
      </c>
      <c r="P256" s="109">
        <v>0</v>
      </c>
      <c r="Q256" s="109">
        <v>0</v>
      </c>
      <c r="R256" s="109">
        <v>0</v>
      </c>
      <c r="S256" s="109">
        <v>0</v>
      </c>
      <c r="T256" s="109">
        <v>0</v>
      </c>
      <c r="U256" s="109">
        <v>0</v>
      </c>
      <c r="V256" s="109">
        <v>0</v>
      </c>
      <c r="W256" s="109">
        <v>0</v>
      </c>
      <c r="X256" s="109">
        <v>0</v>
      </c>
      <c r="Y256" s="109">
        <v>0</v>
      </c>
      <c r="Z256" s="109">
        <v>0</v>
      </c>
      <c r="AA256" s="109">
        <v>0</v>
      </c>
      <c r="AB256" s="109">
        <v>0</v>
      </c>
      <c r="AC256" s="109">
        <v>0</v>
      </c>
      <c r="AD256" s="109">
        <v>0</v>
      </c>
      <c r="AE256" s="109"/>
      <c r="AF256" s="109">
        <v>0</v>
      </c>
      <c r="AG256" s="109">
        <v>0</v>
      </c>
      <c r="AH256" s="109">
        <v>200</v>
      </c>
      <c r="AI256" s="109">
        <v>0</v>
      </c>
      <c r="AJ256" s="109">
        <v>0</v>
      </c>
      <c r="AK256" s="109">
        <v>0</v>
      </c>
      <c r="AL256" s="110">
        <v>0</v>
      </c>
      <c r="AM256" s="109">
        <v>0</v>
      </c>
      <c r="AN256" s="109">
        <v>400</v>
      </c>
      <c r="AO256" s="109">
        <v>0</v>
      </c>
      <c r="AP256" s="109">
        <v>0</v>
      </c>
      <c r="AQ256" s="109">
        <v>0</v>
      </c>
      <c r="AR256" s="109">
        <v>0</v>
      </c>
      <c r="AS256" s="109">
        <v>0</v>
      </c>
      <c r="AT256" s="109">
        <v>0</v>
      </c>
      <c r="AU256" s="109">
        <v>0</v>
      </c>
      <c r="AV256" s="109">
        <v>0</v>
      </c>
      <c r="AW256" s="109">
        <v>0</v>
      </c>
      <c r="AX256" s="109">
        <v>0</v>
      </c>
      <c r="AY256" s="110">
        <v>0</v>
      </c>
      <c r="AZ256" s="109">
        <v>0</v>
      </c>
      <c r="BA256" s="109">
        <v>200</v>
      </c>
      <c r="BB256" s="109">
        <v>0</v>
      </c>
      <c r="BC256" s="109">
        <v>400</v>
      </c>
      <c r="BD256" s="109"/>
      <c r="BE256" s="53"/>
    </row>
    <row r="257" spans="1:68">
      <c r="A257" s="38" t="s">
        <v>93</v>
      </c>
      <c r="B257" s="38" t="s">
        <v>89</v>
      </c>
      <c r="C257" s="18"/>
      <c r="D257" s="40"/>
      <c r="E257" s="109"/>
      <c r="F257" s="109">
        <v>0</v>
      </c>
      <c r="G257" s="109">
        <v>0</v>
      </c>
      <c r="H257" s="109">
        <v>0</v>
      </c>
      <c r="I257" s="109">
        <v>0</v>
      </c>
      <c r="J257" s="109">
        <v>0</v>
      </c>
      <c r="K257" s="109">
        <v>0</v>
      </c>
      <c r="L257" s="109">
        <v>0</v>
      </c>
      <c r="M257" s="109"/>
      <c r="N257" s="109">
        <v>0</v>
      </c>
      <c r="O257" s="109">
        <v>0</v>
      </c>
      <c r="P257" s="109">
        <v>0</v>
      </c>
      <c r="Q257" s="109">
        <v>0</v>
      </c>
      <c r="R257" s="109">
        <v>0</v>
      </c>
      <c r="S257" s="109">
        <v>0</v>
      </c>
      <c r="T257" s="109">
        <v>0</v>
      </c>
      <c r="U257" s="109">
        <v>0</v>
      </c>
      <c r="V257" s="109">
        <v>0</v>
      </c>
      <c r="W257" s="109">
        <v>0</v>
      </c>
      <c r="X257" s="109">
        <v>0</v>
      </c>
      <c r="Y257" s="109">
        <v>0</v>
      </c>
      <c r="Z257" s="109">
        <v>0</v>
      </c>
      <c r="AA257" s="109">
        <v>0</v>
      </c>
      <c r="AB257" s="109">
        <v>0</v>
      </c>
      <c r="AC257" s="109">
        <v>0</v>
      </c>
      <c r="AD257" s="109">
        <v>0</v>
      </c>
      <c r="AE257" s="109"/>
      <c r="AF257" s="109">
        <v>0</v>
      </c>
      <c r="AG257" s="109">
        <v>0</v>
      </c>
      <c r="AH257" s="109">
        <v>0</v>
      </c>
      <c r="AI257" s="109">
        <v>0</v>
      </c>
      <c r="AJ257" s="109">
        <v>0</v>
      </c>
      <c r="AK257" s="109">
        <v>0</v>
      </c>
      <c r="AL257" s="110">
        <v>0</v>
      </c>
      <c r="AM257" s="109">
        <v>0</v>
      </c>
      <c r="AN257" s="109">
        <v>0</v>
      </c>
      <c r="AO257" s="109">
        <v>0</v>
      </c>
      <c r="AP257" s="109">
        <v>0</v>
      </c>
      <c r="AQ257" s="109">
        <v>0</v>
      </c>
      <c r="AR257" s="109">
        <v>0</v>
      </c>
      <c r="AS257" s="109">
        <v>0</v>
      </c>
      <c r="AT257" s="109">
        <v>0</v>
      </c>
      <c r="AU257" s="109">
        <v>0</v>
      </c>
      <c r="AV257" s="109">
        <v>0</v>
      </c>
      <c r="AW257" s="109">
        <v>0</v>
      </c>
      <c r="AX257" s="109">
        <v>0</v>
      </c>
      <c r="AY257" s="110">
        <v>0</v>
      </c>
      <c r="AZ257" s="109">
        <v>0</v>
      </c>
      <c r="BA257" s="109">
        <v>0</v>
      </c>
      <c r="BB257" s="109">
        <v>0</v>
      </c>
      <c r="BC257" s="109">
        <v>0</v>
      </c>
      <c r="BD257" s="109"/>
      <c r="BE257" s="53"/>
    </row>
    <row r="258" spans="1:68">
      <c r="A258" s="38" t="s">
        <v>168</v>
      </c>
      <c r="B258" s="38" t="s">
        <v>89</v>
      </c>
      <c r="C258" s="18"/>
      <c r="D258" s="40"/>
      <c r="E258" s="109"/>
      <c r="F258" s="109">
        <v>0</v>
      </c>
      <c r="G258" s="109">
        <v>0</v>
      </c>
      <c r="H258" s="109">
        <v>0</v>
      </c>
      <c r="I258" s="109">
        <v>0</v>
      </c>
      <c r="J258" s="109">
        <v>0</v>
      </c>
      <c r="K258" s="109">
        <v>0</v>
      </c>
      <c r="L258" s="109">
        <v>0</v>
      </c>
      <c r="M258" s="109"/>
      <c r="N258" s="109">
        <v>0</v>
      </c>
      <c r="O258" s="109">
        <v>0</v>
      </c>
      <c r="P258" s="109">
        <v>0</v>
      </c>
      <c r="Q258" s="109">
        <v>0</v>
      </c>
      <c r="R258" s="109">
        <v>0</v>
      </c>
      <c r="S258" s="109">
        <v>0</v>
      </c>
      <c r="T258" s="109">
        <v>0</v>
      </c>
      <c r="U258" s="109">
        <v>0</v>
      </c>
      <c r="V258" s="109">
        <v>0</v>
      </c>
      <c r="W258" s="109">
        <v>0</v>
      </c>
      <c r="X258" s="109">
        <v>0</v>
      </c>
      <c r="Y258" s="109">
        <v>0</v>
      </c>
      <c r="Z258" s="109">
        <v>0</v>
      </c>
      <c r="AA258" s="109">
        <v>0</v>
      </c>
      <c r="AB258" s="109">
        <v>0</v>
      </c>
      <c r="AC258" s="109">
        <v>0</v>
      </c>
      <c r="AD258" s="109">
        <v>0</v>
      </c>
      <c r="AE258" s="109"/>
      <c r="AF258" s="109">
        <v>0</v>
      </c>
      <c r="AG258" s="109">
        <v>0</v>
      </c>
      <c r="AH258" s="109">
        <v>0</v>
      </c>
      <c r="AI258" s="109">
        <v>0</v>
      </c>
      <c r="AJ258" s="109">
        <v>0</v>
      </c>
      <c r="AK258" s="109">
        <v>0</v>
      </c>
      <c r="AL258" s="110">
        <v>0</v>
      </c>
      <c r="AM258" s="109">
        <v>0</v>
      </c>
      <c r="AN258" s="109">
        <v>0</v>
      </c>
      <c r="AO258" s="109">
        <v>0</v>
      </c>
      <c r="AP258" s="109">
        <v>0</v>
      </c>
      <c r="AQ258" s="109">
        <v>0</v>
      </c>
      <c r="AR258" s="109">
        <v>0</v>
      </c>
      <c r="AS258" s="109">
        <v>0</v>
      </c>
      <c r="AT258" s="109">
        <v>0</v>
      </c>
      <c r="AU258" s="109">
        <v>0</v>
      </c>
      <c r="AV258" s="109">
        <v>0</v>
      </c>
      <c r="AW258" s="109">
        <v>0</v>
      </c>
      <c r="AX258" s="109">
        <v>0</v>
      </c>
      <c r="AY258" s="110">
        <v>0</v>
      </c>
      <c r="AZ258" s="109">
        <v>0</v>
      </c>
      <c r="BA258" s="109">
        <v>0</v>
      </c>
      <c r="BB258" s="109">
        <v>0</v>
      </c>
      <c r="BC258" s="109">
        <v>0</v>
      </c>
      <c r="BD258" s="109"/>
      <c r="BE258" s="53"/>
    </row>
    <row r="259" spans="1:68">
      <c r="A259" s="38" t="s">
        <v>169</v>
      </c>
      <c r="B259" s="38" t="s">
        <v>89</v>
      </c>
      <c r="C259" s="18"/>
      <c r="D259" s="40"/>
      <c r="E259" s="109"/>
      <c r="F259" s="109">
        <v>0</v>
      </c>
      <c r="G259" s="109">
        <v>0</v>
      </c>
      <c r="H259" s="109">
        <v>0</v>
      </c>
      <c r="I259" s="109">
        <v>0</v>
      </c>
      <c r="J259" s="109">
        <v>0</v>
      </c>
      <c r="K259" s="109">
        <v>0</v>
      </c>
      <c r="L259" s="109">
        <v>0</v>
      </c>
      <c r="M259" s="109"/>
      <c r="N259" s="109">
        <v>0</v>
      </c>
      <c r="O259" s="109">
        <v>0</v>
      </c>
      <c r="P259" s="109">
        <v>0</v>
      </c>
      <c r="Q259" s="109">
        <v>0</v>
      </c>
      <c r="R259" s="109">
        <v>0</v>
      </c>
      <c r="S259" s="109">
        <v>0</v>
      </c>
      <c r="T259" s="109">
        <v>0</v>
      </c>
      <c r="U259" s="109">
        <v>0</v>
      </c>
      <c r="V259" s="109">
        <v>0</v>
      </c>
      <c r="W259" s="109">
        <v>0</v>
      </c>
      <c r="X259" s="109">
        <v>0</v>
      </c>
      <c r="Y259" s="109">
        <v>0</v>
      </c>
      <c r="Z259" s="109">
        <v>0</v>
      </c>
      <c r="AA259" s="109">
        <v>0</v>
      </c>
      <c r="AB259" s="109">
        <v>0</v>
      </c>
      <c r="AC259" s="109">
        <v>0</v>
      </c>
      <c r="AD259" s="109">
        <v>0</v>
      </c>
      <c r="AE259" s="109"/>
      <c r="AF259" s="109">
        <v>0</v>
      </c>
      <c r="AG259" s="109">
        <v>0</v>
      </c>
      <c r="AH259" s="109">
        <v>200</v>
      </c>
      <c r="AI259" s="109">
        <v>200</v>
      </c>
      <c r="AJ259" s="109">
        <v>400</v>
      </c>
      <c r="AK259" s="109">
        <v>200</v>
      </c>
      <c r="AL259" s="109">
        <v>0</v>
      </c>
      <c r="AM259" s="109">
        <v>0</v>
      </c>
      <c r="AN259" s="109">
        <v>400</v>
      </c>
      <c r="AO259" s="109">
        <v>0</v>
      </c>
      <c r="AP259" s="109">
        <v>400</v>
      </c>
      <c r="AQ259" s="109">
        <v>200</v>
      </c>
      <c r="AR259" s="109">
        <v>0</v>
      </c>
      <c r="AS259" s="109">
        <v>0</v>
      </c>
      <c r="AT259" s="109">
        <v>0</v>
      </c>
      <c r="AU259" s="109">
        <v>0</v>
      </c>
      <c r="AV259" s="109">
        <v>400</v>
      </c>
      <c r="AW259" s="109">
        <v>400</v>
      </c>
      <c r="AX259" s="109">
        <v>0</v>
      </c>
      <c r="AY259" s="109">
        <v>0</v>
      </c>
      <c r="AZ259" s="109">
        <v>0</v>
      </c>
      <c r="BA259" s="109">
        <v>0</v>
      </c>
      <c r="BB259" s="109">
        <v>0</v>
      </c>
      <c r="BC259" s="109">
        <v>0</v>
      </c>
      <c r="BD259" s="109"/>
      <c r="BE259" s="53"/>
    </row>
    <row r="260" spans="1:68">
      <c r="A260" s="35" t="s">
        <v>170</v>
      </c>
      <c r="B260" s="38" t="s">
        <v>89</v>
      </c>
      <c r="C260" s="18"/>
      <c r="D260" s="40"/>
      <c r="E260" s="109"/>
      <c r="F260" s="109">
        <v>0</v>
      </c>
      <c r="G260" s="109">
        <v>0</v>
      </c>
      <c r="H260" s="109">
        <v>0</v>
      </c>
      <c r="I260" s="109">
        <v>0</v>
      </c>
      <c r="J260" s="109">
        <v>0</v>
      </c>
      <c r="K260" s="109">
        <v>0</v>
      </c>
      <c r="L260" s="109">
        <v>0</v>
      </c>
      <c r="M260" s="109"/>
      <c r="N260" s="109">
        <v>0</v>
      </c>
      <c r="O260" s="109">
        <v>0</v>
      </c>
      <c r="P260" s="109">
        <v>0</v>
      </c>
      <c r="Q260" s="109">
        <v>0</v>
      </c>
      <c r="R260" s="109">
        <v>0</v>
      </c>
      <c r="S260" s="109">
        <v>0</v>
      </c>
      <c r="T260" s="109">
        <v>0</v>
      </c>
      <c r="U260" s="109">
        <v>0</v>
      </c>
      <c r="V260" s="109">
        <v>0</v>
      </c>
      <c r="W260" s="109">
        <v>0</v>
      </c>
      <c r="X260" s="109">
        <v>0</v>
      </c>
      <c r="Y260" s="109">
        <v>0</v>
      </c>
      <c r="Z260" s="109">
        <v>0</v>
      </c>
      <c r="AA260" s="109">
        <v>0</v>
      </c>
      <c r="AB260" s="109">
        <v>0</v>
      </c>
      <c r="AC260" s="109">
        <v>0</v>
      </c>
      <c r="AD260" s="109">
        <v>0</v>
      </c>
      <c r="AE260" s="109"/>
      <c r="AF260" s="109">
        <v>0</v>
      </c>
      <c r="AG260" s="109">
        <v>0</v>
      </c>
      <c r="AH260" s="109">
        <v>0</v>
      </c>
      <c r="AI260" s="109">
        <v>0</v>
      </c>
      <c r="AJ260" s="109">
        <v>0</v>
      </c>
      <c r="AK260" s="109">
        <v>0</v>
      </c>
      <c r="AL260" s="109">
        <v>0</v>
      </c>
      <c r="AM260" s="109">
        <v>0</v>
      </c>
      <c r="AN260" s="109">
        <v>0</v>
      </c>
      <c r="AO260" s="109">
        <v>0</v>
      </c>
      <c r="AP260" s="109">
        <v>0</v>
      </c>
      <c r="AQ260" s="109">
        <v>0</v>
      </c>
      <c r="AR260" s="109">
        <v>0</v>
      </c>
      <c r="AS260" s="109">
        <v>0</v>
      </c>
      <c r="AT260" s="109">
        <v>0</v>
      </c>
      <c r="AU260" s="109">
        <v>0</v>
      </c>
      <c r="AV260" s="109">
        <v>0</v>
      </c>
      <c r="AW260" s="109">
        <v>0</v>
      </c>
      <c r="AX260" s="109">
        <v>0</v>
      </c>
      <c r="AY260" s="109">
        <v>0</v>
      </c>
      <c r="AZ260" s="109">
        <v>0</v>
      </c>
      <c r="BA260" s="109">
        <v>0</v>
      </c>
      <c r="BB260" s="109">
        <v>0</v>
      </c>
      <c r="BC260" s="109">
        <v>0</v>
      </c>
      <c r="BD260" s="109"/>
      <c r="BE260" s="53"/>
    </row>
    <row r="261" spans="1:68">
      <c r="A261" s="38"/>
      <c r="B261" s="38"/>
      <c r="C261" s="18"/>
      <c r="D261" s="40"/>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0"/>
    </row>
    <row r="262" spans="1:68">
      <c r="A262" s="81" t="s">
        <v>98</v>
      </c>
      <c r="B262" s="38"/>
      <c r="C262" s="18"/>
      <c r="D262" s="40"/>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0"/>
    </row>
    <row r="263" spans="1:68">
      <c r="A263" s="81"/>
      <c r="B263" s="38"/>
      <c r="C263" s="18"/>
      <c r="D263" s="40"/>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0"/>
    </row>
    <row r="264" spans="1:68">
      <c r="A264" s="38" t="s">
        <v>99</v>
      </c>
      <c r="B264" s="38" t="s">
        <v>100</v>
      </c>
      <c r="C264" s="18"/>
      <c r="D264" s="40"/>
      <c r="E264" s="52">
        <v>0</v>
      </c>
      <c r="F264" s="52">
        <v>0</v>
      </c>
      <c r="G264" s="52">
        <v>0</v>
      </c>
      <c r="H264" s="52">
        <v>0</v>
      </c>
      <c r="I264" s="52">
        <v>0</v>
      </c>
      <c r="J264" s="52">
        <v>0</v>
      </c>
      <c r="K264" s="52">
        <v>0</v>
      </c>
      <c r="L264" s="52">
        <v>0</v>
      </c>
      <c r="M264" s="52"/>
      <c r="N264" s="52">
        <v>0</v>
      </c>
      <c r="O264" s="52">
        <v>0</v>
      </c>
      <c r="P264" s="52">
        <v>0</v>
      </c>
      <c r="Q264" s="52">
        <v>0</v>
      </c>
      <c r="R264" s="52">
        <v>0</v>
      </c>
      <c r="S264" s="52">
        <v>0</v>
      </c>
      <c r="T264" s="52">
        <v>0</v>
      </c>
      <c r="U264" s="52">
        <v>0</v>
      </c>
      <c r="V264" s="52">
        <v>0</v>
      </c>
      <c r="W264" s="52">
        <v>0</v>
      </c>
      <c r="X264" s="52">
        <v>0</v>
      </c>
      <c r="Y264" s="52">
        <v>0</v>
      </c>
      <c r="Z264" s="52">
        <v>0</v>
      </c>
      <c r="AA264" s="52">
        <v>0</v>
      </c>
      <c r="AB264" s="52">
        <v>0</v>
      </c>
      <c r="AC264" s="52">
        <v>0</v>
      </c>
      <c r="AD264" s="52">
        <v>0</v>
      </c>
      <c r="AE264" s="52">
        <v>0</v>
      </c>
      <c r="AF264" s="52">
        <v>0</v>
      </c>
      <c r="AG264" s="52">
        <v>0</v>
      </c>
      <c r="AH264" s="52">
        <v>0</v>
      </c>
      <c r="AI264" s="52">
        <v>0</v>
      </c>
      <c r="AJ264" s="67">
        <v>0</v>
      </c>
      <c r="AK264" s="52">
        <v>0</v>
      </c>
      <c r="AL264" s="52">
        <v>0</v>
      </c>
      <c r="AM264" s="52">
        <v>0</v>
      </c>
      <c r="AN264" s="52">
        <v>0</v>
      </c>
      <c r="AO264" s="52">
        <v>0</v>
      </c>
      <c r="AP264" s="52">
        <v>0</v>
      </c>
      <c r="AQ264" s="52">
        <v>0</v>
      </c>
      <c r="AR264" s="52">
        <v>0</v>
      </c>
      <c r="AS264" s="52">
        <v>0</v>
      </c>
      <c r="AT264" s="52">
        <v>0</v>
      </c>
      <c r="AU264" s="52">
        <v>0</v>
      </c>
      <c r="AV264" s="52">
        <v>0</v>
      </c>
      <c r="AW264" s="52">
        <v>0</v>
      </c>
      <c r="AX264" s="52">
        <v>0</v>
      </c>
      <c r="AY264" s="52">
        <v>0</v>
      </c>
      <c r="AZ264" s="52">
        <v>0</v>
      </c>
      <c r="BA264" s="52">
        <v>0</v>
      </c>
      <c r="BB264" s="52">
        <v>0</v>
      </c>
      <c r="BC264" s="52">
        <v>0</v>
      </c>
      <c r="BD264" s="52">
        <v>0</v>
      </c>
      <c r="BE264" s="57"/>
    </row>
    <row r="265" spans="1:68">
      <c r="A265" s="38" t="s">
        <v>101</v>
      </c>
      <c r="B265" s="38" t="s">
        <v>100</v>
      </c>
      <c r="C265" s="18"/>
      <c r="D265" s="40"/>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67"/>
      <c r="AK265" s="52"/>
      <c r="AL265" s="52"/>
      <c r="AM265" s="52"/>
      <c r="AN265" s="52"/>
      <c r="AO265" s="52"/>
      <c r="AP265" s="52"/>
      <c r="AQ265" s="52"/>
      <c r="AR265" s="52"/>
      <c r="AS265" s="52"/>
      <c r="AT265" s="52"/>
      <c r="AU265" s="52"/>
      <c r="AV265" s="52"/>
      <c r="AW265" s="52"/>
      <c r="AX265" s="52"/>
      <c r="AY265" s="52"/>
      <c r="AZ265" s="52"/>
      <c r="BA265" s="52"/>
      <c r="BB265" s="52"/>
      <c r="BC265" s="52"/>
      <c r="BD265" s="52"/>
      <c r="BE265" s="57"/>
    </row>
    <row r="266" spans="1:68">
      <c r="A266" s="38" t="s">
        <v>103</v>
      </c>
      <c r="B266" s="38" t="s">
        <v>100</v>
      </c>
      <c r="C266" s="18"/>
      <c r="D266" s="40"/>
      <c r="E266" s="52">
        <v>0</v>
      </c>
      <c r="F266" s="52">
        <v>0</v>
      </c>
      <c r="G266" s="52">
        <v>0</v>
      </c>
      <c r="H266" s="52">
        <v>0</v>
      </c>
      <c r="I266" s="52">
        <v>0</v>
      </c>
      <c r="J266" s="52">
        <v>0</v>
      </c>
      <c r="K266" s="52">
        <v>0</v>
      </c>
      <c r="L266" s="52">
        <v>0</v>
      </c>
      <c r="M266" s="52"/>
      <c r="N266" s="52">
        <v>0</v>
      </c>
      <c r="O266" s="52">
        <v>0</v>
      </c>
      <c r="P266" s="52">
        <v>0</v>
      </c>
      <c r="Q266" s="52">
        <v>0</v>
      </c>
      <c r="R266" s="52">
        <v>0</v>
      </c>
      <c r="S266" s="52">
        <v>0</v>
      </c>
      <c r="T266" s="52">
        <v>0</v>
      </c>
      <c r="U266" s="52">
        <v>0</v>
      </c>
      <c r="V266" s="52">
        <v>0</v>
      </c>
      <c r="W266" s="52">
        <v>0</v>
      </c>
      <c r="X266" s="52">
        <v>0</v>
      </c>
      <c r="Y266" s="52">
        <v>0</v>
      </c>
      <c r="Z266" s="52">
        <v>0</v>
      </c>
      <c r="AA266" s="52">
        <v>0</v>
      </c>
      <c r="AB266" s="52">
        <v>0</v>
      </c>
      <c r="AC266" s="52">
        <v>0</v>
      </c>
      <c r="AD266" s="52">
        <v>0</v>
      </c>
      <c r="AE266" s="52">
        <v>0</v>
      </c>
      <c r="AF266" s="52">
        <v>0</v>
      </c>
      <c r="AG266" s="52">
        <v>0</v>
      </c>
      <c r="AH266" s="52">
        <v>0</v>
      </c>
      <c r="AI266" s="52">
        <v>0</v>
      </c>
      <c r="AJ266" s="67">
        <v>0</v>
      </c>
      <c r="AK266" s="52">
        <v>0</v>
      </c>
      <c r="AL266" s="52">
        <v>0</v>
      </c>
      <c r="AM266" s="52">
        <v>0</v>
      </c>
      <c r="AN266" s="52">
        <v>0</v>
      </c>
      <c r="AO266" s="52">
        <v>0</v>
      </c>
      <c r="AP266" s="52">
        <v>0</v>
      </c>
      <c r="AQ266" s="52">
        <v>0</v>
      </c>
      <c r="AR266" s="52">
        <v>0</v>
      </c>
      <c r="AS266" s="52">
        <v>0</v>
      </c>
      <c r="AT266" s="52">
        <v>0</v>
      </c>
      <c r="AU266" s="52">
        <v>0</v>
      </c>
      <c r="AV266" s="52">
        <v>0</v>
      </c>
      <c r="AW266" s="52">
        <v>0</v>
      </c>
      <c r="AX266" s="52">
        <v>0</v>
      </c>
      <c r="AY266" s="52">
        <v>0</v>
      </c>
      <c r="AZ266" s="52">
        <v>0</v>
      </c>
      <c r="BA266" s="52">
        <v>0</v>
      </c>
      <c r="BB266" s="52">
        <v>0</v>
      </c>
      <c r="BC266" s="52">
        <v>0</v>
      </c>
      <c r="BD266" s="52"/>
      <c r="BE266" s="57"/>
    </row>
    <row r="267" spans="1:68">
      <c r="A267" s="38" t="s">
        <v>104</v>
      </c>
      <c r="B267" s="38" t="s">
        <v>171</v>
      </c>
      <c r="C267" s="18"/>
      <c r="D267" s="40"/>
      <c r="E267" s="55">
        <v>0</v>
      </c>
      <c r="F267" s="55">
        <v>0</v>
      </c>
      <c r="G267" s="55">
        <v>0</v>
      </c>
      <c r="H267" s="55">
        <v>0</v>
      </c>
      <c r="I267" s="55">
        <v>0.04</v>
      </c>
      <c r="J267" s="55">
        <v>0</v>
      </c>
      <c r="K267" s="55">
        <v>0</v>
      </c>
      <c r="L267" s="55">
        <v>0</v>
      </c>
      <c r="M267" s="55"/>
      <c r="N267" s="55">
        <v>0</v>
      </c>
      <c r="O267" s="55">
        <v>0</v>
      </c>
      <c r="P267" s="55">
        <v>0.02</v>
      </c>
      <c r="Q267" s="55">
        <v>0.1</v>
      </c>
      <c r="R267" s="55">
        <v>0</v>
      </c>
      <c r="S267" s="55">
        <v>0</v>
      </c>
      <c r="T267" s="55">
        <v>0.03</v>
      </c>
      <c r="U267" s="55">
        <v>0.02</v>
      </c>
      <c r="V267" s="55">
        <v>0.04</v>
      </c>
      <c r="W267" s="55">
        <v>0.06</v>
      </c>
      <c r="X267" s="55">
        <v>0</v>
      </c>
      <c r="Y267" s="55">
        <v>0</v>
      </c>
      <c r="Z267" s="55">
        <v>0</v>
      </c>
      <c r="AA267" s="55">
        <v>0.04</v>
      </c>
      <c r="AB267" s="55">
        <v>0.12</v>
      </c>
      <c r="AC267" s="55">
        <v>0.2</v>
      </c>
      <c r="AD267" s="55">
        <v>0.1</v>
      </c>
      <c r="AE267" s="55">
        <v>0.2</v>
      </c>
      <c r="AF267" s="55">
        <v>0.4</v>
      </c>
      <c r="AG267" s="55">
        <v>0.3</v>
      </c>
      <c r="AH267" s="55">
        <v>8.9</v>
      </c>
      <c r="AI267" s="55">
        <v>35</v>
      </c>
      <c r="AJ267" s="111">
        <v>16</v>
      </c>
      <c r="AK267" s="55">
        <v>8.4</v>
      </c>
      <c r="AL267" s="55">
        <v>9.4</v>
      </c>
      <c r="AM267" s="55">
        <v>6.6</v>
      </c>
      <c r="AN267" s="55">
        <v>4.2</v>
      </c>
      <c r="AO267" s="55">
        <v>4</v>
      </c>
      <c r="AP267" s="55">
        <v>2.7</v>
      </c>
      <c r="AQ267" s="55">
        <v>3.6</v>
      </c>
      <c r="AR267" s="55">
        <v>2.1</v>
      </c>
      <c r="AS267" s="55">
        <v>1.6</v>
      </c>
      <c r="AT267" s="55">
        <v>0.7</v>
      </c>
      <c r="AU267" s="55">
        <v>1</v>
      </c>
      <c r="AV267" s="55">
        <v>0.8</v>
      </c>
      <c r="AW267" s="55">
        <v>0.6</v>
      </c>
      <c r="AX267" s="55">
        <v>0.3</v>
      </c>
      <c r="AY267" s="55">
        <v>0.1</v>
      </c>
      <c r="AZ267" s="55">
        <v>0.02</v>
      </c>
      <c r="BA267" s="55">
        <v>0.02</v>
      </c>
      <c r="BB267" s="55">
        <v>0.1</v>
      </c>
      <c r="BC267" s="55">
        <v>0</v>
      </c>
      <c r="BD267" s="55">
        <v>0</v>
      </c>
      <c r="BE267" s="57"/>
    </row>
    <row r="268" spans="1:68">
      <c r="C268" s="18"/>
      <c r="D268" s="293"/>
      <c r="E268" s="301"/>
      <c r="F268" s="301"/>
      <c r="G268" s="301"/>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E268" s="301"/>
      <c r="AF268" s="301"/>
      <c r="AG268" s="301"/>
      <c r="AH268" s="301"/>
      <c r="AI268" s="301"/>
      <c r="AJ268" s="301"/>
      <c r="AK268" s="301"/>
      <c r="AL268" s="301"/>
      <c r="AM268" s="301"/>
      <c r="AN268" s="301"/>
      <c r="AO268" s="301"/>
      <c r="AP268" s="301"/>
      <c r="AQ268" s="301"/>
      <c r="AR268" s="301"/>
      <c r="AS268" s="301"/>
      <c r="AT268" s="301"/>
      <c r="AU268" s="301"/>
      <c r="AV268" s="301"/>
      <c r="AW268" s="301"/>
      <c r="AX268" s="301"/>
      <c r="AY268" s="301"/>
      <c r="AZ268" s="301"/>
      <c r="BA268" s="301"/>
      <c r="BB268" s="301"/>
      <c r="BC268" s="301"/>
      <c r="BD268" s="301"/>
      <c r="BE268" s="293"/>
    </row>
    <row r="269" spans="1:68">
      <c r="A269" s="293"/>
      <c r="B269" s="293"/>
      <c r="C269" s="112"/>
      <c r="D269" s="293"/>
      <c r="E269" s="349"/>
      <c r="F269" s="349"/>
      <c r="G269" s="349"/>
      <c r="H269" s="349"/>
      <c r="I269" s="349"/>
      <c r="J269" s="349"/>
      <c r="K269" s="349"/>
      <c r="L269" s="349"/>
      <c r="M269" s="349"/>
      <c r="N269" s="349"/>
      <c r="O269" s="349"/>
      <c r="P269" s="349"/>
      <c r="Q269" s="349"/>
      <c r="R269" s="349"/>
      <c r="S269" s="349"/>
      <c r="T269" s="349"/>
      <c r="U269" s="349"/>
      <c r="V269" s="349"/>
      <c r="W269" s="349"/>
      <c r="X269" s="349"/>
      <c r="Y269" s="349"/>
      <c r="Z269" s="349"/>
      <c r="AA269" s="349"/>
      <c r="AB269" s="349"/>
      <c r="AC269" s="349"/>
      <c r="AD269" s="349"/>
      <c r="AE269" s="349"/>
      <c r="AF269" s="349"/>
      <c r="AG269" s="349"/>
      <c r="AH269" s="349"/>
      <c r="AI269" s="349"/>
      <c r="AJ269" s="349"/>
      <c r="AK269" s="349"/>
      <c r="AL269" s="349"/>
      <c r="AM269" s="349"/>
      <c r="AN269" s="349"/>
      <c r="AO269" s="349"/>
      <c r="AP269" s="349"/>
      <c r="AQ269" s="349"/>
      <c r="AR269" s="349"/>
      <c r="AS269" s="349"/>
      <c r="AT269" s="349"/>
      <c r="AU269" s="349"/>
      <c r="AV269" s="349"/>
      <c r="AW269" s="349"/>
      <c r="AX269" s="349"/>
      <c r="AY269" s="349"/>
      <c r="AZ269" s="349"/>
      <c r="BA269" s="349"/>
      <c r="BB269" s="349"/>
      <c r="BC269" s="349"/>
      <c r="BD269" s="349"/>
      <c r="BE269" s="293"/>
    </row>
    <row r="270" spans="1:68">
      <c r="C270" s="113"/>
      <c r="E270" s="301"/>
      <c r="F270" s="301"/>
      <c r="G270" s="301"/>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E270" s="301"/>
      <c r="AF270" s="301"/>
      <c r="AG270" s="301"/>
      <c r="AH270" s="301"/>
      <c r="AI270" s="301"/>
      <c r="AJ270" s="301"/>
      <c r="AK270" s="301"/>
      <c r="AL270" s="301"/>
      <c r="AM270" s="301"/>
      <c r="AN270" s="301"/>
      <c r="AO270" s="301"/>
      <c r="AP270" s="301"/>
      <c r="AQ270" s="301"/>
      <c r="AR270" s="301"/>
      <c r="AS270" s="301"/>
      <c r="AT270" s="301"/>
      <c r="AU270" s="301"/>
      <c r="AV270" s="301"/>
      <c r="AW270" s="301"/>
      <c r="AX270" s="301"/>
      <c r="AY270" s="301"/>
      <c r="AZ270" s="301"/>
      <c r="BA270" s="301"/>
      <c r="BB270" s="301"/>
      <c r="BC270" s="301"/>
      <c r="BD270" s="301"/>
      <c r="BE270" s="293"/>
    </row>
    <row r="271" spans="1:68">
      <c r="A271" s="114" t="s">
        <v>172</v>
      </c>
      <c r="C271" s="113"/>
      <c r="E271" s="301"/>
      <c r="F271" s="301"/>
      <c r="G271" s="301"/>
      <c r="H271" s="301"/>
      <c r="I271" s="301"/>
      <c r="J271" s="301"/>
      <c r="K271" s="301"/>
      <c r="L271" s="301"/>
      <c r="M271" s="301"/>
      <c r="N271" s="301"/>
      <c r="O271" s="301"/>
      <c r="P271" s="301"/>
      <c r="Q271" s="301"/>
      <c r="R271" s="301"/>
      <c r="S271" s="301"/>
      <c r="T271" s="301"/>
      <c r="U271" s="301"/>
      <c r="V271" s="301"/>
      <c r="W271" s="323"/>
      <c r="X271" s="323"/>
      <c r="Y271" s="323"/>
      <c r="Z271" s="301"/>
      <c r="AA271" s="301"/>
      <c r="AB271" s="301"/>
      <c r="AC271" s="301"/>
      <c r="AD271" s="301"/>
      <c r="AE271" s="301"/>
      <c r="AF271" s="301"/>
      <c r="AG271" s="301"/>
      <c r="AH271" s="301"/>
      <c r="AI271" s="301"/>
      <c r="AJ271" s="301"/>
      <c r="AK271" s="301"/>
      <c r="AL271" s="301"/>
      <c r="AM271" s="301"/>
      <c r="AN271" s="301"/>
      <c r="AO271" s="301"/>
      <c r="AP271" s="301"/>
      <c r="AQ271" s="301"/>
      <c r="AR271" s="301"/>
      <c r="AS271" s="301"/>
      <c r="AT271" s="301"/>
      <c r="AU271" s="301"/>
      <c r="AV271" s="301"/>
      <c r="AW271" s="301"/>
      <c r="AX271" s="301"/>
      <c r="AY271" s="301"/>
      <c r="AZ271" s="301"/>
      <c r="BA271" s="301"/>
      <c r="BB271" s="301"/>
      <c r="BC271" s="301"/>
      <c r="BD271" s="301"/>
      <c r="BE271" s="293"/>
    </row>
    <row r="272" spans="1:68">
      <c r="C272" s="113"/>
      <c r="D272" s="294"/>
      <c r="E272" s="350"/>
      <c r="F272" s="350"/>
      <c r="G272" s="350"/>
      <c r="H272" s="350"/>
      <c r="I272" s="350"/>
      <c r="J272" s="350"/>
      <c r="K272" s="350"/>
      <c r="L272" s="350"/>
      <c r="M272" s="350"/>
      <c r="N272" s="350"/>
      <c r="O272" s="350"/>
      <c r="P272" s="350"/>
      <c r="Q272" s="350"/>
      <c r="R272" s="350"/>
      <c r="S272" s="350"/>
      <c r="T272" s="350"/>
      <c r="U272" s="350"/>
      <c r="V272" s="350"/>
      <c r="W272" s="351"/>
      <c r="X272" s="351"/>
      <c r="Y272" s="351"/>
      <c r="Z272" s="350"/>
      <c r="AA272" s="350"/>
      <c r="AB272" s="350"/>
      <c r="AC272" s="350"/>
      <c r="AD272" s="350"/>
      <c r="AE272" s="350"/>
      <c r="AF272" s="350"/>
      <c r="AG272" s="350"/>
      <c r="AH272" s="350"/>
      <c r="AI272" s="350"/>
      <c r="AJ272" s="350"/>
      <c r="AK272" s="350"/>
      <c r="AL272" s="350"/>
      <c r="AM272" s="350"/>
      <c r="AN272" s="350"/>
      <c r="AO272" s="350"/>
      <c r="AP272" s="350"/>
      <c r="AQ272" s="350"/>
      <c r="AR272" s="350"/>
      <c r="AS272" s="350"/>
      <c r="AT272" s="350"/>
      <c r="AU272" s="350"/>
      <c r="AV272" s="350"/>
      <c r="AW272" s="350"/>
      <c r="AX272" s="350"/>
      <c r="AY272" s="350"/>
      <c r="AZ272" s="350"/>
      <c r="BA272" s="350"/>
      <c r="BB272" s="350"/>
      <c r="BC272" s="350"/>
      <c r="BD272" s="350"/>
      <c r="BE272" s="293"/>
      <c r="BI272" s="294"/>
      <c r="BJ272" s="294"/>
      <c r="BK272" s="294"/>
      <c r="BL272" s="294"/>
      <c r="BM272" s="294"/>
      <c r="BN272" s="294"/>
      <c r="BO272" s="294"/>
      <c r="BP272" s="294"/>
    </row>
    <row r="273" spans="1:72">
      <c r="A273" s="4" t="s">
        <v>173</v>
      </c>
      <c r="B273" s="4" t="s">
        <v>174</v>
      </c>
      <c r="C273" s="115"/>
      <c r="E273" s="314" t="e">
        <f t="shared" ref="E273:AJ273" si="60">IF(AND(AND(AND(E36,E37),E39),E40&gt;0),(E36*0.0499)+(E37*0.0822)+(E39*0.0435)+(E40*0.0256),"uncalcuable")</f>
        <v>#VALUE!</v>
      </c>
      <c r="F273" s="314">
        <f t="shared" si="60"/>
        <v>7.73264</v>
      </c>
      <c r="G273" s="314">
        <f t="shared" si="60"/>
        <v>7.7658999999999994</v>
      </c>
      <c r="H273" s="314">
        <f t="shared" si="60"/>
        <v>7.686259999999999</v>
      </c>
      <c r="I273" s="314">
        <f t="shared" si="60"/>
        <v>7.8142199999999988</v>
      </c>
      <c r="J273" s="314">
        <f t="shared" si="60"/>
        <v>7.8618800000000002</v>
      </c>
      <c r="K273" s="314" t="e">
        <f t="shared" si="60"/>
        <v>#VALUE!</v>
      </c>
      <c r="L273" s="314">
        <f t="shared" si="60"/>
        <v>7.9258400000000009</v>
      </c>
      <c r="M273" s="314" t="e">
        <f t="shared" si="60"/>
        <v>#VALUE!</v>
      </c>
      <c r="N273" s="314">
        <f t="shared" si="60"/>
        <v>8.0461000000000009</v>
      </c>
      <c r="O273" s="314">
        <f t="shared" si="60"/>
        <v>8.1717999999999993</v>
      </c>
      <c r="P273" s="314">
        <f t="shared" si="60"/>
        <v>8.0077200000000008</v>
      </c>
      <c r="Q273" s="314">
        <f t="shared" si="60"/>
        <v>7.8769</v>
      </c>
      <c r="R273" s="314">
        <f t="shared" si="60"/>
        <v>7.8756199999999996</v>
      </c>
      <c r="S273" s="314">
        <f t="shared" si="60"/>
        <v>7.7220799999999992</v>
      </c>
      <c r="T273" s="314">
        <f t="shared" si="60"/>
        <v>7.7930799999999989</v>
      </c>
      <c r="U273" s="314">
        <f t="shared" si="60"/>
        <v>8.1769199999999991</v>
      </c>
      <c r="V273" s="314">
        <f t="shared" si="60"/>
        <v>6.0824800000000003</v>
      </c>
      <c r="W273" s="314">
        <f t="shared" si="60"/>
        <v>5.8966399999999997</v>
      </c>
      <c r="X273" s="314">
        <f t="shared" si="60"/>
        <v>6.4349599999999993</v>
      </c>
      <c r="Y273" s="314">
        <f t="shared" si="60"/>
        <v>6.3306999999999993</v>
      </c>
      <c r="Z273" s="314">
        <f t="shared" si="60"/>
        <v>6.4077799999999998</v>
      </c>
      <c r="AA273" s="314">
        <f t="shared" si="60"/>
        <v>6.4688799999999995</v>
      </c>
      <c r="AB273" s="314">
        <f t="shared" si="60"/>
        <v>6.5497999999999994</v>
      </c>
      <c r="AC273" s="314">
        <f t="shared" si="60"/>
        <v>6.40266</v>
      </c>
      <c r="AD273" s="314">
        <f t="shared" si="60"/>
        <v>6.1707600000000005</v>
      </c>
      <c r="AE273" s="314" t="str">
        <f t="shared" si="60"/>
        <v>uncalcuable</v>
      </c>
      <c r="AF273" s="314">
        <f t="shared" si="60"/>
        <v>6.1246999999999998</v>
      </c>
      <c r="AG273" s="314">
        <f t="shared" si="60"/>
        <v>5.9753400000000001</v>
      </c>
      <c r="AH273" s="314">
        <f t="shared" si="60"/>
        <v>5.6685800000000004</v>
      </c>
      <c r="AI273" s="314">
        <f t="shared" si="60"/>
        <v>5.9241400000000004</v>
      </c>
      <c r="AJ273" s="314">
        <f t="shared" si="60"/>
        <v>5.6087599999999993</v>
      </c>
      <c r="AK273" s="314">
        <f t="shared" ref="AK273:BD273" si="61">IF(AND(AND(AND(AK36,AK37),AK39),AK40&gt;0),(AK36*0.0499)+(AK37*0.0822)+(AK39*0.0435)+(AK40*0.0256),"uncalcuable")</f>
        <v>5.548</v>
      </c>
      <c r="AL273" s="314">
        <f t="shared" si="61"/>
        <v>5.6061999999999994</v>
      </c>
      <c r="AM273" s="314">
        <f t="shared" si="61"/>
        <v>5.5975599999999988</v>
      </c>
      <c r="AN273" s="314">
        <f t="shared" si="61"/>
        <v>5.6471399999999994</v>
      </c>
      <c r="AO273" s="314">
        <f t="shared" si="61"/>
        <v>5.5601399999999996</v>
      </c>
      <c r="AP273" s="314">
        <f t="shared" si="61"/>
        <v>5.5140799999999999</v>
      </c>
      <c r="AQ273" s="314">
        <f t="shared" si="61"/>
        <v>5.5566199999999997</v>
      </c>
      <c r="AR273" s="314">
        <f t="shared" si="61"/>
        <v>5.6461799999999993</v>
      </c>
      <c r="AS273" s="314">
        <f t="shared" si="61"/>
        <v>5.6177199999999994</v>
      </c>
      <c r="AT273" s="314">
        <f t="shared" si="61"/>
        <v>5.7434199999999995</v>
      </c>
      <c r="AU273" s="314">
        <f t="shared" si="61"/>
        <v>5.7610199999999994</v>
      </c>
      <c r="AV273" s="314">
        <f t="shared" si="61"/>
        <v>5.7446999999999999</v>
      </c>
      <c r="AW273" s="314">
        <f t="shared" si="61"/>
        <v>5.8380999999999998</v>
      </c>
      <c r="AX273" s="314">
        <f t="shared" si="61"/>
        <v>5.7622999999999998</v>
      </c>
      <c r="AY273" s="314">
        <f t="shared" si="61"/>
        <v>5.7946</v>
      </c>
      <c r="AZ273" s="314">
        <f t="shared" si="61"/>
        <v>5.8121999999999998</v>
      </c>
      <c r="BA273" s="314">
        <f t="shared" si="61"/>
        <v>6.2008199999999993</v>
      </c>
      <c r="BB273" s="314">
        <f t="shared" si="61"/>
        <v>6.31182</v>
      </c>
      <c r="BC273" s="314">
        <f t="shared" si="61"/>
        <v>6.5197199999999995</v>
      </c>
      <c r="BD273" s="314" t="e">
        <f t="shared" si="61"/>
        <v>#VALUE!</v>
      </c>
      <c r="BE273" s="293"/>
      <c r="BF273" s="8">
        <f>COUNT(E273:BD273)</f>
        <v>47</v>
      </c>
      <c r="BH273" s="116"/>
      <c r="BI273" s="116"/>
      <c r="BJ273" s="116"/>
      <c r="BK273" s="116"/>
      <c r="BL273" s="116"/>
      <c r="BM273" s="116"/>
      <c r="BN273" s="116"/>
      <c r="BO273" s="116"/>
      <c r="BP273" s="116"/>
    </row>
    <row r="274" spans="1:72">
      <c r="A274" s="4"/>
      <c r="B274" s="4"/>
      <c r="C274" s="115"/>
      <c r="E274" s="301"/>
      <c r="F274" s="301"/>
      <c r="G274" s="301"/>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E274" s="301"/>
      <c r="AF274" s="301"/>
      <c r="AG274" s="301"/>
      <c r="AH274" s="301"/>
      <c r="AI274" s="301"/>
      <c r="AJ274" s="301"/>
      <c r="AK274" s="301"/>
      <c r="AL274" s="301"/>
      <c r="AM274" s="301"/>
      <c r="AN274" s="301"/>
      <c r="AO274" s="301"/>
      <c r="AP274" s="301"/>
      <c r="AQ274" s="301"/>
      <c r="AR274" s="301"/>
      <c r="AS274" s="301"/>
      <c r="AT274" s="301"/>
      <c r="AU274" s="301"/>
      <c r="AV274" s="301"/>
      <c r="AW274" s="301"/>
      <c r="AX274" s="301"/>
      <c r="AY274" s="301"/>
      <c r="AZ274" s="301"/>
      <c r="BA274" s="301"/>
      <c r="BB274" s="301"/>
      <c r="BC274" s="301"/>
      <c r="BD274" s="301"/>
      <c r="BE274" s="293"/>
      <c r="BH274" s="31"/>
      <c r="BI274" s="117"/>
      <c r="BJ274" s="117"/>
      <c r="BK274" s="117"/>
      <c r="BL274" s="117"/>
      <c r="BM274" s="117"/>
      <c r="BN274" s="117"/>
      <c r="BO274" s="117"/>
      <c r="BP274" s="117"/>
    </row>
    <row r="275" spans="1:72">
      <c r="A275" s="118" t="s">
        <v>175</v>
      </c>
      <c r="B275" s="4" t="s">
        <v>174</v>
      </c>
      <c r="C275" s="115"/>
      <c r="E275" s="314" t="e">
        <f t="shared" ref="E275:AJ275" si="62">IF(AND(AND(E41,E42),E34&gt;0),(E41*0.0208)+(E42*0.0282)+(E34*0.0164)+(E35*0.0333),"uncalcuable")</f>
        <v>#VALUE!</v>
      </c>
      <c r="F275" s="314">
        <f t="shared" si="62"/>
        <v>7.5812800000000005</v>
      </c>
      <c r="G275" s="314">
        <f t="shared" si="62"/>
        <v>7.5784600000000006</v>
      </c>
      <c r="H275" s="314">
        <f t="shared" si="62"/>
        <v>7.6068600000000002</v>
      </c>
      <c r="I275" s="314">
        <f t="shared" si="62"/>
        <v>7.7105200000000007</v>
      </c>
      <c r="J275" s="314">
        <f t="shared" si="62"/>
        <v>7.7013400000000001</v>
      </c>
      <c r="K275" s="314" t="e">
        <f t="shared" si="62"/>
        <v>#VALUE!</v>
      </c>
      <c r="L275" s="314">
        <f t="shared" si="62"/>
        <v>7.8233600000000001</v>
      </c>
      <c r="M275" s="314" t="e">
        <f t="shared" si="62"/>
        <v>#VALUE!</v>
      </c>
      <c r="N275" s="314">
        <f t="shared" si="62"/>
        <v>8.0090199999999996</v>
      </c>
      <c r="O275" s="314">
        <f t="shared" si="62"/>
        <v>8.0282400000000003</v>
      </c>
      <c r="P275" s="314">
        <f t="shared" si="62"/>
        <v>7.9481999999999999</v>
      </c>
      <c r="Q275" s="314">
        <f t="shared" si="62"/>
        <v>7.9201800000000002</v>
      </c>
      <c r="R275" s="314">
        <f t="shared" si="62"/>
        <v>7.6680600000000005</v>
      </c>
      <c r="S275" s="314">
        <f t="shared" si="62"/>
        <v>7.6192400000000005</v>
      </c>
      <c r="T275" s="314">
        <f t="shared" si="62"/>
        <v>7.5901200000000006</v>
      </c>
      <c r="U275" s="314">
        <f t="shared" si="62"/>
        <v>7.9441800000000002</v>
      </c>
      <c r="V275" s="314">
        <f t="shared" si="62"/>
        <v>5.9506399999999999</v>
      </c>
      <c r="W275" s="314">
        <f t="shared" si="62"/>
        <v>6.0374200000000009</v>
      </c>
      <c r="X275" s="314">
        <f t="shared" si="62"/>
        <v>6.1463400000000004</v>
      </c>
      <c r="Y275" s="314">
        <f t="shared" si="62"/>
        <v>6.25</v>
      </c>
      <c r="Z275" s="314">
        <f t="shared" si="62"/>
        <v>6.3748400000000007</v>
      </c>
      <c r="AA275" s="314">
        <f t="shared" si="62"/>
        <v>6.4205000000000005</v>
      </c>
      <c r="AB275" s="314">
        <f t="shared" si="62"/>
        <v>6.4867200000000009</v>
      </c>
      <c r="AC275" s="314">
        <f t="shared" si="62"/>
        <v>6.3198200000000009</v>
      </c>
      <c r="AD275" s="314">
        <f t="shared" si="62"/>
        <v>6.1086599999999995</v>
      </c>
      <c r="AE275" s="314" t="e">
        <f t="shared" si="62"/>
        <v>#VALUE!</v>
      </c>
      <c r="AF275" s="314">
        <f t="shared" si="62"/>
        <v>6.0524800000000001</v>
      </c>
      <c r="AG275" s="314">
        <f t="shared" si="62"/>
        <v>6.0285000000000002</v>
      </c>
      <c r="AH275" s="314">
        <f t="shared" si="62"/>
        <v>5.5009399999999999</v>
      </c>
      <c r="AI275" s="314">
        <f t="shared" si="62"/>
        <v>5.6266000000000007</v>
      </c>
      <c r="AJ275" s="314">
        <f t="shared" si="62"/>
        <v>5.4310400000000003</v>
      </c>
      <c r="AK275" s="314">
        <f t="shared" ref="AK275:BD275" si="63">IF(AND(AND(AK41,AK42),AK34&gt;0),(AK41*0.0208)+(AK42*0.0282)+(AK34*0.0164)+(AK35*0.0333),"uncalcuable")</f>
        <v>5.4107599999999998</v>
      </c>
      <c r="AL275" s="314">
        <f t="shared" si="63"/>
        <v>5.4348200000000002</v>
      </c>
      <c r="AM275" s="314">
        <f t="shared" si="63"/>
        <v>5.5260400000000001</v>
      </c>
      <c r="AN275" s="314">
        <f t="shared" si="63"/>
        <v>5.5004599999999995</v>
      </c>
      <c r="AO275" s="314">
        <f t="shared" si="63"/>
        <v>5.5358999999999998</v>
      </c>
      <c r="AP275" s="314">
        <f t="shared" si="63"/>
        <v>5.4468199999999998</v>
      </c>
      <c r="AQ275" s="314">
        <f t="shared" si="63"/>
        <v>5.5130600000000003</v>
      </c>
      <c r="AR275" s="314">
        <f t="shared" si="63"/>
        <v>5.5646200000000006</v>
      </c>
      <c r="AS275" s="314">
        <f t="shared" si="63"/>
        <v>5.4927599999999996</v>
      </c>
      <c r="AT275" s="314">
        <f t="shared" si="63"/>
        <v>5.7220000000000004</v>
      </c>
      <c r="AU275" s="314">
        <f t="shared" si="63"/>
        <v>5.7102200000000005</v>
      </c>
      <c r="AV275" s="314">
        <f t="shared" si="63"/>
        <v>5.6450799999999992</v>
      </c>
      <c r="AW275" s="314">
        <f t="shared" si="63"/>
        <v>5.7338000000000005</v>
      </c>
      <c r="AX275" s="314">
        <f t="shared" si="63"/>
        <v>5.6865600000000001</v>
      </c>
      <c r="AY275" s="314">
        <f t="shared" si="63"/>
        <v>5.8022200000000002</v>
      </c>
      <c r="AZ275" s="314">
        <f t="shared" si="63"/>
        <v>5.7949999999999999</v>
      </c>
      <c r="BA275" s="314">
        <f t="shared" si="63"/>
        <v>6.065100000000001</v>
      </c>
      <c r="BB275" s="314">
        <f t="shared" si="63"/>
        <v>6.2343600000000006</v>
      </c>
      <c r="BC275" s="314">
        <f t="shared" si="63"/>
        <v>6.3635999999999999</v>
      </c>
      <c r="BD275" s="314" t="e">
        <f t="shared" si="63"/>
        <v>#VALUE!</v>
      </c>
      <c r="BE275" s="293"/>
      <c r="BF275" s="8">
        <f>COUNT(E275:BD275)</f>
        <v>47</v>
      </c>
      <c r="BH275" s="116"/>
      <c r="BI275" s="116"/>
      <c r="BJ275" s="116"/>
      <c r="BK275" s="116"/>
      <c r="BL275" s="116"/>
      <c r="BM275" s="116"/>
      <c r="BN275" s="116"/>
      <c r="BO275" s="116"/>
      <c r="BP275" s="116"/>
    </row>
    <row r="276" spans="1:72">
      <c r="A276" s="4"/>
      <c r="B276" s="4"/>
      <c r="C276" s="115"/>
      <c r="E276" s="301"/>
      <c r="F276" s="301"/>
      <c r="G276" s="301"/>
      <c r="H276" s="301"/>
      <c r="I276" s="301"/>
      <c r="J276" s="301"/>
      <c r="K276" s="301"/>
      <c r="L276" s="301"/>
      <c r="M276" s="301"/>
      <c r="N276" s="301"/>
      <c r="O276" s="301"/>
      <c r="P276" s="301"/>
      <c r="Q276" s="301"/>
      <c r="R276" s="301"/>
      <c r="S276" s="301"/>
      <c r="T276" s="301"/>
      <c r="U276" s="301"/>
      <c r="V276" s="301"/>
      <c r="W276" s="301"/>
      <c r="X276" s="301"/>
      <c r="Y276" s="301"/>
      <c r="Z276" s="301"/>
      <c r="AA276" s="301"/>
      <c r="AB276" s="301"/>
      <c r="AC276" s="301"/>
      <c r="AD276" s="301"/>
      <c r="AE276" s="301"/>
      <c r="AF276" s="301"/>
      <c r="AG276" s="301"/>
      <c r="AH276" s="301"/>
      <c r="AI276" s="301"/>
      <c r="AJ276" s="301"/>
      <c r="AK276" s="301"/>
      <c r="AL276" s="301"/>
      <c r="AM276" s="301"/>
      <c r="AN276" s="301"/>
      <c r="AO276" s="301"/>
      <c r="AP276" s="301"/>
      <c r="AQ276" s="301"/>
      <c r="AR276" s="301"/>
      <c r="AS276" s="301"/>
      <c r="AT276" s="301"/>
      <c r="AU276" s="301"/>
      <c r="AV276" s="301"/>
      <c r="AW276" s="301"/>
      <c r="AX276" s="301"/>
      <c r="AY276" s="301"/>
      <c r="AZ276" s="301"/>
      <c r="BA276" s="301"/>
      <c r="BB276" s="301"/>
      <c r="BC276" s="301"/>
      <c r="BD276" s="301"/>
      <c r="BE276" s="293"/>
      <c r="BH276" s="31"/>
      <c r="BI276" s="117"/>
      <c r="BJ276" s="117"/>
      <c r="BK276" s="117"/>
      <c r="BL276" s="117"/>
      <c r="BM276" s="117"/>
      <c r="BN276" s="117"/>
      <c r="BO276" s="117"/>
      <c r="BP276" s="117"/>
    </row>
    <row r="277" spans="1:72">
      <c r="A277" s="118" t="s">
        <v>176</v>
      </c>
      <c r="B277" s="4"/>
      <c r="C277" s="11" t="s">
        <v>16</v>
      </c>
      <c r="E277" s="314" t="e">
        <f t="shared" ref="E277:AJ277" si="64">IF(AND(E275,E273&gt;0),ABS(E275-E273),"uncalcuable")</f>
        <v>#VALUE!</v>
      </c>
      <c r="F277" s="314">
        <f t="shared" si="64"/>
        <v>0.15135999999999949</v>
      </c>
      <c r="G277" s="314">
        <f t="shared" si="64"/>
        <v>0.18743999999999872</v>
      </c>
      <c r="H277" s="314">
        <f t="shared" si="64"/>
        <v>7.9399999999998805E-2</v>
      </c>
      <c r="I277" s="314">
        <f t="shared" si="64"/>
        <v>0.10369999999999813</v>
      </c>
      <c r="J277" s="314">
        <f t="shared" si="64"/>
        <v>0.16054000000000013</v>
      </c>
      <c r="K277" s="314" t="e">
        <f t="shared" si="64"/>
        <v>#VALUE!</v>
      </c>
      <c r="L277" s="314">
        <f t="shared" si="64"/>
        <v>0.10248000000000079</v>
      </c>
      <c r="M277" s="314" t="e">
        <f t="shared" si="64"/>
        <v>#VALUE!</v>
      </c>
      <c r="N277" s="314">
        <f t="shared" si="64"/>
        <v>3.7080000000001334E-2</v>
      </c>
      <c r="O277" s="314">
        <f t="shared" si="64"/>
        <v>0.14355999999999902</v>
      </c>
      <c r="P277" s="314">
        <f t="shared" si="64"/>
        <v>5.9520000000000906E-2</v>
      </c>
      <c r="Q277" s="314">
        <f t="shared" si="64"/>
        <v>4.3280000000000207E-2</v>
      </c>
      <c r="R277" s="314">
        <f t="shared" si="64"/>
        <v>0.20755999999999908</v>
      </c>
      <c r="S277" s="314">
        <f t="shared" si="64"/>
        <v>0.10283999999999871</v>
      </c>
      <c r="T277" s="314">
        <f t="shared" si="64"/>
        <v>0.20295999999999825</v>
      </c>
      <c r="U277" s="314">
        <f t="shared" si="64"/>
        <v>0.23273999999999884</v>
      </c>
      <c r="V277" s="314">
        <f t="shared" si="64"/>
        <v>0.1318400000000004</v>
      </c>
      <c r="W277" s="314">
        <f t="shared" si="64"/>
        <v>0.14078000000000124</v>
      </c>
      <c r="X277" s="314">
        <f t="shared" si="64"/>
        <v>0.28861999999999899</v>
      </c>
      <c r="Y277" s="314">
        <f t="shared" si="64"/>
        <v>8.0699999999999328E-2</v>
      </c>
      <c r="Z277" s="314">
        <f t="shared" si="64"/>
        <v>3.2939999999999081E-2</v>
      </c>
      <c r="AA277" s="314">
        <f t="shared" si="64"/>
        <v>4.8379999999998979E-2</v>
      </c>
      <c r="AB277" s="314">
        <f t="shared" si="64"/>
        <v>6.3079999999998471E-2</v>
      </c>
      <c r="AC277" s="314">
        <f t="shared" si="64"/>
        <v>8.2839999999999137E-2</v>
      </c>
      <c r="AD277" s="314">
        <f t="shared" si="64"/>
        <v>6.2100000000000932E-2</v>
      </c>
      <c r="AE277" s="314" t="e">
        <f t="shared" si="64"/>
        <v>#VALUE!</v>
      </c>
      <c r="AF277" s="314">
        <f t="shared" si="64"/>
        <v>7.2219999999999729E-2</v>
      </c>
      <c r="AG277" s="314">
        <f t="shared" si="64"/>
        <v>5.3160000000000096E-2</v>
      </c>
      <c r="AH277" s="314">
        <f t="shared" si="64"/>
        <v>0.16764000000000046</v>
      </c>
      <c r="AI277" s="314">
        <f t="shared" si="64"/>
        <v>0.29753999999999969</v>
      </c>
      <c r="AJ277" s="314">
        <f t="shared" si="64"/>
        <v>0.17771999999999899</v>
      </c>
      <c r="AK277" s="314">
        <f t="shared" ref="AK277:BD277" si="65">IF(AND(AK275,AK273&gt;0),ABS(AK275-AK273),"uncalcuable")</f>
        <v>0.13724000000000025</v>
      </c>
      <c r="AL277" s="314">
        <f t="shared" si="65"/>
        <v>0.1713799999999992</v>
      </c>
      <c r="AM277" s="314">
        <f t="shared" si="65"/>
        <v>7.1519999999998696E-2</v>
      </c>
      <c r="AN277" s="314">
        <f t="shared" si="65"/>
        <v>0.14667999999999992</v>
      </c>
      <c r="AO277" s="314">
        <f t="shared" si="65"/>
        <v>2.4239999999999817E-2</v>
      </c>
      <c r="AP277" s="314">
        <f t="shared" si="65"/>
        <v>6.7260000000000097E-2</v>
      </c>
      <c r="AQ277" s="314">
        <f t="shared" si="65"/>
        <v>4.3559999999999377E-2</v>
      </c>
      <c r="AR277" s="314">
        <f t="shared" si="65"/>
        <v>8.1559999999998745E-2</v>
      </c>
      <c r="AS277" s="314">
        <f t="shared" si="65"/>
        <v>0.12495999999999974</v>
      </c>
      <c r="AT277" s="314">
        <f t="shared" si="65"/>
        <v>2.1419999999999106E-2</v>
      </c>
      <c r="AU277" s="314">
        <f t="shared" si="65"/>
        <v>5.0799999999998846E-2</v>
      </c>
      <c r="AV277" s="314">
        <f t="shared" si="65"/>
        <v>9.9620000000000708E-2</v>
      </c>
      <c r="AW277" s="314">
        <f t="shared" si="65"/>
        <v>0.10429999999999939</v>
      </c>
      <c r="AX277" s="314">
        <f t="shared" si="65"/>
        <v>7.5739999999999696E-2</v>
      </c>
      <c r="AY277" s="314">
        <f t="shared" si="65"/>
        <v>7.6200000000001822E-3</v>
      </c>
      <c r="AZ277" s="314">
        <f t="shared" si="65"/>
        <v>1.7199999999999882E-2</v>
      </c>
      <c r="BA277" s="314">
        <f t="shared" si="65"/>
        <v>0.13571999999999829</v>
      </c>
      <c r="BB277" s="314">
        <f t="shared" si="65"/>
        <v>7.7459999999999418E-2</v>
      </c>
      <c r="BC277" s="314">
        <f t="shared" si="65"/>
        <v>0.15611999999999959</v>
      </c>
      <c r="BD277" s="314" t="e">
        <f t="shared" si="65"/>
        <v>#VALUE!</v>
      </c>
      <c r="BE277" s="293"/>
      <c r="BF277" s="8">
        <f>COUNT(E277:BD277)</f>
        <v>47</v>
      </c>
      <c r="BH277" s="116"/>
      <c r="BI277" s="116"/>
      <c r="BJ277" s="116"/>
      <c r="BK277" s="116"/>
      <c r="BL277" s="116"/>
      <c r="BM277" s="116"/>
      <c r="BN277" s="116"/>
      <c r="BO277" s="116"/>
      <c r="BP277" s="116"/>
    </row>
    <row r="278" spans="1:72">
      <c r="A278" s="4"/>
      <c r="B278" s="4"/>
      <c r="C278" s="115"/>
      <c r="E278" s="301"/>
      <c r="F278" s="301"/>
      <c r="G278" s="301"/>
      <c r="H278" s="301"/>
      <c r="I278" s="301"/>
      <c r="J278" s="301"/>
      <c r="K278" s="301"/>
      <c r="L278" s="301"/>
      <c r="M278" s="301"/>
      <c r="N278" s="301"/>
      <c r="O278" s="301"/>
      <c r="P278" s="301"/>
      <c r="Q278" s="301"/>
      <c r="R278" s="301"/>
      <c r="S278" s="301"/>
      <c r="T278" s="301"/>
      <c r="U278" s="301"/>
      <c r="V278" s="301"/>
      <c r="W278" s="301"/>
      <c r="X278" s="301"/>
      <c r="Y278" s="301"/>
      <c r="Z278" s="301"/>
      <c r="AA278" s="301"/>
      <c r="AB278" s="301"/>
      <c r="AC278" s="301"/>
      <c r="AD278" s="301"/>
      <c r="AE278" s="301"/>
      <c r="AF278" s="301"/>
      <c r="AG278" s="301"/>
      <c r="AH278" s="301"/>
      <c r="AI278" s="301"/>
      <c r="AJ278" s="301"/>
      <c r="AK278" s="301"/>
      <c r="AL278" s="301"/>
      <c r="AM278" s="301"/>
      <c r="AN278" s="301"/>
      <c r="AO278" s="301"/>
      <c r="AP278" s="301"/>
      <c r="AQ278" s="301"/>
      <c r="AR278" s="301"/>
      <c r="AS278" s="301"/>
      <c r="AT278" s="301"/>
      <c r="AU278" s="301"/>
      <c r="AV278" s="301"/>
      <c r="AW278" s="301"/>
      <c r="AX278" s="301"/>
      <c r="AY278" s="301"/>
      <c r="AZ278" s="301"/>
      <c r="BA278" s="301"/>
      <c r="BB278" s="301"/>
      <c r="BC278" s="301"/>
      <c r="BD278" s="301"/>
      <c r="BE278" s="293"/>
      <c r="BF278" s="294"/>
      <c r="BH278" s="31"/>
      <c r="BI278" s="117"/>
      <c r="BJ278" s="117"/>
      <c r="BK278" s="117"/>
      <c r="BL278" s="117"/>
      <c r="BM278" s="117"/>
      <c r="BN278" s="117"/>
      <c r="BO278" s="117"/>
      <c r="BP278" s="117"/>
    </row>
    <row r="279" spans="1:72">
      <c r="A279" s="118" t="s">
        <v>177</v>
      </c>
      <c r="B279" s="4"/>
      <c r="C279" s="115"/>
      <c r="E279" s="314" t="e">
        <f t="shared" ref="E279:AJ279" si="66">IF(AND(E273,E275&gt;0),(E277*100/(0.5*(E273+E275))),"uncalcuable")</f>
        <v>#VALUE!</v>
      </c>
      <c r="F279" s="314">
        <f t="shared" si="66"/>
        <v>1.9767636242059448</v>
      </c>
      <c r="G279" s="314">
        <f t="shared" si="66"/>
        <v>2.4431126485561956</v>
      </c>
      <c r="H279" s="314">
        <f t="shared" si="66"/>
        <v>1.038375426335487</v>
      </c>
      <c r="I279" s="314">
        <f t="shared" si="66"/>
        <v>1.3359321959658987</v>
      </c>
      <c r="J279" s="314">
        <f t="shared" si="66"/>
        <v>2.0630692106132291</v>
      </c>
      <c r="K279" s="314" t="e">
        <f t="shared" si="66"/>
        <v>#VALUE!</v>
      </c>
      <c r="L279" s="314">
        <f t="shared" si="66"/>
        <v>1.3013994361618466</v>
      </c>
      <c r="M279" s="314" t="e">
        <f t="shared" si="66"/>
        <v>#VALUE!</v>
      </c>
      <c r="N279" s="314">
        <f t="shared" si="66"/>
        <v>0.46190872444430597</v>
      </c>
      <c r="O279" s="314">
        <f t="shared" si="66"/>
        <v>1.7723413028609685</v>
      </c>
      <c r="P279" s="314">
        <f t="shared" si="66"/>
        <v>0.74605538257901649</v>
      </c>
      <c r="Q279" s="314">
        <f t="shared" si="66"/>
        <v>0.54794936785785986</v>
      </c>
      <c r="R279" s="314">
        <f t="shared" si="66"/>
        <v>2.6706674352534159</v>
      </c>
      <c r="S279" s="314">
        <f t="shared" si="66"/>
        <v>1.3406929781791752</v>
      </c>
      <c r="T279" s="314">
        <f t="shared" si="66"/>
        <v>2.638722762494127</v>
      </c>
      <c r="U279" s="314">
        <f t="shared" si="66"/>
        <v>2.8873960213632923</v>
      </c>
      <c r="V279" s="314">
        <f t="shared" si="66"/>
        <v>2.1912853856688939</v>
      </c>
      <c r="W279" s="314">
        <f t="shared" si="66"/>
        <v>2.3592976740522711</v>
      </c>
      <c r="X279" s="314">
        <f t="shared" si="66"/>
        <v>4.5880791333168913</v>
      </c>
      <c r="Y279" s="314">
        <f t="shared" si="66"/>
        <v>1.2829174847186458</v>
      </c>
      <c r="Z279" s="314">
        <f t="shared" si="66"/>
        <v>0.51538729931733995</v>
      </c>
      <c r="AA279" s="314">
        <f t="shared" si="66"/>
        <v>0.75069553384257404</v>
      </c>
      <c r="AB279" s="314">
        <f t="shared" si="66"/>
        <v>0.96774292525917149</v>
      </c>
      <c r="AC279" s="314">
        <f t="shared" si="66"/>
        <v>1.3022618231665388</v>
      </c>
      <c r="AD279" s="314">
        <f t="shared" si="66"/>
        <v>1.0114484234597552</v>
      </c>
      <c r="AE279" s="314" t="e">
        <f t="shared" si="66"/>
        <v>#VALUE!</v>
      </c>
      <c r="AF279" s="314">
        <f t="shared" si="66"/>
        <v>1.1861531159102474</v>
      </c>
      <c r="AG279" s="314">
        <f t="shared" si="66"/>
        <v>0.88571657069737841</v>
      </c>
      <c r="AH279" s="314">
        <f t="shared" si="66"/>
        <v>3.0017404507982519</v>
      </c>
      <c r="AI279" s="314">
        <f t="shared" si="66"/>
        <v>5.151877715193999</v>
      </c>
      <c r="AJ279" s="314">
        <f t="shared" si="66"/>
        <v>3.2196235439047629</v>
      </c>
      <c r="AK279" s="314">
        <f t="shared" ref="AK279:BD279" si="67">IF(AND(AK273,AK275&gt;0),(AK277*100/(0.5*(AK273+AK275))),"uncalcuable")</f>
        <v>2.5046629363176174</v>
      </c>
      <c r="AL279" s="314">
        <f t="shared" si="67"/>
        <v>3.1044233232074427</v>
      </c>
      <c r="AM279" s="314">
        <f t="shared" si="67"/>
        <v>1.2859146319536607</v>
      </c>
      <c r="AN279" s="314">
        <f t="shared" si="67"/>
        <v>2.6315978327173553</v>
      </c>
      <c r="AO279" s="314">
        <f t="shared" si="67"/>
        <v>0.43691262828900795</v>
      </c>
      <c r="AP279" s="314">
        <f t="shared" si="67"/>
        <v>1.2272714831811276</v>
      </c>
      <c r="AQ279" s="314">
        <f t="shared" si="67"/>
        <v>0.78701462011547541</v>
      </c>
      <c r="AR279" s="314">
        <f t="shared" si="67"/>
        <v>1.4550255111142605</v>
      </c>
      <c r="AS279" s="314">
        <f t="shared" si="67"/>
        <v>2.2494077663611249</v>
      </c>
      <c r="AT279" s="314">
        <f t="shared" si="67"/>
        <v>0.37364527422456578</v>
      </c>
      <c r="AU279" s="314">
        <f t="shared" si="67"/>
        <v>0.88569326419809624</v>
      </c>
      <c r="AV279" s="314">
        <f t="shared" si="67"/>
        <v>1.7492875191619279</v>
      </c>
      <c r="AW279" s="314">
        <f t="shared" si="67"/>
        <v>1.8026426083875491</v>
      </c>
      <c r="AX279" s="314">
        <f t="shared" si="67"/>
        <v>1.3231011646574367</v>
      </c>
      <c r="AY279" s="314">
        <f t="shared" si="67"/>
        <v>0.13141533627322285</v>
      </c>
      <c r="AZ279" s="314">
        <f t="shared" si="67"/>
        <v>0.29636777172789103</v>
      </c>
      <c r="BA279" s="314">
        <f t="shared" si="67"/>
        <v>2.2129607889175582</v>
      </c>
      <c r="BB279" s="314">
        <f t="shared" si="67"/>
        <v>1.2347981616715116</v>
      </c>
      <c r="BC279" s="314">
        <f t="shared" si="67"/>
        <v>2.4235988860014284</v>
      </c>
      <c r="BD279" s="314" t="e">
        <f t="shared" si="67"/>
        <v>#VALUE!</v>
      </c>
      <c r="BE279" s="293"/>
      <c r="BF279" s="8">
        <f>COUNT(E279:BD279)</f>
        <v>47</v>
      </c>
      <c r="BH279" s="116"/>
      <c r="BI279" s="116"/>
      <c r="BJ279" s="116"/>
      <c r="BK279" s="116"/>
      <c r="BL279" s="116"/>
      <c r="BM279" s="116"/>
      <c r="BN279" s="116"/>
      <c r="BO279" s="116"/>
      <c r="BP279" s="116"/>
    </row>
    <row r="280" spans="1:72">
      <c r="A280" s="4"/>
      <c r="B280" s="4"/>
      <c r="C280" s="115"/>
      <c r="E280" s="301"/>
      <c r="F280" s="301"/>
      <c r="G280" s="301"/>
      <c r="H280" s="301"/>
      <c r="I280" s="301"/>
      <c r="J280" s="301"/>
      <c r="K280" s="301"/>
      <c r="L280" s="301"/>
      <c r="M280" s="301"/>
      <c r="N280" s="301"/>
      <c r="O280" s="301"/>
      <c r="P280" s="301"/>
      <c r="Q280" s="301"/>
      <c r="R280" s="301"/>
      <c r="S280" s="301"/>
      <c r="T280" s="301"/>
      <c r="U280" s="301"/>
      <c r="V280" s="301"/>
      <c r="W280" s="301"/>
      <c r="X280" s="301"/>
      <c r="Y280" s="301"/>
      <c r="Z280" s="301"/>
      <c r="AA280" s="301"/>
      <c r="AB280" s="301"/>
      <c r="AC280" s="301"/>
      <c r="AD280" s="301"/>
      <c r="AE280" s="301"/>
      <c r="AF280" s="301"/>
      <c r="AG280" s="301"/>
      <c r="AH280" s="301"/>
      <c r="AI280" s="301"/>
      <c r="AJ280" s="301"/>
      <c r="AK280" s="301"/>
      <c r="AL280" s="301"/>
      <c r="AM280" s="301"/>
      <c r="AN280" s="301"/>
      <c r="AO280" s="301"/>
      <c r="AP280" s="301"/>
      <c r="AQ280" s="301"/>
      <c r="AR280" s="301"/>
      <c r="AS280" s="301"/>
      <c r="AT280" s="301"/>
      <c r="AU280" s="301"/>
      <c r="AV280" s="301"/>
      <c r="AW280" s="301"/>
      <c r="AX280" s="301"/>
      <c r="AY280" s="301"/>
      <c r="AZ280" s="301"/>
      <c r="BA280" s="301"/>
      <c r="BB280" s="301"/>
      <c r="BC280" s="301"/>
      <c r="BD280" s="301"/>
      <c r="BE280" s="293"/>
      <c r="BI280" s="294"/>
      <c r="BJ280" s="294"/>
      <c r="BK280" s="294"/>
      <c r="BL280" s="294"/>
      <c r="BM280" s="294"/>
      <c r="BN280" s="294"/>
      <c r="BO280" s="294"/>
      <c r="BP280" s="294"/>
    </row>
    <row r="281" spans="1:72">
      <c r="A281" s="118" t="s">
        <v>178</v>
      </c>
      <c r="B281" s="4" t="s">
        <v>174</v>
      </c>
      <c r="C281" s="115"/>
      <c r="E281" s="314" t="e">
        <f t="shared" ref="E281:AJ281" si="68">IF(E275&gt;0,(0.1065+(0.0155*E275)),"uncalcuable")</f>
        <v>#VALUE!</v>
      </c>
      <c r="F281" s="314">
        <f t="shared" si="68"/>
        <v>0.22400984000000002</v>
      </c>
      <c r="G281" s="314">
        <f t="shared" si="68"/>
        <v>0.22396613000000001</v>
      </c>
      <c r="H281" s="314">
        <f t="shared" si="68"/>
        <v>0.22440632999999999</v>
      </c>
      <c r="I281" s="314">
        <f t="shared" si="68"/>
        <v>0.22601305999999999</v>
      </c>
      <c r="J281" s="314">
        <f t="shared" si="68"/>
        <v>0.22587077</v>
      </c>
      <c r="K281" s="314" t="e">
        <f t="shared" si="68"/>
        <v>#VALUE!</v>
      </c>
      <c r="L281" s="314">
        <f t="shared" si="68"/>
        <v>0.22776207999999998</v>
      </c>
      <c r="M281" s="314" t="e">
        <f t="shared" si="68"/>
        <v>#VALUE!</v>
      </c>
      <c r="N281" s="314">
        <f t="shared" si="68"/>
        <v>0.23063981</v>
      </c>
      <c r="O281" s="314">
        <f t="shared" si="68"/>
        <v>0.23093772000000001</v>
      </c>
      <c r="P281" s="314">
        <f t="shared" si="68"/>
        <v>0.22969709999999999</v>
      </c>
      <c r="Q281" s="314">
        <f t="shared" si="68"/>
        <v>0.22926278999999999</v>
      </c>
      <c r="R281" s="314">
        <f t="shared" si="68"/>
        <v>0.22535493000000001</v>
      </c>
      <c r="S281" s="314">
        <f t="shared" si="68"/>
        <v>0.22459822000000002</v>
      </c>
      <c r="T281" s="314">
        <f t="shared" si="68"/>
        <v>0.22414686</v>
      </c>
      <c r="U281" s="314">
        <f t="shared" si="68"/>
        <v>0.22963479000000001</v>
      </c>
      <c r="V281" s="314">
        <f t="shared" si="68"/>
        <v>0.19873491999999998</v>
      </c>
      <c r="W281" s="314">
        <f t="shared" si="68"/>
        <v>0.20008001000000003</v>
      </c>
      <c r="X281" s="314">
        <f t="shared" si="68"/>
        <v>0.20176827</v>
      </c>
      <c r="Y281" s="314">
        <f t="shared" si="68"/>
        <v>0.203375</v>
      </c>
      <c r="Z281" s="314">
        <f t="shared" si="68"/>
        <v>0.20531002000000001</v>
      </c>
      <c r="AA281" s="314">
        <f t="shared" si="68"/>
        <v>0.20601775</v>
      </c>
      <c r="AB281" s="314">
        <f t="shared" si="68"/>
        <v>0.20704416</v>
      </c>
      <c r="AC281" s="314">
        <f t="shared" si="68"/>
        <v>0.20445721</v>
      </c>
      <c r="AD281" s="314">
        <f t="shared" si="68"/>
        <v>0.20118422999999999</v>
      </c>
      <c r="AE281" s="314" t="e">
        <f t="shared" si="68"/>
        <v>#VALUE!</v>
      </c>
      <c r="AF281" s="314">
        <f t="shared" si="68"/>
        <v>0.20031344000000001</v>
      </c>
      <c r="AG281" s="314">
        <f t="shared" si="68"/>
        <v>0.19994175</v>
      </c>
      <c r="AH281" s="314">
        <f t="shared" si="68"/>
        <v>0.19176457</v>
      </c>
      <c r="AI281" s="314">
        <f t="shared" si="68"/>
        <v>0.1937123</v>
      </c>
      <c r="AJ281" s="314">
        <f t="shared" si="68"/>
        <v>0.19068111999999998</v>
      </c>
      <c r="AK281" s="314">
        <f t="shared" ref="AK281:BD281" si="69">IF(AK275&gt;0,(0.1065+(0.0155*AK275)),"uncalcuable")</f>
        <v>0.19036678000000001</v>
      </c>
      <c r="AL281" s="314">
        <f t="shared" si="69"/>
        <v>0.19073971000000001</v>
      </c>
      <c r="AM281" s="314">
        <f t="shared" si="69"/>
        <v>0.19215362</v>
      </c>
      <c r="AN281" s="314">
        <f t="shared" si="69"/>
        <v>0.19175713</v>
      </c>
      <c r="AO281" s="314">
        <f t="shared" si="69"/>
        <v>0.19230644999999999</v>
      </c>
      <c r="AP281" s="314">
        <f t="shared" si="69"/>
        <v>0.19092571</v>
      </c>
      <c r="AQ281" s="314">
        <f t="shared" si="69"/>
        <v>0.19195243000000001</v>
      </c>
      <c r="AR281" s="314">
        <f t="shared" si="69"/>
        <v>0.19275161000000002</v>
      </c>
      <c r="AS281" s="314">
        <f t="shared" si="69"/>
        <v>0.19163777999999998</v>
      </c>
      <c r="AT281" s="314">
        <f t="shared" si="69"/>
        <v>0.195191</v>
      </c>
      <c r="AU281" s="314">
        <f t="shared" si="69"/>
        <v>0.19500841000000002</v>
      </c>
      <c r="AV281" s="314">
        <f t="shared" si="69"/>
        <v>0.19399874</v>
      </c>
      <c r="AW281" s="314">
        <f t="shared" si="69"/>
        <v>0.19537389999999999</v>
      </c>
      <c r="AX281" s="314">
        <f t="shared" si="69"/>
        <v>0.19464167999999998</v>
      </c>
      <c r="AY281" s="314">
        <f t="shared" si="69"/>
        <v>0.19643441</v>
      </c>
      <c r="AZ281" s="314">
        <f t="shared" si="69"/>
        <v>0.19632250000000001</v>
      </c>
      <c r="BA281" s="314">
        <f t="shared" si="69"/>
        <v>0.20050905000000002</v>
      </c>
      <c r="BB281" s="314">
        <f t="shared" si="69"/>
        <v>0.20313258000000001</v>
      </c>
      <c r="BC281" s="314">
        <f t="shared" si="69"/>
        <v>0.20513579999999998</v>
      </c>
      <c r="BD281" s="314" t="e">
        <f t="shared" si="69"/>
        <v>#VALUE!</v>
      </c>
      <c r="BE281" s="293"/>
      <c r="BF281" s="8">
        <f>COUNT(E281:BD281)</f>
        <v>47</v>
      </c>
      <c r="BH281" s="119"/>
      <c r="BI281" s="119"/>
      <c r="BJ281" s="119"/>
      <c r="BK281" s="119"/>
      <c r="BL281" s="119"/>
      <c r="BM281" s="119"/>
      <c r="BN281" s="119"/>
      <c r="BO281" s="119"/>
      <c r="BP281" s="119"/>
    </row>
    <row r="282" spans="1:72">
      <c r="A282" s="4" t="s">
        <v>179</v>
      </c>
      <c r="C282" s="113"/>
      <c r="E282" s="301"/>
      <c r="F282" s="301"/>
      <c r="G282" s="301"/>
      <c r="H282" s="301"/>
      <c r="I282" s="301"/>
      <c r="J282" s="301"/>
      <c r="K282" s="301"/>
      <c r="L282" s="301"/>
      <c r="M282" s="301"/>
      <c r="N282" s="301"/>
      <c r="O282" s="301"/>
      <c r="P282" s="301"/>
      <c r="Q282" s="301"/>
      <c r="R282" s="301"/>
      <c r="S282" s="301"/>
      <c r="T282" s="301"/>
      <c r="U282" s="301"/>
      <c r="V282" s="301"/>
      <c r="W282" s="301"/>
      <c r="X282" s="301"/>
      <c r="Y282" s="301"/>
      <c r="Z282" s="301"/>
      <c r="AA282" s="301"/>
      <c r="AB282" s="301"/>
      <c r="AC282" s="301"/>
      <c r="AD282" s="301"/>
      <c r="AE282" s="301"/>
      <c r="AF282" s="301"/>
      <c r="AG282" s="301"/>
      <c r="AH282" s="301"/>
      <c r="AI282" s="301"/>
      <c r="AJ282" s="301"/>
      <c r="AK282" s="301"/>
      <c r="AL282" s="301"/>
      <c r="AM282" s="301"/>
      <c r="AN282" s="301"/>
      <c r="AO282" s="301"/>
      <c r="AP282" s="301"/>
      <c r="AQ282" s="301"/>
      <c r="AR282" s="301"/>
      <c r="AS282" s="301"/>
      <c r="AT282" s="301"/>
      <c r="AU282" s="301"/>
      <c r="AV282" s="301"/>
      <c r="AW282" s="301"/>
      <c r="AX282" s="301"/>
      <c r="AY282" s="301"/>
      <c r="AZ282" s="301"/>
      <c r="BA282" s="301"/>
      <c r="BB282" s="301"/>
      <c r="BC282" s="301"/>
      <c r="BD282" s="301"/>
      <c r="BE282" s="293"/>
      <c r="BI282" s="294"/>
      <c r="BJ282" s="294"/>
      <c r="BK282" s="294"/>
      <c r="BL282" s="294"/>
      <c r="BM282" s="294"/>
      <c r="BN282" s="294"/>
      <c r="BO282" s="294"/>
      <c r="BP282" s="294"/>
    </row>
    <row r="283" spans="1:72">
      <c r="C283" s="113"/>
      <c r="E283" s="301"/>
      <c r="F283" s="301"/>
      <c r="G283" s="301"/>
      <c r="H283" s="301"/>
      <c r="I283" s="301"/>
      <c r="J283" s="301"/>
      <c r="K283" s="301"/>
      <c r="L283" s="301"/>
      <c r="M283" s="301"/>
      <c r="N283" s="301"/>
      <c r="O283" s="301"/>
      <c r="P283" s="301"/>
      <c r="Q283" s="301"/>
      <c r="R283" s="301"/>
      <c r="S283" s="301"/>
      <c r="T283" s="301"/>
      <c r="U283" s="301"/>
      <c r="V283" s="301"/>
      <c r="W283" s="301"/>
      <c r="X283" s="301"/>
      <c r="Y283" s="301"/>
      <c r="Z283" s="301"/>
      <c r="AA283" s="301"/>
      <c r="AB283" s="301"/>
      <c r="AC283" s="301"/>
      <c r="AD283" s="301"/>
      <c r="AE283" s="301"/>
      <c r="AF283" s="301"/>
      <c r="AG283" s="301"/>
      <c r="AH283" s="301"/>
      <c r="AI283" s="301"/>
      <c r="AJ283" s="301"/>
      <c r="AK283" s="301"/>
      <c r="AL283" s="301"/>
      <c r="AM283" s="301"/>
      <c r="AN283" s="301"/>
      <c r="AO283" s="301"/>
      <c r="AP283" s="301"/>
      <c r="AQ283" s="301"/>
      <c r="AR283" s="301"/>
      <c r="AS283" s="301"/>
      <c r="AT283" s="301"/>
      <c r="AU283" s="301"/>
      <c r="AV283" s="301"/>
      <c r="AW283" s="301"/>
      <c r="AX283" s="301"/>
      <c r="AY283" s="301"/>
      <c r="AZ283" s="301"/>
      <c r="BA283" s="301"/>
      <c r="BB283" s="301"/>
      <c r="BC283" s="301"/>
      <c r="BD283" s="301"/>
      <c r="BE283" s="293"/>
      <c r="BI283" s="294"/>
      <c r="BJ283" s="294"/>
      <c r="BK283" s="294"/>
      <c r="BL283" s="294"/>
      <c r="BM283" s="294"/>
      <c r="BN283" s="294"/>
      <c r="BO283" s="294"/>
      <c r="BP283" s="294"/>
    </row>
    <row r="284" spans="1:72">
      <c r="A284" s="4" t="s">
        <v>180</v>
      </c>
      <c r="C284" s="113"/>
      <c r="E284" s="314" t="e">
        <f t="shared" ref="E284:AJ284" si="70">IF(AND(E273,E275&gt;0),((E273-E275)/(E273+E275))*100,"uncalcuable")</f>
        <v>#VALUE!</v>
      </c>
      <c r="F284" s="314">
        <f t="shared" si="70"/>
        <v>0.98838181210297238</v>
      </c>
      <c r="G284" s="314">
        <f t="shared" si="70"/>
        <v>1.2215563242780978</v>
      </c>
      <c r="H284" s="314">
        <f t="shared" si="70"/>
        <v>0.51918771316774348</v>
      </c>
      <c r="I284" s="314">
        <f t="shared" si="70"/>
        <v>0.66796609798294937</v>
      </c>
      <c r="J284" s="314">
        <f t="shared" si="70"/>
        <v>1.0315346053066146</v>
      </c>
      <c r="K284" s="314" t="e">
        <f t="shared" si="70"/>
        <v>#VALUE!</v>
      </c>
      <c r="L284" s="314">
        <f t="shared" si="70"/>
        <v>0.65069971808092331</v>
      </c>
      <c r="M284" s="314" t="e">
        <f t="shared" si="70"/>
        <v>#VALUE!</v>
      </c>
      <c r="N284" s="314">
        <f t="shared" si="70"/>
        <v>0.23095436222215299</v>
      </c>
      <c r="O284" s="314">
        <f t="shared" si="70"/>
        <v>0.88617065143048424</v>
      </c>
      <c r="P284" s="314">
        <f t="shared" si="70"/>
        <v>0.37302769128950825</v>
      </c>
      <c r="Q284" s="314">
        <f t="shared" si="70"/>
        <v>-0.27397468392892993</v>
      </c>
      <c r="R284" s="314">
        <f t="shared" si="70"/>
        <v>1.3353337176267079</v>
      </c>
      <c r="S284" s="314">
        <f t="shared" si="70"/>
        <v>0.67034648908958749</v>
      </c>
      <c r="T284" s="314">
        <f t="shared" si="70"/>
        <v>1.3193613812470635</v>
      </c>
      <c r="U284" s="314">
        <f t="shared" si="70"/>
        <v>1.4436980106816462</v>
      </c>
      <c r="V284" s="314">
        <f t="shared" si="70"/>
        <v>1.0956426928344469</v>
      </c>
      <c r="W284" s="314">
        <f t="shared" si="70"/>
        <v>-1.1796488370261355</v>
      </c>
      <c r="X284" s="314">
        <f t="shared" si="70"/>
        <v>2.2940395666584457</v>
      </c>
      <c r="Y284" s="314">
        <f t="shared" si="70"/>
        <v>0.64145874235932288</v>
      </c>
      <c r="Z284" s="314">
        <f t="shared" si="70"/>
        <v>0.25769364965866992</v>
      </c>
      <c r="AA284" s="314">
        <f t="shared" si="70"/>
        <v>0.37534776692128696</v>
      </c>
      <c r="AB284" s="314">
        <f t="shared" si="70"/>
        <v>0.48387146262958575</v>
      </c>
      <c r="AC284" s="314">
        <f t="shared" si="70"/>
        <v>0.65113091158326941</v>
      </c>
      <c r="AD284" s="314">
        <f t="shared" si="70"/>
        <v>0.50572421172987758</v>
      </c>
      <c r="AE284" s="314" t="e">
        <f t="shared" si="70"/>
        <v>#VALUE!</v>
      </c>
      <c r="AF284" s="314">
        <f t="shared" si="70"/>
        <v>0.59307655795512371</v>
      </c>
      <c r="AG284" s="314">
        <f t="shared" si="70"/>
        <v>-0.44285828534868915</v>
      </c>
      <c r="AH284" s="314">
        <f t="shared" si="70"/>
        <v>1.500870225399126</v>
      </c>
      <c r="AI284" s="314">
        <f t="shared" si="70"/>
        <v>2.5759388575969995</v>
      </c>
      <c r="AJ284" s="314">
        <f t="shared" si="70"/>
        <v>1.6098117719523815</v>
      </c>
      <c r="AK284" s="314">
        <f t="shared" ref="AK284:BD284" si="71">IF(AND(AK273,AK275&gt;0),((AK273-AK275)/(AK273+AK275))*100,"uncalcuable")</f>
        <v>1.2523314681588085</v>
      </c>
      <c r="AL284" s="314">
        <f t="shared" si="71"/>
        <v>1.5522116616037216</v>
      </c>
      <c r="AM284" s="314">
        <f t="shared" si="71"/>
        <v>0.64295731597683026</v>
      </c>
      <c r="AN284" s="314">
        <f t="shared" si="71"/>
        <v>1.3157989163586774</v>
      </c>
      <c r="AO284" s="314">
        <f t="shared" si="71"/>
        <v>0.21845631414450398</v>
      </c>
      <c r="AP284" s="314">
        <f t="shared" si="71"/>
        <v>0.61363574159056378</v>
      </c>
      <c r="AQ284" s="314">
        <f t="shared" si="71"/>
        <v>0.3935073100577377</v>
      </c>
      <c r="AR284" s="314">
        <f t="shared" si="71"/>
        <v>0.72751275555713013</v>
      </c>
      <c r="AS284" s="314">
        <f t="shared" si="71"/>
        <v>1.1247038831805622</v>
      </c>
      <c r="AT284" s="314">
        <f t="shared" si="71"/>
        <v>0.18682263711228289</v>
      </c>
      <c r="AU284" s="314">
        <f t="shared" si="71"/>
        <v>0.44284663209904812</v>
      </c>
      <c r="AV284" s="314">
        <f t="shared" si="71"/>
        <v>0.87464375958096408</v>
      </c>
      <c r="AW284" s="314">
        <f t="shared" si="71"/>
        <v>0.90132130419377454</v>
      </c>
      <c r="AX284" s="314">
        <f t="shared" si="71"/>
        <v>0.66155058232871833</v>
      </c>
      <c r="AY284" s="314">
        <f t="shared" si="71"/>
        <v>-6.5707668136611427E-2</v>
      </c>
      <c r="AZ284" s="314">
        <f t="shared" si="71"/>
        <v>0.14818388586394551</v>
      </c>
      <c r="BA284" s="314">
        <f t="shared" si="71"/>
        <v>1.1064803944587791</v>
      </c>
      <c r="BB284" s="314">
        <f t="shared" si="71"/>
        <v>0.61739908083575579</v>
      </c>
      <c r="BC284" s="314">
        <f t="shared" si="71"/>
        <v>1.2117994430007142</v>
      </c>
      <c r="BD284" s="314" t="e">
        <f t="shared" si="71"/>
        <v>#VALUE!</v>
      </c>
      <c r="BE284" s="293"/>
      <c r="BF284" s="8">
        <f>COUNT(E284:BD284)</f>
        <v>47</v>
      </c>
      <c r="BH284" s="119"/>
      <c r="BI284" s="119"/>
      <c r="BJ284" s="119"/>
      <c r="BK284" s="119"/>
      <c r="BL284" s="119"/>
      <c r="BM284" s="119"/>
      <c r="BN284" s="119"/>
      <c r="BO284" s="119"/>
      <c r="BP284" s="119"/>
    </row>
    <row r="285" spans="1:72">
      <c r="A285" s="4" t="s">
        <v>181</v>
      </c>
      <c r="C285" s="113"/>
      <c r="D285" s="294"/>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c r="AA285" s="323"/>
      <c r="AB285" s="323"/>
      <c r="AC285" s="323"/>
      <c r="AD285" s="323"/>
      <c r="AE285" s="323"/>
      <c r="AF285" s="323"/>
      <c r="AG285" s="323"/>
      <c r="AH285" s="323"/>
      <c r="AI285" s="323"/>
      <c r="AJ285" s="323"/>
      <c r="AK285" s="323"/>
      <c r="AL285" s="323"/>
      <c r="AM285" s="323"/>
      <c r="AN285" s="323"/>
      <c r="AO285" s="323"/>
      <c r="AP285" s="323"/>
      <c r="AQ285" s="323"/>
      <c r="AR285" s="323"/>
      <c r="AS285" s="323"/>
      <c r="AT285" s="323"/>
      <c r="AU285" s="323"/>
      <c r="AV285" s="323"/>
      <c r="AW285" s="323"/>
      <c r="AX285" s="323"/>
      <c r="AY285" s="323"/>
      <c r="AZ285" s="323"/>
      <c r="BA285" s="323"/>
      <c r="BB285" s="323"/>
      <c r="BC285" s="323"/>
      <c r="BD285" s="323"/>
      <c r="BE285" s="293"/>
      <c r="BI285" s="294"/>
      <c r="BJ285" s="294"/>
      <c r="BK285" s="294"/>
      <c r="BL285" s="294"/>
      <c r="BM285" s="294"/>
      <c r="BN285" s="294"/>
      <c r="BO285" s="294"/>
      <c r="BP285" s="294"/>
      <c r="BQ285" s="294"/>
      <c r="BR285" s="294"/>
      <c r="BS285" s="294"/>
      <c r="BT285" s="294"/>
    </row>
    <row r="286" spans="1:72">
      <c r="C286" s="113"/>
      <c r="D286" s="294"/>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c r="AA286" s="323"/>
      <c r="AB286" s="323"/>
      <c r="AC286" s="323"/>
      <c r="AD286" s="323"/>
      <c r="AE286" s="323"/>
      <c r="AF286" s="323"/>
      <c r="AG286" s="323"/>
      <c r="AH286" s="323"/>
      <c r="AI286" s="323"/>
      <c r="AJ286" s="323"/>
      <c r="AK286" s="323"/>
      <c r="AL286" s="323"/>
      <c r="AM286" s="323"/>
      <c r="AN286" s="323"/>
      <c r="AO286" s="323"/>
      <c r="AP286" s="323"/>
      <c r="AQ286" s="323"/>
      <c r="AR286" s="323"/>
      <c r="AS286" s="323"/>
      <c r="AT286" s="323"/>
      <c r="AU286" s="323"/>
      <c r="AV286" s="323"/>
      <c r="AW286" s="323"/>
      <c r="AX286" s="323"/>
      <c r="AY286" s="323"/>
      <c r="AZ286" s="323"/>
      <c r="BA286" s="323"/>
      <c r="BB286" s="323"/>
      <c r="BC286" s="323"/>
      <c r="BD286" s="323"/>
      <c r="BE286" s="293"/>
      <c r="BI286" s="294"/>
      <c r="BJ286" s="294"/>
      <c r="BK286" s="294"/>
      <c r="BL286" s="294"/>
      <c r="BM286" s="294"/>
      <c r="BN286" s="294"/>
      <c r="BO286" s="294"/>
      <c r="BP286" s="294"/>
      <c r="BQ286" s="294"/>
      <c r="BR286" s="294"/>
      <c r="BS286" s="294"/>
      <c r="BT286" s="294"/>
    </row>
    <row r="287" spans="1:72">
      <c r="A287" s="120" t="s">
        <v>182</v>
      </c>
      <c r="B287" s="38"/>
      <c r="C287" s="11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c r="AA287" s="323"/>
      <c r="AB287" s="323"/>
      <c r="AC287" s="323"/>
      <c r="AD287" s="323"/>
      <c r="AE287" s="323"/>
      <c r="AF287" s="323"/>
      <c r="AG287" s="323"/>
      <c r="AH287" s="323"/>
      <c r="AI287" s="323"/>
      <c r="AJ287" s="323"/>
      <c r="AK287" s="323"/>
      <c r="AL287" s="323"/>
      <c r="AM287" s="323"/>
      <c r="AN287" s="323"/>
      <c r="AO287" s="323"/>
      <c r="AP287" s="323"/>
      <c r="AQ287" s="323"/>
      <c r="AR287" s="323"/>
      <c r="AS287" s="323"/>
      <c r="AT287" s="323"/>
      <c r="AU287" s="323"/>
      <c r="AV287" s="323"/>
      <c r="AW287" s="323"/>
      <c r="AX287" s="323"/>
      <c r="AY287" s="323"/>
      <c r="AZ287" s="323"/>
      <c r="BA287" s="323"/>
      <c r="BB287" s="323"/>
      <c r="BC287" s="323"/>
      <c r="BD287" s="323"/>
      <c r="BE287" s="293"/>
      <c r="BI287" s="121"/>
      <c r="BJ287" s="121"/>
      <c r="BK287" s="121"/>
      <c r="BL287" s="121"/>
      <c r="BM287" s="121"/>
      <c r="BN287" s="121"/>
      <c r="BO287" s="121"/>
      <c r="BP287" s="121"/>
      <c r="BQ287" s="121"/>
      <c r="BR287" s="121"/>
      <c r="BS287" s="121"/>
      <c r="BT287" s="121"/>
    </row>
    <row r="288" spans="1:72">
      <c r="A288" s="38"/>
      <c r="B288" s="38"/>
      <c r="C288" s="113"/>
      <c r="D288" s="121"/>
      <c r="E288" s="351"/>
      <c r="F288" s="351"/>
      <c r="G288" s="351"/>
      <c r="H288" s="351"/>
      <c r="I288" s="351"/>
      <c r="J288" s="351"/>
      <c r="K288" s="351"/>
      <c r="L288" s="351"/>
      <c r="M288" s="351"/>
      <c r="N288" s="351"/>
      <c r="O288" s="351"/>
      <c r="P288" s="351"/>
      <c r="Q288" s="351"/>
      <c r="R288" s="351"/>
      <c r="S288" s="351"/>
      <c r="T288" s="351"/>
      <c r="U288" s="351"/>
      <c r="V288" s="351"/>
      <c r="W288" s="351"/>
      <c r="X288" s="351"/>
      <c r="Y288" s="351"/>
      <c r="Z288" s="351"/>
      <c r="AA288" s="351"/>
      <c r="AB288" s="351"/>
      <c r="AC288" s="351"/>
      <c r="AD288" s="351"/>
      <c r="AE288" s="351"/>
      <c r="AF288" s="351"/>
      <c r="AG288" s="351"/>
      <c r="AH288" s="351"/>
      <c r="AI288" s="351"/>
      <c r="AJ288" s="351"/>
      <c r="AK288" s="351"/>
      <c r="AL288" s="351"/>
      <c r="AM288" s="351"/>
      <c r="AN288" s="351"/>
      <c r="AO288" s="351"/>
      <c r="AP288" s="351"/>
      <c r="AQ288" s="351"/>
      <c r="AR288" s="351"/>
      <c r="AS288" s="351"/>
      <c r="AT288" s="351"/>
      <c r="AU288" s="351"/>
      <c r="AV288" s="351"/>
      <c r="AW288" s="351"/>
      <c r="AX288" s="351"/>
      <c r="AY288" s="351"/>
      <c r="AZ288" s="351"/>
      <c r="BA288" s="351"/>
      <c r="BB288" s="351"/>
      <c r="BC288" s="351"/>
      <c r="BD288" s="351"/>
      <c r="BE288" s="293"/>
      <c r="BI288" s="121"/>
      <c r="BJ288" s="121"/>
      <c r="BK288" s="121"/>
      <c r="BL288" s="121"/>
      <c r="BM288" s="121"/>
      <c r="BN288" s="121"/>
      <c r="BO288" s="121"/>
      <c r="BP288" s="121"/>
      <c r="BQ288" s="121"/>
      <c r="BR288" s="121"/>
      <c r="BS288" s="121"/>
      <c r="BT288" s="121"/>
    </row>
    <row r="289" spans="1:72">
      <c r="A289" s="45" t="s">
        <v>173</v>
      </c>
      <c r="B289" s="45" t="s">
        <v>174</v>
      </c>
      <c r="C289" s="115"/>
      <c r="E289" s="69" t="e">
        <f t="shared" ref="E289:AJ289" si="72">IF(AND(AND(AND(E171,E172),E174),E175&gt;0),(E171*0.0499)+(E172*0.0822)+(E174*0.0435)+(E175*0.0256),"uncalcuable")</f>
        <v>#VALUE!</v>
      </c>
      <c r="F289" s="69">
        <f t="shared" si="72"/>
        <v>7.6005400000000005</v>
      </c>
      <c r="G289" s="69">
        <f t="shared" si="72"/>
        <v>7.7185600000000001</v>
      </c>
      <c r="H289" s="69">
        <f t="shared" si="72"/>
        <v>7.7658999999999994</v>
      </c>
      <c r="I289" s="69">
        <f t="shared" si="72"/>
        <v>7.8388400000000003</v>
      </c>
      <c r="J289" s="69">
        <f t="shared" si="72"/>
        <v>7.8567600000000004</v>
      </c>
      <c r="K289" s="69" t="e">
        <f t="shared" si="72"/>
        <v>#VALUE!</v>
      </c>
      <c r="L289" s="69">
        <f t="shared" si="72"/>
        <v>7.8733799999999992</v>
      </c>
      <c r="M289" s="69" t="e">
        <f t="shared" si="72"/>
        <v>#VALUE!</v>
      </c>
      <c r="N289" s="69">
        <f t="shared" si="72"/>
        <v>8.0784000000000002</v>
      </c>
      <c r="O289" s="69">
        <f t="shared" si="72"/>
        <v>8.1193399999999993</v>
      </c>
      <c r="P289" s="69">
        <f t="shared" si="72"/>
        <v>7.9578199999999999</v>
      </c>
      <c r="Q289" s="69">
        <f t="shared" si="72"/>
        <v>7.9203999999999999</v>
      </c>
      <c r="R289" s="69">
        <f t="shared" si="72"/>
        <v>7.8257200000000005</v>
      </c>
      <c r="S289" s="69">
        <f t="shared" si="72"/>
        <v>7.6696200000000001</v>
      </c>
      <c r="T289" s="69">
        <f t="shared" si="72"/>
        <v>7.8106800000000005</v>
      </c>
      <c r="U289" s="69">
        <f t="shared" si="72"/>
        <v>8.1334199999999992</v>
      </c>
      <c r="V289" s="69">
        <f t="shared" si="72"/>
        <v>6.2718399999999992</v>
      </c>
      <c r="W289" s="69">
        <f t="shared" si="72"/>
        <v>5.9452599999999993</v>
      </c>
      <c r="X289" s="69">
        <f t="shared" si="72"/>
        <v>6.2731200000000005</v>
      </c>
      <c r="Y289" s="69">
        <f t="shared" si="72"/>
        <v>6.4128999999999996</v>
      </c>
      <c r="Z289" s="69">
        <f t="shared" si="72"/>
        <v>6.4077799999999998</v>
      </c>
      <c r="AA289" s="69">
        <f t="shared" si="72"/>
        <v>6.5536399999999997</v>
      </c>
      <c r="AB289" s="69">
        <f t="shared" si="72"/>
        <v>6.5062999999999995</v>
      </c>
      <c r="AC289" s="69">
        <f t="shared" si="72"/>
        <v>6.3729200000000006</v>
      </c>
      <c r="AD289" s="69">
        <f t="shared" si="72"/>
        <v>6.1733200000000004</v>
      </c>
      <c r="AE289" s="69" t="str">
        <f t="shared" si="72"/>
        <v>uncalcuable</v>
      </c>
      <c r="AF289" s="69">
        <f t="shared" si="72"/>
        <v>6.1272599999999997</v>
      </c>
      <c r="AG289" s="69">
        <f t="shared" si="72"/>
        <v>6.05464</v>
      </c>
      <c r="AH289" s="69">
        <f t="shared" si="72"/>
        <v>5.7357399999999998</v>
      </c>
      <c r="AI289" s="69">
        <f t="shared" si="72"/>
        <v>5.6896800000000001</v>
      </c>
      <c r="AJ289" s="69">
        <f t="shared" si="72"/>
        <v>5.6436200000000003</v>
      </c>
      <c r="AK289" s="69">
        <f t="shared" ref="AK289:BD289" si="73">IF(AND(AND(AND(AK171,AK172),AK174),AK175&gt;0),(AK171*0.0499)+(AK172*0.0822)+(AK174*0.0435)+(AK175*0.0256),"uncalcuable")</f>
        <v>5.5940599999999998</v>
      </c>
      <c r="AL289" s="69">
        <f t="shared" si="73"/>
        <v>5.6384999999999996</v>
      </c>
      <c r="AM289" s="69">
        <f t="shared" si="73"/>
        <v>5.5975599999999988</v>
      </c>
      <c r="AN289" s="69">
        <f t="shared" si="73"/>
        <v>5.6794399999999996</v>
      </c>
      <c r="AO289" s="69">
        <f t="shared" si="73"/>
        <v>5.592439999999999</v>
      </c>
      <c r="AP289" s="69">
        <f t="shared" si="73"/>
        <v>5.5489399999999991</v>
      </c>
      <c r="AQ289" s="69">
        <f t="shared" si="73"/>
        <v>5.5553399999999993</v>
      </c>
      <c r="AR289" s="69">
        <f t="shared" si="73"/>
        <v>5.6436199999999994</v>
      </c>
      <c r="AS289" s="69">
        <f t="shared" si="73"/>
        <v>5.6525799999999995</v>
      </c>
      <c r="AT289" s="69">
        <f t="shared" si="73"/>
        <v>5.7434199999999995</v>
      </c>
      <c r="AU289" s="69">
        <f t="shared" si="73"/>
        <v>5.7434199999999995</v>
      </c>
      <c r="AV289" s="69">
        <f t="shared" si="73"/>
        <v>5.6947999999999999</v>
      </c>
      <c r="AW289" s="69">
        <f t="shared" si="73"/>
        <v>5.8380999999999998</v>
      </c>
      <c r="AX289" s="69">
        <f t="shared" si="73"/>
        <v>5.7946</v>
      </c>
      <c r="AY289" s="69">
        <f t="shared" si="73"/>
        <v>5.8380999999999998</v>
      </c>
      <c r="AZ289" s="69">
        <f t="shared" si="73"/>
        <v>5.8445</v>
      </c>
      <c r="BA289" s="69">
        <f t="shared" si="73"/>
        <v>5.9839599999999997</v>
      </c>
      <c r="BB289" s="69">
        <f t="shared" si="73"/>
        <v>6.3441199999999993</v>
      </c>
      <c r="BC289" s="69">
        <f t="shared" si="73"/>
        <v>6.5197199999999995</v>
      </c>
      <c r="BD289" s="69" t="e">
        <f t="shared" si="73"/>
        <v>#VALUE!</v>
      </c>
      <c r="BE289" s="293"/>
      <c r="BF289" s="8">
        <f>COUNT(E289:BD289)</f>
        <v>47</v>
      </c>
      <c r="BH289" s="119"/>
      <c r="BI289" s="119"/>
      <c r="BJ289" s="119"/>
      <c r="BK289" s="119"/>
      <c r="BL289" s="119"/>
      <c r="BM289" s="119"/>
      <c r="BN289" s="119"/>
      <c r="BO289" s="119"/>
      <c r="BP289" s="119"/>
      <c r="BQ289" s="119"/>
      <c r="BR289" s="119"/>
      <c r="BS289" s="119"/>
      <c r="BT289" s="119"/>
    </row>
    <row r="290" spans="1:72">
      <c r="A290" s="45"/>
      <c r="B290" s="45"/>
      <c r="C290" s="115"/>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293"/>
      <c r="BI290" s="121"/>
      <c r="BJ290" s="121"/>
      <c r="BK290" s="121"/>
      <c r="BL290" s="121"/>
      <c r="BM290" s="121"/>
      <c r="BN290" s="121"/>
      <c r="BO290" s="121"/>
      <c r="BP290" s="121"/>
      <c r="BQ290" s="121"/>
      <c r="BR290" s="121"/>
      <c r="BS290" s="121"/>
      <c r="BT290" s="121"/>
    </row>
    <row r="291" spans="1:72">
      <c r="A291" s="122" t="s">
        <v>175</v>
      </c>
      <c r="B291" s="45" t="s">
        <v>174</v>
      </c>
      <c r="C291" s="115"/>
      <c r="E291" s="69" t="e">
        <f t="shared" ref="E291:AJ291" si="74">IF(AND(AND(E176,E177),E169&gt;0),(E176*0.0208)+(E177*0.0282)+(E169*0.0164)+(E170*0.0333),"uncalcuable")</f>
        <v>#VALUE!</v>
      </c>
      <c r="F291" s="69">
        <f t="shared" si="74"/>
        <v>7.4921600000000002</v>
      </c>
      <c r="G291" s="69">
        <f t="shared" si="74"/>
        <v>7.6342600000000012</v>
      </c>
      <c r="H291" s="69">
        <f t="shared" si="74"/>
        <v>7.5862999999999996</v>
      </c>
      <c r="I291" s="69">
        <f t="shared" si="74"/>
        <v>7.7107600000000005</v>
      </c>
      <c r="J291" s="69">
        <f t="shared" si="74"/>
        <v>7.7079400000000007</v>
      </c>
      <c r="K291" s="69" t="e">
        <f t="shared" si="74"/>
        <v>#VALUE!</v>
      </c>
      <c r="L291" s="69">
        <f t="shared" si="74"/>
        <v>7.8387600000000006</v>
      </c>
      <c r="M291" s="69" t="e">
        <f t="shared" si="74"/>
        <v>#VALUE!</v>
      </c>
      <c r="N291" s="69">
        <f t="shared" si="74"/>
        <v>8.0559799999999999</v>
      </c>
      <c r="O291" s="69">
        <f t="shared" si="74"/>
        <v>8.0480400000000003</v>
      </c>
      <c r="P291" s="69">
        <f t="shared" si="74"/>
        <v>7.9302799999999998</v>
      </c>
      <c r="Q291" s="69">
        <f t="shared" si="74"/>
        <v>7.9151199999999999</v>
      </c>
      <c r="R291" s="69">
        <f t="shared" si="74"/>
        <v>7.6264599999999998</v>
      </c>
      <c r="S291" s="69">
        <f t="shared" si="74"/>
        <v>7.5717999999999996</v>
      </c>
      <c r="T291" s="69">
        <f t="shared" si="74"/>
        <v>7.808580000000001</v>
      </c>
      <c r="U291" s="69">
        <f t="shared" si="74"/>
        <v>7.9397800000000007</v>
      </c>
      <c r="V291" s="69">
        <f t="shared" si="74"/>
        <v>6.1370199999999997</v>
      </c>
      <c r="W291" s="69">
        <f t="shared" si="74"/>
        <v>6.1557199999999996</v>
      </c>
      <c r="X291" s="69">
        <f t="shared" si="74"/>
        <v>6.2153</v>
      </c>
      <c r="Y291" s="69">
        <f t="shared" si="74"/>
        <v>6.2001400000000002</v>
      </c>
      <c r="Z291" s="69">
        <f t="shared" si="74"/>
        <v>6.3285200000000001</v>
      </c>
      <c r="AA291" s="69">
        <f t="shared" si="74"/>
        <v>6.5094000000000003</v>
      </c>
      <c r="AB291" s="69">
        <f t="shared" si="74"/>
        <v>6.4409800000000006</v>
      </c>
      <c r="AC291" s="69">
        <f t="shared" si="74"/>
        <v>6.3524200000000004</v>
      </c>
      <c r="AD291" s="69">
        <f t="shared" si="74"/>
        <v>6.1512200000000004</v>
      </c>
      <c r="AE291" s="69" t="e">
        <f t="shared" si="74"/>
        <v>#VALUE!</v>
      </c>
      <c r="AF291" s="69">
        <f t="shared" si="74"/>
        <v>6.1124399999999994</v>
      </c>
      <c r="AG291" s="69">
        <f t="shared" si="74"/>
        <v>5.9380600000000001</v>
      </c>
      <c r="AH291" s="69">
        <f t="shared" si="74"/>
        <v>5.71624</v>
      </c>
      <c r="AI291" s="69">
        <f t="shared" si="74"/>
        <v>5.83826</v>
      </c>
      <c r="AJ291" s="69">
        <f t="shared" si="74"/>
        <v>5.483880000000001</v>
      </c>
      <c r="AK291" s="69">
        <f t="shared" ref="AK291:BD291" si="75">IF(AND(AND(AK176,AK177),AK169&gt;0),(AK176*0.0208)+(AK177*0.0282)+(AK169*0.0164)+(AK170*0.0333),"uncalcuable")</f>
        <v>5.4618400000000005</v>
      </c>
      <c r="AL291" s="69">
        <f t="shared" si="75"/>
        <v>5.4888000000000003</v>
      </c>
      <c r="AM291" s="69">
        <f t="shared" si="75"/>
        <v>5.48522</v>
      </c>
      <c r="AN291" s="69">
        <f t="shared" si="75"/>
        <v>5.5451800000000002</v>
      </c>
      <c r="AO291" s="69">
        <f t="shared" si="75"/>
        <v>5.5636799999999997</v>
      </c>
      <c r="AP291" s="69">
        <f t="shared" si="75"/>
        <v>5.5075000000000003</v>
      </c>
      <c r="AQ291" s="69">
        <f t="shared" si="75"/>
        <v>5.5579400000000003</v>
      </c>
      <c r="AR291" s="69">
        <f t="shared" si="75"/>
        <v>5.5826200000000004</v>
      </c>
      <c r="AS291" s="69">
        <f t="shared" si="75"/>
        <v>5.5909399999999998</v>
      </c>
      <c r="AT291" s="69">
        <f t="shared" si="75"/>
        <v>5.7515000000000001</v>
      </c>
      <c r="AU291" s="69">
        <f t="shared" si="75"/>
        <v>5.7153999999999998</v>
      </c>
      <c r="AV291" s="69">
        <f t="shared" si="75"/>
        <v>5.6971000000000007</v>
      </c>
      <c r="AW291" s="69">
        <f t="shared" si="75"/>
        <v>5.7263999999999999</v>
      </c>
      <c r="AX291" s="69">
        <f t="shared" si="75"/>
        <v>5.7063199999999998</v>
      </c>
      <c r="AY291" s="69">
        <f t="shared" si="75"/>
        <v>5.7770799999999998</v>
      </c>
      <c r="AZ291" s="69">
        <f t="shared" si="75"/>
        <v>5.8351199999999999</v>
      </c>
      <c r="BA291" s="69">
        <f t="shared" si="75"/>
        <v>6.1219599999999996</v>
      </c>
      <c r="BB291" s="69">
        <f t="shared" si="75"/>
        <v>6.2332199999999993</v>
      </c>
      <c r="BC291" s="69">
        <f t="shared" si="75"/>
        <v>6.3772800000000007</v>
      </c>
      <c r="BD291" s="69" t="e">
        <f t="shared" si="75"/>
        <v>#VALUE!</v>
      </c>
      <c r="BE291" s="293"/>
      <c r="BF291" s="8">
        <f>COUNT(E291:BD291)</f>
        <v>47</v>
      </c>
      <c r="BH291" s="119"/>
      <c r="BI291" s="119"/>
      <c r="BJ291" s="119"/>
      <c r="BK291" s="119"/>
      <c r="BL291" s="119"/>
      <c r="BM291" s="119"/>
      <c r="BN291" s="119"/>
      <c r="BO291" s="119"/>
      <c r="BP291" s="119"/>
      <c r="BQ291" s="119"/>
      <c r="BR291" s="119"/>
      <c r="BS291" s="119"/>
      <c r="BT291" s="119"/>
    </row>
    <row r="292" spans="1:72">
      <c r="A292" s="45"/>
      <c r="B292" s="45"/>
      <c r="C292" s="115"/>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293"/>
      <c r="BI292" s="121"/>
      <c r="BJ292" s="121"/>
      <c r="BK292" s="121"/>
      <c r="BL292" s="121"/>
      <c r="BM292" s="121"/>
      <c r="BN292" s="121"/>
      <c r="BO292" s="121"/>
      <c r="BP292" s="121"/>
      <c r="BQ292" s="121"/>
      <c r="BR292" s="121"/>
      <c r="BS292" s="121"/>
      <c r="BT292" s="121"/>
    </row>
    <row r="293" spans="1:72">
      <c r="A293" s="122" t="s">
        <v>176</v>
      </c>
      <c r="B293" s="45"/>
      <c r="C293" s="115"/>
      <c r="E293" s="69" t="e">
        <f t="shared" ref="E293:AJ293" si="76">IF(AND(E289,E291&gt;0),ABS(E289-E291),"uncalcuable")</f>
        <v>#VALUE!</v>
      </c>
      <c r="F293" s="69">
        <f t="shared" si="76"/>
        <v>0.10838000000000036</v>
      </c>
      <c r="G293" s="69">
        <f t="shared" si="76"/>
        <v>8.4299999999998931E-2</v>
      </c>
      <c r="H293" s="69">
        <f t="shared" si="76"/>
        <v>0.17959999999999976</v>
      </c>
      <c r="I293" s="69">
        <f t="shared" si="76"/>
        <v>0.12807999999999975</v>
      </c>
      <c r="J293" s="69">
        <f t="shared" si="76"/>
        <v>0.14881999999999973</v>
      </c>
      <c r="K293" s="69" t="e">
        <f t="shared" si="76"/>
        <v>#VALUE!</v>
      </c>
      <c r="L293" s="69">
        <f t="shared" si="76"/>
        <v>3.4619999999998541E-2</v>
      </c>
      <c r="M293" s="69" t="e">
        <f t="shared" si="76"/>
        <v>#VALUE!</v>
      </c>
      <c r="N293" s="69">
        <f t="shared" si="76"/>
        <v>2.2420000000000329E-2</v>
      </c>
      <c r="O293" s="69">
        <f t="shared" si="76"/>
        <v>7.1299999999999031E-2</v>
      </c>
      <c r="P293" s="69">
        <f t="shared" si="76"/>
        <v>2.754000000000012E-2</v>
      </c>
      <c r="Q293" s="69">
        <f t="shared" si="76"/>
        <v>5.2799999999999514E-3</v>
      </c>
      <c r="R293" s="69">
        <f t="shared" si="76"/>
        <v>0.19926000000000066</v>
      </c>
      <c r="S293" s="69">
        <f t="shared" si="76"/>
        <v>9.7820000000000462E-2</v>
      </c>
      <c r="T293" s="69">
        <f t="shared" si="76"/>
        <v>2.0999999999995467E-3</v>
      </c>
      <c r="U293" s="69">
        <f t="shared" si="76"/>
        <v>0.19363999999999848</v>
      </c>
      <c r="V293" s="69">
        <f t="shared" si="76"/>
        <v>0.1348199999999995</v>
      </c>
      <c r="W293" s="69">
        <f t="shared" si="76"/>
        <v>0.21046000000000031</v>
      </c>
      <c r="X293" s="69">
        <f t="shared" si="76"/>
        <v>5.7820000000000427E-2</v>
      </c>
      <c r="Y293" s="69">
        <f t="shared" si="76"/>
        <v>0.21275999999999939</v>
      </c>
      <c r="Z293" s="69">
        <f t="shared" si="76"/>
        <v>7.9259999999999664E-2</v>
      </c>
      <c r="AA293" s="69">
        <f t="shared" si="76"/>
        <v>4.4239999999999391E-2</v>
      </c>
      <c r="AB293" s="69">
        <f t="shared" si="76"/>
        <v>6.5319999999998934E-2</v>
      </c>
      <c r="AC293" s="69">
        <f t="shared" si="76"/>
        <v>2.0500000000000185E-2</v>
      </c>
      <c r="AD293" s="69">
        <f t="shared" si="76"/>
        <v>2.2100000000000009E-2</v>
      </c>
      <c r="AE293" s="69" t="e">
        <f t="shared" si="76"/>
        <v>#VALUE!</v>
      </c>
      <c r="AF293" s="69">
        <f t="shared" si="76"/>
        <v>1.4820000000000277E-2</v>
      </c>
      <c r="AG293" s="69">
        <f t="shared" si="76"/>
        <v>0.11657999999999991</v>
      </c>
      <c r="AH293" s="69">
        <f t="shared" si="76"/>
        <v>1.9499999999999851E-2</v>
      </c>
      <c r="AI293" s="69">
        <f t="shared" si="76"/>
        <v>0.14857999999999993</v>
      </c>
      <c r="AJ293" s="69">
        <f t="shared" si="76"/>
        <v>0.15973999999999933</v>
      </c>
      <c r="AK293" s="69">
        <f t="shared" ref="AK293:BD293" si="77">IF(AND(AK289,AK291&gt;0),ABS(AK289-AK291),"uncalcuable")</f>
        <v>0.13221999999999934</v>
      </c>
      <c r="AL293" s="69">
        <f t="shared" si="77"/>
        <v>0.14969999999999928</v>
      </c>
      <c r="AM293" s="69">
        <f t="shared" si="77"/>
        <v>0.11233999999999877</v>
      </c>
      <c r="AN293" s="69">
        <f t="shared" si="77"/>
        <v>0.13425999999999938</v>
      </c>
      <c r="AO293" s="69">
        <f t="shared" si="77"/>
        <v>2.8759999999999231E-2</v>
      </c>
      <c r="AP293" s="69">
        <f t="shared" si="77"/>
        <v>4.1439999999998811E-2</v>
      </c>
      <c r="AQ293" s="69">
        <f t="shared" si="77"/>
        <v>2.6000000000010459E-3</v>
      </c>
      <c r="AR293" s="69">
        <f t="shared" si="77"/>
        <v>6.0999999999999055E-2</v>
      </c>
      <c r="AS293" s="69">
        <f t="shared" si="77"/>
        <v>6.1639999999999695E-2</v>
      </c>
      <c r="AT293" s="69">
        <f t="shared" si="77"/>
        <v>8.0800000000005312E-3</v>
      </c>
      <c r="AU293" s="69">
        <f t="shared" si="77"/>
        <v>2.8019999999999712E-2</v>
      </c>
      <c r="AV293" s="69">
        <f t="shared" si="77"/>
        <v>2.3000000000008569E-3</v>
      </c>
      <c r="AW293" s="69">
        <f t="shared" si="77"/>
        <v>0.11169999999999991</v>
      </c>
      <c r="AX293" s="69">
        <f t="shared" si="77"/>
        <v>8.8280000000000136E-2</v>
      </c>
      <c r="AY293" s="69">
        <f t="shared" si="77"/>
        <v>6.1020000000000074E-2</v>
      </c>
      <c r="AZ293" s="69">
        <f t="shared" si="77"/>
        <v>9.380000000000166E-3</v>
      </c>
      <c r="BA293" s="69">
        <f t="shared" si="77"/>
        <v>0.1379999999999999</v>
      </c>
      <c r="BB293" s="69">
        <f t="shared" si="77"/>
        <v>0.1109</v>
      </c>
      <c r="BC293" s="69">
        <f t="shared" si="77"/>
        <v>0.14243999999999879</v>
      </c>
      <c r="BD293" s="69" t="e">
        <f t="shared" si="77"/>
        <v>#VALUE!</v>
      </c>
      <c r="BE293" s="293"/>
      <c r="BF293" s="8">
        <f>COUNT(E293:BD293)</f>
        <v>47</v>
      </c>
      <c r="BH293" s="119"/>
      <c r="BI293" s="119"/>
      <c r="BJ293" s="119"/>
      <c r="BK293" s="119"/>
      <c r="BL293" s="119"/>
      <c r="BM293" s="119"/>
      <c r="BN293" s="119"/>
      <c r="BO293" s="119"/>
      <c r="BP293" s="119"/>
      <c r="BQ293" s="119"/>
      <c r="BR293" s="119"/>
      <c r="BS293" s="119"/>
      <c r="BT293" s="119"/>
    </row>
    <row r="294" spans="1:72">
      <c r="A294" s="45"/>
      <c r="B294" s="45"/>
      <c r="C294" s="115"/>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293"/>
      <c r="BF294" s="294"/>
      <c r="BI294" s="121"/>
      <c r="BJ294" s="121"/>
      <c r="BK294" s="121"/>
      <c r="BL294" s="121"/>
      <c r="BM294" s="121"/>
      <c r="BN294" s="121"/>
      <c r="BO294" s="121"/>
      <c r="BP294" s="121"/>
      <c r="BQ294" s="121"/>
      <c r="BR294" s="121"/>
      <c r="BS294" s="121"/>
      <c r="BT294" s="121"/>
    </row>
    <row r="295" spans="1:72">
      <c r="A295" s="122" t="s">
        <v>177</v>
      </c>
      <c r="B295" s="45"/>
      <c r="C295" s="11" t="s">
        <v>16</v>
      </c>
      <c r="E295" s="69" t="e">
        <f t="shared" ref="E295:AJ295" si="78">IF(AND(E289,E291&gt;0),(E293*100/(0.5*(E289+E291))),"uncalcuable")</f>
        <v>#VALUE!</v>
      </c>
      <c r="F295" s="69">
        <f t="shared" si="78"/>
        <v>1.4361910062480585</v>
      </c>
      <c r="G295" s="69">
        <f t="shared" si="78"/>
        <v>1.0981695870856159</v>
      </c>
      <c r="H295" s="69">
        <f t="shared" si="78"/>
        <v>2.3397298107111655</v>
      </c>
      <c r="I295" s="69">
        <f t="shared" si="78"/>
        <v>1.6473735658795048</v>
      </c>
      <c r="J295" s="69">
        <f t="shared" si="78"/>
        <v>1.9122758549795333</v>
      </c>
      <c r="K295" s="69" t="e">
        <f t="shared" si="78"/>
        <v>#VALUE!</v>
      </c>
      <c r="L295" s="69">
        <f t="shared" si="78"/>
        <v>0.44067835444437919</v>
      </c>
      <c r="M295" s="69" t="e">
        <f t="shared" si="78"/>
        <v>#VALUE!</v>
      </c>
      <c r="N295" s="69">
        <f t="shared" si="78"/>
        <v>0.27791585421937909</v>
      </c>
      <c r="O295" s="69">
        <f t="shared" si="78"/>
        <v>0.88202293754459937</v>
      </c>
      <c r="P295" s="69">
        <f t="shared" si="78"/>
        <v>0.34667455517022328</v>
      </c>
      <c r="Q295" s="69">
        <f t="shared" si="78"/>
        <v>6.6685527219819143E-2</v>
      </c>
      <c r="R295" s="69">
        <f t="shared" si="78"/>
        <v>2.5790535704347302</v>
      </c>
      <c r="S295" s="69">
        <f t="shared" si="78"/>
        <v>1.2836074329032394</v>
      </c>
      <c r="T295" s="69">
        <f t="shared" si="78"/>
        <v>2.6889878265673874E-2</v>
      </c>
      <c r="U295" s="69">
        <f t="shared" si="78"/>
        <v>2.4094766443520701</v>
      </c>
      <c r="V295" s="69">
        <f t="shared" si="78"/>
        <v>2.1729635115554453</v>
      </c>
      <c r="W295" s="69">
        <f t="shared" si="78"/>
        <v>3.4783959646243581</v>
      </c>
      <c r="X295" s="69">
        <f t="shared" si="78"/>
        <v>0.92597782585788146</v>
      </c>
      <c r="Y295" s="69">
        <f t="shared" si="78"/>
        <v>3.3736513956984107</v>
      </c>
      <c r="Z295" s="69">
        <f t="shared" si="78"/>
        <v>1.2446314863814398</v>
      </c>
      <c r="AA295" s="69">
        <f t="shared" si="78"/>
        <v>0.67733085101169999</v>
      </c>
      <c r="AB295" s="69">
        <f t="shared" si="78"/>
        <v>1.0090150209155735</v>
      </c>
      <c r="AC295" s="69">
        <f t="shared" si="78"/>
        <v>0.32219178426667078</v>
      </c>
      <c r="AD295" s="69">
        <f t="shared" si="78"/>
        <v>0.35863407478088444</v>
      </c>
      <c r="AE295" s="69" t="e">
        <f t="shared" si="78"/>
        <v>#VALUE!</v>
      </c>
      <c r="AF295" s="69">
        <f t="shared" si="78"/>
        <v>0.24216279810780131</v>
      </c>
      <c r="AG295" s="69">
        <f t="shared" si="78"/>
        <v>1.9441827111492811</v>
      </c>
      <c r="AH295" s="69">
        <f t="shared" si="78"/>
        <v>0.34055246341680395</v>
      </c>
      <c r="AI295" s="69">
        <f t="shared" si="78"/>
        <v>2.5777372193123824</v>
      </c>
      <c r="AJ295" s="69">
        <f t="shared" si="78"/>
        <v>2.8710851494046157</v>
      </c>
      <c r="AK295" s="69">
        <f t="shared" ref="AK295:BD295" si="79">IF(AND(AK289,AK291&gt;0),(AK293*100/(0.5*(AK289+AK291))),"uncalcuable")</f>
        <v>2.3918450781935316</v>
      </c>
      <c r="AL295" s="69">
        <f t="shared" si="79"/>
        <v>2.6906796797066543</v>
      </c>
      <c r="AM295" s="69">
        <f t="shared" si="79"/>
        <v>2.0272891819561298</v>
      </c>
      <c r="AN295" s="69">
        <f t="shared" si="79"/>
        <v>2.3922413409095253</v>
      </c>
      <c r="AO295" s="69">
        <f t="shared" si="79"/>
        <v>0.5155914421859793</v>
      </c>
      <c r="AP295" s="69">
        <f t="shared" si="79"/>
        <v>0.74960837303867822</v>
      </c>
      <c r="AQ295" s="69">
        <f t="shared" si="79"/>
        <v>4.6790866422893082E-2</v>
      </c>
      <c r="AR295" s="69">
        <f t="shared" si="79"/>
        <v>1.0867396385610686</v>
      </c>
      <c r="AS295" s="69">
        <f t="shared" si="79"/>
        <v>1.0964537795992659</v>
      </c>
      <c r="AT295" s="69">
        <f t="shared" si="79"/>
        <v>0.14058384051390582</v>
      </c>
      <c r="AU295" s="69">
        <f t="shared" si="79"/>
        <v>0.48905559211157368</v>
      </c>
      <c r="AV295" s="69">
        <f t="shared" si="79"/>
        <v>4.0379567938638103E-2</v>
      </c>
      <c r="AW295" s="69">
        <f t="shared" si="79"/>
        <v>1.9317739634225417</v>
      </c>
      <c r="AX295" s="69">
        <f t="shared" si="79"/>
        <v>1.5351815333034249</v>
      </c>
      <c r="AY295" s="69">
        <f t="shared" si="79"/>
        <v>1.0506940056030141</v>
      </c>
      <c r="AZ295" s="69">
        <f t="shared" si="79"/>
        <v>0.16062166406099113</v>
      </c>
      <c r="BA295" s="69">
        <f t="shared" si="79"/>
        <v>2.2798762919298974</v>
      </c>
      <c r="BB295" s="69">
        <f t="shared" si="79"/>
        <v>1.763488941222866</v>
      </c>
      <c r="BC295" s="69">
        <f t="shared" si="79"/>
        <v>2.2088857873923979</v>
      </c>
      <c r="BD295" s="69" t="e">
        <f t="shared" si="79"/>
        <v>#VALUE!</v>
      </c>
      <c r="BE295" s="293"/>
      <c r="BF295" s="8">
        <f>COUNT(E295:BD295)</f>
        <v>47</v>
      </c>
      <c r="BH295" s="119"/>
      <c r="BI295" s="119"/>
      <c r="BJ295" s="119"/>
      <c r="BK295" s="119"/>
      <c r="BL295" s="119"/>
      <c r="BM295" s="119"/>
      <c r="BN295" s="119"/>
      <c r="BO295" s="119"/>
      <c r="BP295" s="119"/>
      <c r="BQ295" s="119"/>
      <c r="BR295" s="119"/>
      <c r="BS295" s="119"/>
      <c r="BT295" s="119"/>
    </row>
    <row r="296" spans="1:72">
      <c r="A296" s="45"/>
      <c r="B296" s="45"/>
      <c r="C296" s="115"/>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293"/>
      <c r="BI296" s="121"/>
      <c r="BJ296" s="121"/>
      <c r="BK296" s="121"/>
      <c r="BL296" s="121"/>
      <c r="BM296" s="121"/>
      <c r="BN296" s="121"/>
      <c r="BO296" s="121"/>
      <c r="BP296" s="121"/>
      <c r="BQ296" s="121"/>
      <c r="BR296" s="121"/>
      <c r="BS296" s="121"/>
      <c r="BT296" s="121"/>
    </row>
    <row r="297" spans="1:72">
      <c r="A297" s="122" t="s">
        <v>178</v>
      </c>
      <c r="B297" s="45" t="s">
        <v>174</v>
      </c>
      <c r="C297" s="115"/>
      <c r="E297" s="69" t="e">
        <f t="shared" ref="E297:AJ297" si="80">IF(E291&gt;0,(0.1065+(0.0155*E291)),"uncalcuable")</f>
        <v>#VALUE!</v>
      </c>
      <c r="F297" s="69">
        <f t="shared" si="80"/>
        <v>0.22262848000000002</v>
      </c>
      <c r="G297" s="69">
        <f t="shared" si="80"/>
        <v>0.22483103000000002</v>
      </c>
      <c r="H297" s="69">
        <f t="shared" si="80"/>
        <v>0.22408764999999997</v>
      </c>
      <c r="I297" s="69">
        <f t="shared" si="80"/>
        <v>0.22601678</v>
      </c>
      <c r="J297" s="69">
        <f t="shared" si="80"/>
        <v>0.22597307</v>
      </c>
      <c r="K297" s="69" t="e">
        <f t="shared" si="80"/>
        <v>#VALUE!</v>
      </c>
      <c r="L297" s="69">
        <f t="shared" si="80"/>
        <v>0.22800078000000001</v>
      </c>
      <c r="M297" s="69" t="e">
        <f t="shared" si="80"/>
        <v>#VALUE!</v>
      </c>
      <c r="N297" s="69">
        <f t="shared" si="80"/>
        <v>0.23136769000000001</v>
      </c>
      <c r="O297" s="69">
        <f t="shared" si="80"/>
        <v>0.23124462000000001</v>
      </c>
      <c r="P297" s="69">
        <f t="shared" si="80"/>
        <v>0.22941934</v>
      </c>
      <c r="Q297" s="69">
        <f t="shared" si="80"/>
        <v>0.22918435999999998</v>
      </c>
      <c r="R297" s="69">
        <f t="shared" si="80"/>
        <v>0.22471013000000001</v>
      </c>
      <c r="S297" s="69">
        <f t="shared" si="80"/>
        <v>0.22386289999999998</v>
      </c>
      <c r="T297" s="69">
        <f t="shared" si="80"/>
        <v>0.22753299000000002</v>
      </c>
      <c r="U297" s="69">
        <f t="shared" si="80"/>
        <v>0.22956659000000001</v>
      </c>
      <c r="V297" s="69">
        <f t="shared" si="80"/>
        <v>0.20162380999999999</v>
      </c>
      <c r="W297" s="69">
        <f t="shared" si="80"/>
        <v>0.20191365999999999</v>
      </c>
      <c r="X297" s="69">
        <f t="shared" si="80"/>
        <v>0.20283714999999999</v>
      </c>
      <c r="Y297" s="69">
        <f t="shared" si="80"/>
        <v>0.20260217</v>
      </c>
      <c r="Z297" s="69">
        <f t="shared" si="80"/>
        <v>0.20459205999999999</v>
      </c>
      <c r="AA297" s="69">
        <f t="shared" si="80"/>
        <v>0.20739570000000002</v>
      </c>
      <c r="AB297" s="69">
        <f t="shared" si="80"/>
        <v>0.20633519</v>
      </c>
      <c r="AC297" s="69">
        <f t="shared" si="80"/>
        <v>0.20496250999999999</v>
      </c>
      <c r="AD297" s="69">
        <f t="shared" si="80"/>
        <v>0.20184391000000002</v>
      </c>
      <c r="AE297" s="69" t="e">
        <f t="shared" si="80"/>
        <v>#VALUE!</v>
      </c>
      <c r="AF297" s="69">
        <f t="shared" si="80"/>
        <v>0.20124281999999999</v>
      </c>
      <c r="AG297" s="69">
        <f t="shared" si="80"/>
        <v>0.19853993</v>
      </c>
      <c r="AH297" s="69">
        <f t="shared" si="80"/>
        <v>0.19510171999999998</v>
      </c>
      <c r="AI297" s="69">
        <f t="shared" si="80"/>
        <v>0.19699303000000001</v>
      </c>
      <c r="AJ297" s="69">
        <f t="shared" si="80"/>
        <v>0.19150014000000001</v>
      </c>
      <c r="AK297" s="69">
        <f t="shared" ref="AK297:BD297" si="81">IF(AK291&gt;0,(0.1065+(0.0155*AK291)),"uncalcuable")</f>
        <v>0.19115852</v>
      </c>
      <c r="AL297" s="69">
        <f t="shared" si="81"/>
        <v>0.19157640000000001</v>
      </c>
      <c r="AM297" s="69">
        <f t="shared" si="81"/>
        <v>0.19152090999999999</v>
      </c>
      <c r="AN297" s="69">
        <f t="shared" si="81"/>
        <v>0.19245029</v>
      </c>
      <c r="AO297" s="69">
        <f t="shared" si="81"/>
        <v>0.19273704</v>
      </c>
      <c r="AP297" s="69">
        <f t="shared" si="81"/>
        <v>0.19186625000000002</v>
      </c>
      <c r="AQ297" s="69">
        <f t="shared" si="81"/>
        <v>0.19264807</v>
      </c>
      <c r="AR297" s="69">
        <f t="shared" si="81"/>
        <v>0.19303060999999999</v>
      </c>
      <c r="AS297" s="69">
        <f t="shared" si="81"/>
        <v>0.19315957</v>
      </c>
      <c r="AT297" s="69">
        <f t="shared" si="81"/>
        <v>0.19564825</v>
      </c>
      <c r="AU297" s="69">
        <f t="shared" si="81"/>
        <v>0.1950887</v>
      </c>
      <c r="AV297" s="69">
        <f t="shared" si="81"/>
        <v>0.19480505000000001</v>
      </c>
      <c r="AW297" s="69">
        <f t="shared" si="81"/>
        <v>0.19525919999999999</v>
      </c>
      <c r="AX297" s="69">
        <f t="shared" si="81"/>
        <v>0.19494795999999998</v>
      </c>
      <c r="AY297" s="69">
        <f t="shared" si="81"/>
        <v>0.19604474</v>
      </c>
      <c r="AZ297" s="69">
        <f t="shared" si="81"/>
        <v>0.19694435999999998</v>
      </c>
      <c r="BA297" s="69">
        <f t="shared" si="81"/>
        <v>0.20139037999999998</v>
      </c>
      <c r="BB297" s="69">
        <f t="shared" si="81"/>
        <v>0.20311490999999998</v>
      </c>
      <c r="BC297" s="69">
        <f t="shared" si="81"/>
        <v>0.20534784</v>
      </c>
      <c r="BD297" s="69" t="e">
        <f t="shared" si="81"/>
        <v>#VALUE!</v>
      </c>
      <c r="BE297" s="293"/>
      <c r="BF297" s="8">
        <f>COUNT(E297:BD297)</f>
        <v>47</v>
      </c>
      <c r="BI297" s="123"/>
      <c r="BJ297" s="123"/>
      <c r="BK297" s="123"/>
      <c r="BL297" s="123"/>
      <c r="BM297" s="123"/>
      <c r="BN297" s="123"/>
      <c r="BO297" s="123"/>
      <c r="BP297" s="123"/>
      <c r="BQ297" s="123"/>
      <c r="BR297" s="123"/>
      <c r="BS297" s="123"/>
      <c r="BT297" s="123"/>
    </row>
    <row r="298" spans="1:72">
      <c r="A298" s="45" t="s">
        <v>179</v>
      </c>
      <c r="B298" s="38"/>
      <c r="C298" s="113"/>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293"/>
      <c r="BI298" s="121"/>
      <c r="BJ298" s="121"/>
      <c r="BK298" s="121"/>
      <c r="BL298" s="121"/>
      <c r="BM298" s="121"/>
      <c r="BN298" s="121"/>
      <c r="BO298" s="121"/>
      <c r="BP298" s="121"/>
      <c r="BQ298" s="121"/>
      <c r="BR298" s="121"/>
      <c r="BS298" s="121"/>
      <c r="BT298" s="121"/>
    </row>
    <row r="299" spans="1:72">
      <c r="A299" s="38"/>
      <c r="B299" s="38"/>
      <c r="C299" s="113"/>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293"/>
      <c r="BI299" s="121"/>
      <c r="BJ299" s="121"/>
      <c r="BK299" s="121"/>
      <c r="BL299" s="121"/>
      <c r="BM299" s="121"/>
      <c r="BN299" s="121"/>
      <c r="BO299" s="121"/>
      <c r="BP299" s="121"/>
      <c r="BQ299" s="121"/>
      <c r="BR299" s="121"/>
      <c r="BS299" s="121"/>
      <c r="BT299" s="121"/>
    </row>
    <row r="300" spans="1:72">
      <c r="A300" s="45" t="s">
        <v>180</v>
      </c>
      <c r="B300" s="38"/>
      <c r="C300" s="113"/>
      <c r="E300" s="69" t="e">
        <f t="shared" ref="E300:AJ300" si="82">IF(AND(E289,E291&gt;0),((E289-E291)/(E289+E291))*100,"uncalcuable")</f>
        <v>#VALUE!</v>
      </c>
      <c r="F300" s="69">
        <f t="shared" si="82"/>
        <v>0.71809550312402926</v>
      </c>
      <c r="G300" s="69">
        <f t="shared" si="82"/>
        <v>0.54908479354280793</v>
      </c>
      <c r="H300" s="69">
        <f t="shared" si="82"/>
        <v>1.1698649053555827</v>
      </c>
      <c r="I300" s="69">
        <f t="shared" si="82"/>
        <v>0.82368678293975228</v>
      </c>
      <c r="J300" s="69">
        <f t="shared" si="82"/>
        <v>0.95613792748976667</v>
      </c>
      <c r="K300" s="69" t="e">
        <f t="shared" si="82"/>
        <v>#VALUE!</v>
      </c>
      <c r="L300" s="69">
        <f t="shared" si="82"/>
        <v>0.2203391772221896</v>
      </c>
      <c r="M300" s="69" t="e">
        <f t="shared" si="82"/>
        <v>#VALUE!</v>
      </c>
      <c r="N300" s="69">
        <f t="shared" si="82"/>
        <v>0.13895792710968954</v>
      </c>
      <c r="O300" s="69">
        <f t="shared" si="82"/>
        <v>0.44101146877229974</v>
      </c>
      <c r="P300" s="69">
        <f t="shared" si="82"/>
        <v>0.17333727758511164</v>
      </c>
      <c r="Q300" s="69">
        <f t="shared" si="82"/>
        <v>3.3342763609909565E-2</v>
      </c>
      <c r="R300" s="69">
        <f t="shared" si="82"/>
        <v>1.2895267852173651</v>
      </c>
      <c r="S300" s="69">
        <f t="shared" si="82"/>
        <v>0.64180371645161971</v>
      </c>
      <c r="T300" s="69">
        <f t="shared" si="82"/>
        <v>1.3444939132836937E-2</v>
      </c>
      <c r="U300" s="69">
        <f t="shared" si="82"/>
        <v>1.204738322176035</v>
      </c>
      <c r="V300" s="69">
        <f t="shared" si="82"/>
        <v>1.0864817557777227</v>
      </c>
      <c r="W300" s="69">
        <f t="shared" si="82"/>
        <v>-1.739197982312179</v>
      </c>
      <c r="X300" s="69">
        <f t="shared" si="82"/>
        <v>0.46298891292894073</v>
      </c>
      <c r="Y300" s="69">
        <f t="shared" si="82"/>
        <v>1.6868256978492053</v>
      </c>
      <c r="Z300" s="69">
        <f t="shared" si="82"/>
        <v>0.62231574319071992</v>
      </c>
      <c r="AA300" s="69">
        <f t="shared" si="82"/>
        <v>0.33866542550584999</v>
      </c>
      <c r="AB300" s="69">
        <f t="shared" si="82"/>
        <v>0.50450751045778675</v>
      </c>
      <c r="AC300" s="69">
        <f t="shared" si="82"/>
        <v>0.16109589213333539</v>
      </c>
      <c r="AD300" s="69">
        <f t="shared" si="82"/>
        <v>0.17931703739044222</v>
      </c>
      <c r="AE300" s="69" t="e">
        <f t="shared" si="82"/>
        <v>#VALUE!</v>
      </c>
      <c r="AF300" s="69">
        <f t="shared" si="82"/>
        <v>0.12108139905390065</v>
      </c>
      <c r="AG300" s="69">
        <f t="shared" si="82"/>
        <v>0.97209135557464044</v>
      </c>
      <c r="AH300" s="69">
        <f t="shared" si="82"/>
        <v>0.17027623170840198</v>
      </c>
      <c r="AI300" s="69">
        <f t="shared" si="82"/>
        <v>-1.2888686096561912</v>
      </c>
      <c r="AJ300" s="69">
        <f t="shared" si="82"/>
        <v>1.4355425747023078</v>
      </c>
      <c r="AK300" s="69">
        <f t="shared" ref="AK300:BD300" si="83">IF(AND(AK289,AK291&gt;0),((AK289-AK291)/(AK289+AK291))*100,"uncalcuable")</f>
        <v>1.1959225390967658</v>
      </c>
      <c r="AL300" s="69">
        <f t="shared" si="83"/>
        <v>1.3453398398533272</v>
      </c>
      <c r="AM300" s="69">
        <f t="shared" si="83"/>
        <v>1.0136445909780649</v>
      </c>
      <c r="AN300" s="69">
        <f t="shared" si="83"/>
        <v>1.1961206704547627</v>
      </c>
      <c r="AO300" s="69">
        <f t="shared" si="83"/>
        <v>0.25779572109298965</v>
      </c>
      <c r="AP300" s="69">
        <f t="shared" si="83"/>
        <v>0.37480418651933911</v>
      </c>
      <c r="AQ300" s="69">
        <f t="shared" si="83"/>
        <v>-2.3395433211446541E-2</v>
      </c>
      <c r="AR300" s="69">
        <f t="shared" si="83"/>
        <v>0.54336981928053429</v>
      </c>
      <c r="AS300" s="69">
        <f t="shared" si="83"/>
        <v>0.54822688979963297</v>
      </c>
      <c r="AT300" s="69">
        <f t="shared" si="83"/>
        <v>-7.0291920256952911E-2</v>
      </c>
      <c r="AU300" s="69">
        <f t="shared" si="83"/>
        <v>0.24452779605578684</v>
      </c>
      <c r="AV300" s="69">
        <f t="shared" si="83"/>
        <v>-2.0189783969319051E-2</v>
      </c>
      <c r="AW300" s="69">
        <f t="shared" si="83"/>
        <v>0.96588698171127096</v>
      </c>
      <c r="AX300" s="69">
        <f t="shared" si="83"/>
        <v>0.76759076665171244</v>
      </c>
      <c r="AY300" s="69">
        <f t="shared" si="83"/>
        <v>0.52534700280150703</v>
      </c>
      <c r="AZ300" s="69">
        <f t="shared" si="83"/>
        <v>8.0310832030495563E-2</v>
      </c>
      <c r="BA300" s="69">
        <f t="shared" si="83"/>
        <v>-1.1399381459649487</v>
      </c>
      <c r="BB300" s="69">
        <f t="shared" si="83"/>
        <v>0.88174447061143291</v>
      </c>
      <c r="BC300" s="69">
        <f t="shared" si="83"/>
        <v>1.1044428936961992</v>
      </c>
      <c r="BD300" s="69" t="e">
        <f t="shared" si="83"/>
        <v>#VALUE!</v>
      </c>
      <c r="BE300" s="293"/>
      <c r="BF300" s="8">
        <f>COUNT(E300:BD300)</f>
        <v>47</v>
      </c>
      <c r="BI300" s="123"/>
      <c r="BJ300" s="123"/>
      <c r="BK300" s="123"/>
      <c r="BL300" s="123"/>
      <c r="BM300" s="123"/>
      <c r="BN300" s="123"/>
      <c r="BO300" s="123"/>
      <c r="BP300" s="123"/>
      <c r="BQ300" s="123"/>
      <c r="BR300" s="123"/>
      <c r="BS300" s="123"/>
      <c r="BT300" s="123"/>
    </row>
    <row r="301" spans="1:72">
      <c r="A301" s="45" t="s">
        <v>181</v>
      </c>
      <c r="B301" s="38"/>
      <c r="C301" s="113"/>
      <c r="D301" s="38"/>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c r="AD301" s="323"/>
      <c r="AE301" s="323"/>
      <c r="AF301" s="323"/>
      <c r="AG301" s="323"/>
      <c r="AH301" s="323"/>
      <c r="AI301" s="323"/>
      <c r="AJ301" s="323"/>
      <c r="AK301" s="323"/>
      <c r="AL301" s="323"/>
      <c r="AM301" s="323"/>
      <c r="AN301" s="323"/>
      <c r="AO301" s="323"/>
      <c r="AP301" s="323"/>
      <c r="AQ301" s="323"/>
      <c r="AR301" s="323"/>
      <c r="AS301" s="323"/>
      <c r="AT301" s="323"/>
      <c r="AU301" s="323"/>
      <c r="AV301" s="323"/>
      <c r="AW301" s="323"/>
      <c r="AX301" s="323"/>
      <c r="AY301" s="323"/>
      <c r="AZ301" s="323"/>
      <c r="BA301" s="323"/>
      <c r="BB301" s="323"/>
      <c r="BC301" s="323"/>
      <c r="BD301" s="323"/>
      <c r="BE301" s="293"/>
      <c r="BI301" s="38"/>
      <c r="BJ301" s="38"/>
      <c r="BK301" s="38"/>
      <c r="BL301" s="38"/>
      <c r="BM301" s="38"/>
      <c r="BN301" s="38"/>
      <c r="BO301" s="38"/>
      <c r="BP301" s="38"/>
      <c r="BQ301" s="38"/>
      <c r="BR301" s="38"/>
      <c r="BS301" s="38"/>
      <c r="BT301" s="38"/>
    </row>
    <row r="302" spans="1:72">
      <c r="C302" s="11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c r="AA302" s="323"/>
      <c r="AB302" s="323"/>
      <c r="AC302" s="323"/>
      <c r="AD302" s="323"/>
      <c r="AE302" s="323"/>
      <c r="AF302" s="323"/>
      <c r="AG302" s="323"/>
      <c r="AH302" s="323"/>
      <c r="AI302" s="323"/>
      <c r="AJ302" s="323"/>
      <c r="AK302" s="323"/>
      <c r="AL302" s="323"/>
      <c r="AM302" s="323"/>
      <c r="AN302" s="323"/>
      <c r="AO302" s="323"/>
      <c r="AP302" s="323"/>
      <c r="AQ302" s="323"/>
      <c r="AR302" s="323"/>
      <c r="AS302" s="323"/>
      <c r="AT302" s="323"/>
      <c r="AU302" s="323"/>
      <c r="AV302" s="323"/>
      <c r="AW302" s="323"/>
      <c r="AX302" s="323"/>
      <c r="AY302" s="323"/>
      <c r="AZ302" s="323"/>
      <c r="BA302" s="323"/>
      <c r="BB302" s="323"/>
      <c r="BC302" s="323"/>
      <c r="BD302" s="323"/>
      <c r="BE302" s="293"/>
      <c r="BF302" s="352">
        <f>SUM(BF14:BF300)</f>
        <v>6478.2428132731966</v>
      </c>
    </row>
    <row r="303" spans="1:72">
      <c r="C303" s="11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c r="AA303" s="323"/>
      <c r="AB303" s="323"/>
      <c r="AC303" s="323"/>
      <c r="AD303" s="323"/>
      <c r="AE303" s="323"/>
      <c r="AF303" s="323"/>
      <c r="AG303" s="323"/>
      <c r="AH303" s="323"/>
      <c r="AI303" s="323"/>
      <c r="AJ303" s="323"/>
      <c r="AK303" s="323"/>
      <c r="AL303" s="323"/>
      <c r="AM303" s="323"/>
      <c r="AN303" s="323"/>
      <c r="AO303" s="323"/>
      <c r="AP303" s="323"/>
      <c r="AQ303" s="323"/>
      <c r="AR303" s="323"/>
      <c r="AS303" s="323"/>
      <c r="AT303" s="323"/>
      <c r="AU303" s="323"/>
      <c r="AV303" s="323"/>
      <c r="AW303" s="323"/>
      <c r="AX303" s="323"/>
      <c r="AY303" s="323"/>
      <c r="AZ303" s="323"/>
      <c r="BA303" s="323"/>
      <c r="BB303" s="323"/>
      <c r="BC303" s="323"/>
      <c r="BD303" s="323"/>
      <c r="BE303" s="293"/>
    </row>
    <row r="304" spans="1:72">
      <c r="B304" s="295" t="s">
        <v>183</v>
      </c>
      <c r="C304" s="124"/>
      <c r="D304" s="295" t="s">
        <v>184</v>
      </c>
      <c r="E304" s="330">
        <f t="shared" ref="E304:AJ304" si="84">IF(E25&gt;0,(2.6-(0.024*E25)),"uncalcuable")</f>
        <v>2.5304000000000002</v>
      </c>
      <c r="F304" s="330">
        <f t="shared" si="84"/>
        <v>2.5327999999999999</v>
      </c>
      <c r="G304" s="330">
        <f t="shared" si="84"/>
        <v>2.5232000000000001</v>
      </c>
      <c r="H304" s="330">
        <f t="shared" si="84"/>
        <v>2.5184000000000002</v>
      </c>
      <c r="I304" s="330">
        <f t="shared" si="84"/>
        <v>2.5256000000000003</v>
      </c>
      <c r="J304" s="330">
        <f t="shared" si="84"/>
        <v>2.5207999999999999</v>
      </c>
      <c r="K304" s="330">
        <f t="shared" si="84"/>
        <v>2.5136000000000003</v>
      </c>
      <c r="L304" s="330">
        <f t="shared" si="84"/>
        <v>2.5207999999999999</v>
      </c>
      <c r="M304" s="330" t="str">
        <f t="shared" si="84"/>
        <v>uncalcuable</v>
      </c>
      <c r="N304" s="330">
        <f t="shared" si="84"/>
        <v>2.516</v>
      </c>
      <c r="O304" s="330">
        <f t="shared" si="84"/>
        <v>2.5064000000000002</v>
      </c>
      <c r="P304" s="330">
        <f t="shared" si="84"/>
        <v>2.5184000000000002</v>
      </c>
      <c r="Q304" s="330">
        <f t="shared" si="84"/>
        <v>2.492</v>
      </c>
      <c r="R304" s="330">
        <f t="shared" si="84"/>
        <v>2.4824000000000002</v>
      </c>
      <c r="S304" s="330">
        <f t="shared" si="84"/>
        <v>2.468</v>
      </c>
      <c r="T304" s="330">
        <f t="shared" si="84"/>
        <v>2.4488000000000003</v>
      </c>
      <c r="U304" s="330">
        <f t="shared" si="84"/>
        <v>2.4296000000000002</v>
      </c>
      <c r="V304" s="330">
        <f t="shared" si="84"/>
        <v>2.4079999999999999</v>
      </c>
      <c r="W304" s="330">
        <f t="shared" si="84"/>
        <v>2.3384</v>
      </c>
      <c r="X304" s="330">
        <f t="shared" si="84"/>
        <v>2.2591999999999999</v>
      </c>
      <c r="Y304" s="330">
        <f t="shared" si="84"/>
        <v>2.3048000000000002</v>
      </c>
      <c r="Z304" s="330">
        <f t="shared" si="84"/>
        <v>2.2208000000000001</v>
      </c>
      <c r="AA304" s="330">
        <f t="shared" si="84"/>
        <v>2.2328000000000001</v>
      </c>
      <c r="AB304" s="330">
        <f t="shared" si="84"/>
        <v>2.1896</v>
      </c>
      <c r="AC304" s="330">
        <f t="shared" si="84"/>
        <v>2.1848000000000001</v>
      </c>
      <c r="AD304" s="330">
        <f t="shared" si="84"/>
        <v>2.1128</v>
      </c>
      <c r="AE304" s="330">
        <f t="shared" si="84"/>
        <v>2.1392000000000002</v>
      </c>
      <c r="AF304" s="330">
        <f t="shared" si="84"/>
        <v>2.0984000000000003</v>
      </c>
      <c r="AG304" s="330">
        <f t="shared" si="84"/>
        <v>2.0888</v>
      </c>
      <c r="AH304" s="330">
        <f t="shared" si="84"/>
        <v>2.06</v>
      </c>
      <c r="AI304" s="330">
        <f t="shared" si="84"/>
        <v>2.0815999999999999</v>
      </c>
      <c r="AJ304" s="330">
        <f t="shared" si="84"/>
        <v>2.0384000000000002</v>
      </c>
      <c r="AK304" s="330">
        <f t="shared" ref="AK304:BD304" si="85">IF(AK25&gt;0,(2.6-(0.024*AK25)),"uncalcuable")</f>
        <v>2.0960000000000001</v>
      </c>
      <c r="AL304" s="330">
        <f t="shared" si="85"/>
        <v>2.0960000000000001</v>
      </c>
      <c r="AM304" s="330">
        <f t="shared" si="85"/>
        <v>2.1175999999999999</v>
      </c>
      <c r="AN304" s="330">
        <f t="shared" si="85"/>
        <v>2.1656</v>
      </c>
      <c r="AO304" s="330">
        <f t="shared" si="85"/>
        <v>2.2160000000000002</v>
      </c>
      <c r="AP304" s="330">
        <f t="shared" si="85"/>
        <v>2.2376</v>
      </c>
      <c r="AQ304" s="330">
        <f t="shared" si="85"/>
        <v>2.2760000000000002</v>
      </c>
      <c r="AR304" s="330">
        <f t="shared" si="85"/>
        <v>2.2472000000000003</v>
      </c>
      <c r="AS304" s="330">
        <f t="shared" si="85"/>
        <v>2.3624000000000001</v>
      </c>
      <c r="AT304" s="330">
        <f t="shared" si="85"/>
        <v>2.4488000000000003</v>
      </c>
      <c r="AU304" s="330">
        <f t="shared" si="85"/>
        <v>2.4607999999999999</v>
      </c>
      <c r="AV304" s="330">
        <f t="shared" si="85"/>
        <v>2.5112000000000001</v>
      </c>
      <c r="AW304" s="330">
        <f t="shared" si="85"/>
        <v>2.504</v>
      </c>
      <c r="AX304" s="330">
        <f t="shared" si="85"/>
        <v>2.5256000000000003</v>
      </c>
      <c r="AY304" s="330">
        <f t="shared" si="85"/>
        <v>2.5376000000000003</v>
      </c>
      <c r="AZ304" s="330">
        <f t="shared" si="85"/>
        <v>2.5880000000000001</v>
      </c>
      <c r="BA304" s="330">
        <f t="shared" si="85"/>
        <v>2.5688</v>
      </c>
      <c r="BB304" s="330">
        <f t="shared" si="85"/>
        <v>2.5592000000000001</v>
      </c>
      <c r="BC304" s="330">
        <f t="shared" si="85"/>
        <v>2.5448</v>
      </c>
      <c r="BD304" s="330">
        <f t="shared" si="85"/>
        <v>2.5376000000000003</v>
      </c>
      <c r="BE304" s="293"/>
    </row>
    <row r="305" spans="1:57">
      <c r="C305" s="113"/>
      <c r="D305" s="295" t="s">
        <v>185</v>
      </c>
      <c r="E305" s="330" t="e">
        <f t="shared" ref="E305:W305" si="86">IF(E27&gt;0,LOG10(E27),"uncalcuable")</f>
        <v>#VALUE!</v>
      </c>
      <c r="F305" s="330">
        <f t="shared" si="86"/>
        <v>2.7529698650290841</v>
      </c>
      <c r="G305" s="330">
        <f t="shared" si="86"/>
        <v>2.7540423867854362</v>
      </c>
      <c r="H305" s="330">
        <f t="shared" si="86"/>
        <v>2.7544477227228819</v>
      </c>
      <c r="I305" s="330">
        <f t="shared" si="86"/>
        <v>2.7612811751183437</v>
      </c>
      <c r="J305" s="330">
        <f t="shared" si="86"/>
        <v>2.7612059191820095</v>
      </c>
      <c r="K305" s="330" t="e">
        <f t="shared" si="86"/>
        <v>#VALUE!</v>
      </c>
      <c r="L305" s="330">
        <f t="shared" si="86"/>
        <v>2.7671484421814307</v>
      </c>
      <c r="M305" s="330" t="e">
        <f t="shared" si="86"/>
        <v>#VALUE!</v>
      </c>
      <c r="N305" s="330">
        <f t="shared" si="86"/>
        <v>2.7765559107032618</v>
      </c>
      <c r="O305" s="330">
        <f t="shared" si="86"/>
        <v>2.7790550893818882</v>
      </c>
      <c r="P305" s="330">
        <f t="shared" si="86"/>
        <v>2.7738522421909102</v>
      </c>
      <c r="Q305" s="330">
        <f t="shared" si="86"/>
        <v>2.7712713817327281</v>
      </c>
      <c r="R305" s="330">
        <f t="shared" si="86"/>
        <v>2.7606938326865871</v>
      </c>
      <c r="S305" s="330">
        <f t="shared" si="86"/>
        <v>2.7566208962637835</v>
      </c>
      <c r="T305" s="330">
        <f t="shared" si="86"/>
        <v>2.754654069255432</v>
      </c>
      <c r="U305" s="330">
        <f t="shared" si="86"/>
        <v>2.7762361383201992</v>
      </c>
      <c r="V305" s="330">
        <f t="shared" si="86"/>
        <v>2.6496074244065975</v>
      </c>
      <c r="W305" s="330">
        <f t="shared" si="86"/>
        <v>2.652922887567942</v>
      </c>
      <c r="X305" s="330">
        <f>IF(CHECK&gt;0,LOG10(CHECK),"uncalcuable")</f>
        <v>2.6663681980109222</v>
      </c>
      <c r="Y305" s="330">
        <f t="shared" ref="Y305:BD305" si="87">IF(Y27&gt;0,LOG10(Y27),"uncalcuable")</f>
        <v>2.6701159164854888</v>
      </c>
      <c r="Z305" s="330">
        <f t="shared" si="87"/>
        <v>2.6781904858709682</v>
      </c>
      <c r="AA305" s="330">
        <f t="shared" si="87"/>
        <v>2.6820547770738075</v>
      </c>
      <c r="AB305" s="330">
        <f t="shared" si="87"/>
        <v>2.684234766812629</v>
      </c>
      <c r="AC305" s="330">
        <f t="shared" si="87"/>
        <v>2.6700973509417478</v>
      </c>
      <c r="AD305" s="330">
        <f t="shared" si="87"/>
        <v>2.6584311708034911</v>
      </c>
      <c r="AE305" s="330" t="e">
        <f t="shared" si="87"/>
        <v>#VALUE!</v>
      </c>
      <c r="AF305" s="330">
        <f t="shared" si="87"/>
        <v>2.6576198779516744</v>
      </c>
      <c r="AG305" s="330">
        <f t="shared" si="87"/>
        <v>2.6550423413312019</v>
      </c>
      <c r="AH305" s="330">
        <f t="shared" si="87"/>
        <v>2.6113940113402916</v>
      </c>
      <c r="AI305" s="330">
        <f t="shared" si="87"/>
        <v>2.6269149396329801</v>
      </c>
      <c r="AJ305" s="330">
        <f t="shared" si="87"/>
        <v>2.6098077693287025</v>
      </c>
      <c r="AK305" s="330">
        <f t="shared" si="87"/>
        <v>2.6084725457414342</v>
      </c>
      <c r="AL305" s="330">
        <f t="shared" si="87"/>
        <v>2.6139474767803499</v>
      </c>
      <c r="AM305" s="330">
        <f t="shared" si="87"/>
        <v>2.6143276217508506</v>
      </c>
      <c r="AN305" s="330">
        <f t="shared" si="87"/>
        <v>2.6149393784992521</v>
      </c>
      <c r="AO305" s="330">
        <f t="shared" si="87"/>
        <v>2.6206772838474039</v>
      </c>
      <c r="AP305" s="330">
        <f t="shared" si="87"/>
        <v>2.6122433004850887</v>
      </c>
      <c r="AQ305" s="330">
        <f t="shared" si="87"/>
        <v>2.6142853998490185</v>
      </c>
      <c r="AR305" s="330">
        <f t="shared" si="87"/>
        <v>2.6159500516564012</v>
      </c>
      <c r="AS305" s="330">
        <f t="shared" si="87"/>
        <v>2.614992075826426</v>
      </c>
      <c r="AT305" s="330">
        <f t="shared" si="87"/>
        <v>2.6306312440205</v>
      </c>
      <c r="AU305" s="330">
        <f t="shared" si="87"/>
        <v>2.6321838739435832</v>
      </c>
      <c r="AV305" s="330">
        <f t="shared" si="87"/>
        <v>2.6301429983458009</v>
      </c>
      <c r="AW305" s="330">
        <f t="shared" si="87"/>
        <v>2.6373996591054145</v>
      </c>
      <c r="AX305" s="330">
        <f t="shared" si="87"/>
        <v>2.6344772701607315</v>
      </c>
      <c r="AY305" s="330">
        <f t="shared" si="87"/>
        <v>2.6414741105040997</v>
      </c>
      <c r="AZ305" s="330">
        <f t="shared" si="87"/>
        <v>2.6411269328035094</v>
      </c>
      <c r="BA305" s="330">
        <f t="shared" si="87"/>
        <v>2.6619451298876604</v>
      </c>
      <c r="BB305" s="330">
        <f t="shared" si="87"/>
        <v>2.6739604005527746</v>
      </c>
      <c r="BC305" s="330">
        <f t="shared" si="87"/>
        <v>2.6833352708572962</v>
      </c>
      <c r="BD305" s="330" t="e">
        <f t="shared" si="87"/>
        <v>#VALUE!</v>
      </c>
      <c r="BE305" s="293"/>
    </row>
    <row r="306" spans="1:57">
      <c r="C306" s="113"/>
      <c r="D306" s="295" t="s">
        <v>186</v>
      </c>
      <c r="E306" s="330" t="e">
        <f t="shared" ref="E306:AJ306" si="88">IF(E305&gt;0,(9.6+0.1*E305),"uncalcuable")</f>
        <v>#VALUE!</v>
      </c>
      <c r="F306" s="330">
        <f t="shared" si="88"/>
        <v>9.8752969865029083</v>
      </c>
      <c r="G306" s="330">
        <f t="shared" si="88"/>
        <v>9.8754042386785432</v>
      </c>
      <c r="H306" s="330">
        <f t="shared" si="88"/>
        <v>9.8754447722722887</v>
      </c>
      <c r="I306" s="330">
        <f t="shared" si="88"/>
        <v>9.8761281175118345</v>
      </c>
      <c r="J306" s="330">
        <f t="shared" si="88"/>
        <v>9.8761205919182</v>
      </c>
      <c r="K306" s="330" t="e">
        <f t="shared" si="88"/>
        <v>#VALUE!</v>
      </c>
      <c r="L306" s="330">
        <f t="shared" si="88"/>
        <v>9.8767148442181423</v>
      </c>
      <c r="M306" s="330" t="e">
        <f t="shared" si="88"/>
        <v>#VALUE!</v>
      </c>
      <c r="N306" s="330">
        <f t="shared" si="88"/>
        <v>9.8776555910703259</v>
      </c>
      <c r="O306" s="330">
        <f t="shared" si="88"/>
        <v>9.8779055089381878</v>
      </c>
      <c r="P306" s="330">
        <f t="shared" si="88"/>
        <v>9.8773852242190898</v>
      </c>
      <c r="Q306" s="330">
        <f t="shared" si="88"/>
        <v>9.8771271381732717</v>
      </c>
      <c r="R306" s="330">
        <f t="shared" si="88"/>
        <v>9.8760693832686588</v>
      </c>
      <c r="S306" s="330">
        <f t="shared" si="88"/>
        <v>9.8756620896263776</v>
      </c>
      <c r="T306" s="330">
        <f t="shared" si="88"/>
        <v>9.8754654069255423</v>
      </c>
      <c r="U306" s="330">
        <f t="shared" si="88"/>
        <v>9.8776236138320197</v>
      </c>
      <c r="V306" s="330">
        <f t="shared" si="88"/>
        <v>9.86496074244066</v>
      </c>
      <c r="W306" s="330">
        <f t="shared" si="88"/>
        <v>9.8652922887567946</v>
      </c>
      <c r="X306" s="330">
        <f t="shared" si="88"/>
        <v>9.8666368198010925</v>
      </c>
      <c r="Y306" s="330">
        <f t="shared" si="88"/>
        <v>9.8670115916485486</v>
      </c>
      <c r="Z306" s="330">
        <f t="shared" si="88"/>
        <v>9.867819048587096</v>
      </c>
      <c r="AA306" s="330">
        <f t="shared" si="88"/>
        <v>9.8682054777073809</v>
      </c>
      <c r="AB306" s="330">
        <f t="shared" si="88"/>
        <v>9.8684234766812633</v>
      </c>
      <c r="AC306" s="330">
        <f t="shared" si="88"/>
        <v>9.8670097350941752</v>
      </c>
      <c r="AD306" s="330">
        <f t="shared" si="88"/>
        <v>9.8658431170803489</v>
      </c>
      <c r="AE306" s="330" t="e">
        <f t="shared" si="88"/>
        <v>#VALUE!</v>
      </c>
      <c r="AF306" s="330">
        <f t="shared" si="88"/>
        <v>9.8657619877951674</v>
      </c>
      <c r="AG306" s="330">
        <f t="shared" si="88"/>
        <v>9.8655042341331196</v>
      </c>
      <c r="AH306" s="330">
        <f t="shared" si="88"/>
        <v>9.8611394011340288</v>
      </c>
      <c r="AI306" s="330">
        <f t="shared" si="88"/>
        <v>9.8626914939632968</v>
      </c>
      <c r="AJ306" s="330">
        <f t="shared" si="88"/>
        <v>9.8609807769328697</v>
      </c>
      <c r="AK306" s="330">
        <f t="shared" ref="AK306:BD306" si="89">IF(AK305&gt;0,(9.6+0.1*AK305),"uncalcuable")</f>
        <v>9.8608472545741428</v>
      </c>
      <c r="AL306" s="330">
        <f t="shared" si="89"/>
        <v>9.8613947476780339</v>
      </c>
      <c r="AM306" s="330">
        <f t="shared" si="89"/>
        <v>9.8614327621750846</v>
      </c>
      <c r="AN306" s="330">
        <f t="shared" si="89"/>
        <v>9.8614939378499251</v>
      </c>
      <c r="AO306" s="330">
        <f t="shared" si="89"/>
        <v>9.8620677283847407</v>
      </c>
      <c r="AP306" s="330">
        <f t="shared" si="89"/>
        <v>9.8612243300485076</v>
      </c>
      <c r="AQ306" s="330">
        <f t="shared" si="89"/>
        <v>9.8614285399849013</v>
      </c>
      <c r="AR306" s="330">
        <f t="shared" si="89"/>
        <v>9.8615950051656398</v>
      </c>
      <c r="AS306" s="330">
        <f t="shared" si="89"/>
        <v>9.8614992075826429</v>
      </c>
      <c r="AT306" s="330">
        <f t="shared" si="89"/>
        <v>9.8630631244020499</v>
      </c>
      <c r="AU306" s="330">
        <f t="shared" si="89"/>
        <v>9.8632183873943582</v>
      </c>
      <c r="AV306" s="330">
        <f t="shared" si="89"/>
        <v>9.86301429983458</v>
      </c>
      <c r="AW306" s="330">
        <f t="shared" si="89"/>
        <v>9.8637399659105416</v>
      </c>
      <c r="AX306" s="330">
        <f t="shared" si="89"/>
        <v>9.863447727016073</v>
      </c>
      <c r="AY306" s="330">
        <f t="shared" si="89"/>
        <v>9.8641474110504088</v>
      </c>
      <c r="AZ306" s="330">
        <f t="shared" si="89"/>
        <v>9.8641126932803509</v>
      </c>
      <c r="BA306" s="330">
        <f t="shared" si="89"/>
        <v>9.8661945129887663</v>
      </c>
      <c r="BB306" s="330">
        <f t="shared" si="89"/>
        <v>9.8673960400552776</v>
      </c>
      <c r="BC306" s="330">
        <f t="shared" si="89"/>
        <v>9.8683335270857295</v>
      </c>
      <c r="BD306" s="330" t="e">
        <f t="shared" si="89"/>
        <v>#VALUE!</v>
      </c>
      <c r="BE306" s="293"/>
    </row>
    <row r="307" spans="1:57">
      <c r="C307" s="113"/>
      <c r="D307" s="295" t="s">
        <v>187</v>
      </c>
      <c r="E307" s="330" t="str">
        <f t="shared" ref="E307:AJ307" si="90">IF(E36&gt;0,LOG10(E36/0.4),"uncalcuable")</f>
        <v>uncalcuable</v>
      </c>
      <c r="F307" s="330">
        <f t="shared" si="90"/>
        <v>2.1832698436828046</v>
      </c>
      <c r="G307" s="330">
        <f t="shared" si="90"/>
        <v>2.1832698436828046</v>
      </c>
      <c r="H307" s="330">
        <f t="shared" si="90"/>
        <v>2.1832698436828046</v>
      </c>
      <c r="I307" s="330">
        <f t="shared" si="90"/>
        <v>2.1972805581256192</v>
      </c>
      <c r="J307" s="330">
        <f t="shared" si="90"/>
        <v>2.1903316981702914</v>
      </c>
      <c r="K307" s="330" t="str">
        <f t="shared" si="90"/>
        <v>uncalcuable</v>
      </c>
      <c r="L307" s="330">
        <f t="shared" si="90"/>
        <v>2.2041199826559246</v>
      </c>
      <c r="M307" s="330" t="str">
        <f t="shared" si="90"/>
        <v>uncalcuable</v>
      </c>
      <c r="N307" s="330">
        <f t="shared" si="90"/>
        <v>2.2174839442139063</v>
      </c>
      <c r="O307" s="330">
        <f t="shared" si="90"/>
        <v>2.2174839442139063</v>
      </c>
      <c r="P307" s="330">
        <f t="shared" si="90"/>
        <v>2.2174839442139063</v>
      </c>
      <c r="Q307" s="330">
        <f t="shared" si="90"/>
        <v>2.2174839442139063</v>
      </c>
      <c r="R307" s="330">
        <f t="shared" si="90"/>
        <v>2.2108533653148932</v>
      </c>
      <c r="S307" s="330">
        <f t="shared" si="90"/>
        <v>2.1972805581256192</v>
      </c>
      <c r="T307" s="330">
        <f t="shared" si="90"/>
        <v>2.1903316981702914</v>
      </c>
      <c r="U307" s="330">
        <f t="shared" si="90"/>
        <v>2.2174839442139063</v>
      </c>
      <c r="V307" s="330">
        <f t="shared" si="90"/>
        <v>2.1055101847699738</v>
      </c>
      <c r="W307" s="330">
        <f t="shared" si="90"/>
        <v>2.0791812460476247</v>
      </c>
      <c r="X307" s="330">
        <f t="shared" si="90"/>
        <v>2.1139433523068369</v>
      </c>
      <c r="Y307" s="330">
        <f t="shared" si="90"/>
        <v>2.1222158782728267</v>
      </c>
      <c r="Z307" s="330">
        <f t="shared" si="90"/>
        <v>2.1222158782728267</v>
      </c>
      <c r="AA307" s="330">
        <f t="shared" si="90"/>
        <v>2.1383026981662816</v>
      </c>
      <c r="AB307" s="330">
        <f t="shared" si="90"/>
        <v>2.1303337684950061</v>
      </c>
      <c r="AC307" s="330">
        <f t="shared" si="90"/>
        <v>2.1055101847699738</v>
      </c>
      <c r="AD307" s="330">
        <f t="shared" si="90"/>
        <v>2.0791812460476247</v>
      </c>
      <c r="AE307" s="330">
        <f t="shared" si="90"/>
        <v>2.1139433523068369</v>
      </c>
      <c r="AF307" s="330">
        <f t="shared" si="90"/>
        <v>2.0791812460476247</v>
      </c>
      <c r="AG307" s="330">
        <f t="shared" si="90"/>
        <v>2.0969100130080562</v>
      </c>
      <c r="AH307" s="330">
        <f t="shared" si="90"/>
        <v>2.0413926851582249</v>
      </c>
      <c r="AI307" s="330">
        <f t="shared" si="90"/>
        <v>2.0511525224473814</v>
      </c>
      <c r="AJ307" s="330">
        <f t="shared" si="90"/>
        <v>2.0314084642516241</v>
      </c>
      <c r="AK307" s="330">
        <f t="shared" ref="AK307:BD307" si="91">IF(AK36&gt;0,LOG10(AK36/0.4),"uncalcuable")</f>
        <v>2.0606978403536118</v>
      </c>
      <c r="AL307" s="330">
        <f t="shared" si="91"/>
        <v>2.0314084642516241</v>
      </c>
      <c r="AM307" s="330">
        <f t="shared" si="91"/>
        <v>2.0211892990699383</v>
      </c>
      <c r="AN307" s="330">
        <f t="shared" si="91"/>
        <v>2.0314084642516241</v>
      </c>
      <c r="AO307" s="330">
        <f t="shared" si="91"/>
        <v>2.0314084642516241</v>
      </c>
      <c r="AP307" s="330">
        <f t="shared" si="91"/>
        <v>2.0314084642516241</v>
      </c>
      <c r="AQ307" s="330">
        <f t="shared" si="91"/>
        <v>2.0413926851582249</v>
      </c>
      <c r="AR307" s="330">
        <f t="shared" si="91"/>
        <v>2.0413926851582249</v>
      </c>
      <c r="AS307" s="330">
        <f t="shared" si="91"/>
        <v>2.0606978403536118</v>
      </c>
      <c r="AT307" s="330">
        <f t="shared" si="91"/>
        <v>2.0606978403536118</v>
      </c>
      <c r="AU307" s="330">
        <f t="shared" si="91"/>
        <v>2.0791812460476247</v>
      </c>
      <c r="AV307" s="330">
        <f t="shared" si="91"/>
        <v>2.070037866607755</v>
      </c>
      <c r="AW307" s="330">
        <f t="shared" si="91"/>
        <v>2.0791812460476247</v>
      </c>
      <c r="AX307" s="330">
        <f t="shared" si="91"/>
        <v>2.0881360887005513</v>
      </c>
      <c r="AY307" s="330">
        <f t="shared" si="91"/>
        <v>2.0791812460476247</v>
      </c>
      <c r="AZ307" s="330">
        <f t="shared" si="91"/>
        <v>2.0969100130080562</v>
      </c>
      <c r="BA307" s="330">
        <f t="shared" si="91"/>
        <v>2.1055101847699738</v>
      </c>
      <c r="BB307" s="330">
        <f t="shared" si="91"/>
        <v>2.1303337684950061</v>
      </c>
      <c r="BC307" s="330">
        <f t="shared" si="91"/>
        <v>2.1303337684950061</v>
      </c>
      <c r="BD307" s="330" t="str">
        <f t="shared" si="91"/>
        <v>uncalcuable</v>
      </c>
      <c r="BE307" s="293"/>
    </row>
    <row r="308" spans="1:57">
      <c r="C308" s="113"/>
      <c r="D308" s="295" t="s">
        <v>188</v>
      </c>
      <c r="E308" s="330">
        <f t="shared" ref="E308:AJ308" si="92">IF(E33&gt;0,LOG10(E33),"uncalcuable")</f>
        <v>2.3096301674258988</v>
      </c>
      <c r="F308" s="330">
        <f t="shared" si="92"/>
        <v>2.3053513694466239</v>
      </c>
      <c r="G308" s="330">
        <f t="shared" si="92"/>
        <v>2.3053513694466239</v>
      </c>
      <c r="H308" s="330">
        <f t="shared" si="92"/>
        <v>2.3096301674258988</v>
      </c>
      <c r="I308" s="330">
        <f t="shared" si="92"/>
        <v>2.3138672203691533</v>
      </c>
      <c r="J308" s="330">
        <f t="shared" si="92"/>
        <v>2.3096301674258988</v>
      </c>
      <c r="K308" s="330">
        <f t="shared" si="92"/>
        <v>2.3138672203691533</v>
      </c>
      <c r="L308" s="330">
        <f t="shared" si="92"/>
        <v>2.3201462861110542</v>
      </c>
      <c r="M308" s="330" t="str">
        <f t="shared" si="92"/>
        <v>uncalcuable</v>
      </c>
      <c r="N308" s="330">
        <f t="shared" si="92"/>
        <v>2.3324384599156054</v>
      </c>
      <c r="O308" s="330">
        <f t="shared" si="92"/>
        <v>2.3344537511509307</v>
      </c>
      <c r="P308" s="330">
        <f t="shared" si="92"/>
        <v>2.330413773349191</v>
      </c>
      <c r="Q308" s="330">
        <f t="shared" si="92"/>
        <v>2.3324384599156054</v>
      </c>
      <c r="R308" s="330">
        <f t="shared" si="92"/>
        <v>2.3180633349627615</v>
      </c>
      <c r="S308" s="330">
        <f t="shared" si="92"/>
        <v>2.3201462861110542</v>
      </c>
      <c r="T308" s="330">
        <f t="shared" si="92"/>
        <v>2.3117538610557542</v>
      </c>
      <c r="U308" s="330">
        <f t="shared" si="92"/>
        <v>2.3384564936046046</v>
      </c>
      <c r="V308" s="330">
        <f t="shared" si="92"/>
        <v>2.2121876044039577</v>
      </c>
      <c r="W308" s="330">
        <f t="shared" si="92"/>
        <v>2.2304489213782741</v>
      </c>
      <c r="X308" s="330">
        <f t="shared" si="92"/>
        <v>2.2253092817258628</v>
      </c>
      <c r="Y308" s="330">
        <f t="shared" si="92"/>
        <v>2.2304489213782741</v>
      </c>
      <c r="Z308" s="330">
        <f t="shared" si="92"/>
        <v>2.2430380486862944</v>
      </c>
      <c r="AA308" s="330">
        <f t="shared" si="92"/>
        <v>2.2455126678141499</v>
      </c>
      <c r="AB308" s="330">
        <f t="shared" si="92"/>
        <v>2.2455126678141499</v>
      </c>
      <c r="AC308" s="330">
        <f t="shared" si="92"/>
        <v>2.2253092817258628</v>
      </c>
      <c r="AD308" s="330">
        <f t="shared" si="92"/>
        <v>2.2041199826559246</v>
      </c>
      <c r="AE308" s="330">
        <f t="shared" si="92"/>
        <v>2.1903316981702914</v>
      </c>
      <c r="AF308" s="330">
        <f t="shared" si="92"/>
        <v>2.1986570869544226</v>
      </c>
      <c r="AG308" s="330">
        <f t="shared" si="92"/>
        <v>2.2068258760318495</v>
      </c>
      <c r="AH308" s="330">
        <f t="shared" si="92"/>
        <v>2.1398790864012365</v>
      </c>
      <c r="AI308" s="330">
        <f t="shared" si="92"/>
        <v>2.1583624920952498</v>
      </c>
      <c r="AJ308" s="330">
        <f t="shared" si="92"/>
        <v>2.1461280356782382</v>
      </c>
      <c r="AK308" s="330">
        <f t="shared" ref="AK308:BD308" si="93">IF(AK33&gt;0,LOG10(AK33),"uncalcuable")</f>
        <v>2.1643528557844371</v>
      </c>
      <c r="AL308" s="330">
        <f t="shared" si="93"/>
        <v>2.1583624920952498</v>
      </c>
      <c r="AM308" s="330">
        <f t="shared" si="93"/>
        <v>2.1643528557844371</v>
      </c>
      <c r="AN308" s="330">
        <f t="shared" si="93"/>
        <v>2.1583624920952498</v>
      </c>
      <c r="AO308" s="330">
        <f t="shared" si="93"/>
        <v>2.1613680022349748</v>
      </c>
      <c r="AP308" s="330">
        <f t="shared" si="93"/>
        <v>2.1613680022349748</v>
      </c>
      <c r="AQ308" s="330">
        <f t="shared" si="93"/>
        <v>2.1760912590556813</v>
      </c>
      <c r="AR308" s="330">
        <f t="shared" si="93"/>
        <v>2.1789769472931693</v>
      </c>
      <c r="AS308" s="330">
        <f t="shared" si="93"/>
        <v>2.1875207208364631</v>
      </c>
      <c r="AT308" s="330">
        <f t="shared" si="93"/>
        <v>2.1958996524092336</v>
      </c>
      <c r="AU308" s="330">
        <f t="shared" si="93"/>
        <v>2.1958996524092336</v>
      </c>
      <c r="AV308" s="330">
        <f t="shared" si="93"/>
        <v>2.1958996524092336</v>
      </c>
      <c r="AW308" s="330">
        <f t="shared" si="93"/>
        <v>2.2041199826559246</v>
      </c>
      <c r="AX308" s="330">
        <f t="shared" si="93"/>
        <v>2.2041199826559246</v>
      </c>
      <c r="AY308" s="330">
        <f t="shared" si="93"/>
        <v>2.2121876044039577</v>
      </c>
      <c r="AZ308" s="330">
        <f t="shared" si="93"/>
        <v>2.214843848047698</v>
      </c>
      <c r="BA308" s="330">
        <f t="shared" si="93"/>
        <v>2.2329961103921536</v>
      </c>
      <c r="BB308" s="330">
        <f t="shared" si="93"/>
        <v>2.2455126678141499</v>
      </c>
      <c r="BC308" s="330">
        <f t="shared" si="93"/>
        <v>2.255272505103306</v>
      </c>
      <c r="BD308" s="330" t="str">
        <f t="shared" si="93"/>
        <v>uncalcuable</v>
      </c>
      <c r="BE308" s="293"/>
    </row>
    <row r="309" spans="1:57">
      <c r="B309" s="43" t="s">
        <v>189</v>
      </c>
      <c r="C309" s="124"/>
      <c r="D309" s="43" t="s">
        <v>190</v>
      </c>
      <c r="E309" s="101">
        <f t="shared" ref="E309:AJ309" si="94">IF(E25&gt;0,(2.6-(0.024*E25)),"uncalcuable")</f>
        <v>2.5304000000000002</v>
      </c>
      <c r="F309" s="101">
        <f t="shared" si="94"/>
        <v>2.5327999999999999</v>
      </c>
      <c r="G309" s="101">
        <f t="shared" si="94"/>
        <v>2.5232000000000001</v>
      </c>
      <c r="H309" s="101">
        <f t="shared" si="94"/>
        <v>2.5184000000000002</v>
      </c>
      <c r="I309" s="101">
        <f t="shared" si="94"/>
        <v>2.5256000000000003</v>
      </c>
      <c r="J309" s="101">
        <f t="shared" si="94"/>
        <v>2.5207999999999999</v>
      </c>
      <c r="K309" s="101">
        <f t="shared" si="94"/>
        <v>2.5136000000000003</v>
      </c>
      <c r="L309" s="101">
        <f t="shared" si="94"/>
        <v>2.5207999999999999</v>
      </c>
      <c r="M309" s="101" t="str">
        <f t="shared" si="94"/>
        <v>uncalcuable</v>
      </c>
      <c r="N309" s="101">
        <f t="shared" si="94"/>
        <v>2.516</v>
      </c>
      <c r="O309" s="101">
        <f t="shared" si="94"/>
        <v>2.5064000000000002</v>
      </c>
      <c r="P309" s="101">
        <f t="shared" si="94"/>
        <v>2.5184000000000002</v>
      </c>
      <c r="Q309" s="101">
        <f t="shared" si="94"/>
        <v>2.492</v>
      </c>
      <c r="R309" s="101">
        <f t="shared" si="94"/>
        <v>2.4824000000000002</v>
      </c>
      <c r="S309" s="101">
        <f t="shared" si="94"/>
        <v>2.468</v>
      </c>
      <c r="T309" s="101">
        <f t="shared" si="94"/>
        <v>2.4488000000000003</v>
      </c>
      <c r="U309" s="101">
        <f t="shared" si="94"/>
        <v>2.4296000000000002</v>
      </c>
      <c r="V309" s="101">
        <f t="shared" si="94"/>
        <v>2.4079999999999999</v>
      </c>
      <c r="W309" s="101">
        <f t="shared" si="94"/>
        <v>2.3384</v>
      </c>
      <c r="X309" s="101">
        <f t="shared" si="94"/>
        <v>2.2591999999999999</v>
      </c>
      <c r="Y309" s="101">
        <f t="shared" si="94"/>
        <v>2.3048000000000002</v>
      </c>
      <c r="Z309" s="101">
        <f t="shared" si="94"/>
        <v>2.2208000000000001</v>
      </c>
      <c r="AA309" s="101">
        <f t="shared" si="94"/>
        <v>2.2328000000000001</v>
      </c>
      <c r="AB309" s="101">
        <f t="shared" si="94"/>
        <v>2.1896</v>
      </c>
      <c r="AC309" s="101">
        <f t="shared" si="94"/>
        <v>2.1848000000000001</v>
      </c>
      <c r="AD309" s="101">
        <f t="shared" si="94"/>
        <v>2.1128</v>
      </c>
      <c r="AE309" s="101">
        <f t="shared" si="94"/>
        <v>2.1392000000000002</v>
      </c>
      <c r="AF309" s="101">
        <f t="shared" si="94"/>
        <v>2.0984000000000003</v>
      </c>
      <c r="AG309" s="101">
        <f t="shared" si="94"/>
        <v>2.0888</v>
      </c>
      <c r="AH309" s="101">
        <f t="shared" si="94"/>
        <v>2.06</v>
      </c>
      <c r="AI309" s="101">
        <f t="shared" si="94"/>
        <v>2.0815999999999999</v>
      </c>
      <c r="AJ309" s="101">
        <f t="shared" si="94"/>
        <v>2.0384000000000002</v>
      </c>
      <c r="AK309" s="101">
        <f t="shared" ref="AK309:BD309" si="95">IF(AK25&gt;0,(2.6-(0.024*AK25)),"uncalcuable")</f>
        <v>2.0960000000000001</v>
      </c>
      <c r="AL309" s="101">
        <f t="shared" si="95"/>
        <v>2.0960000000000001</v>
      </c>
      <c r="AM309" s="101">
        <f t="shared" si="95"/>
        <v>2.1175999999999999</v>
      </c>
      <c r="AN309" s="101">
        <f t="shared" si="95"/>
        <v>2.1656</v>
      </c>
      <c r="AO309" s="101">
        <f t="shared" si="95"/>
        <v>2.2160000000000002</v>
      </c>
      <c r="AP309" s="101">
        <f t="shared" si="95"/>
        <v>2.2376</v>
      </c>
      <c r="AQ309" s="101">
        <f t="shared" si="95"/>
        <v>2.2760000000000002</v>
      </c>
      <c r="AR309" s="101">
        <f t="shared" si="95"/>
        <v>2.2472000000000003</v>
      </c>
      <c r="AS309" s="101">
        <f t="shared" si="95"/>
        <v>2.3624000000000001</v>
      </c>
      <c r="AT309" s="101">
        <f t="shared" si="95"/>
        <v>2.4488000000000003</v>
      </c>
      <c r="AU309" s="101">
        <f t="shared" si="95"/>
        <v>2.4607999999999999</v>
      </c>
      <c r="AV309" s="101">
        <f t="shared" si="95"/>
        <v>2.5112000000000001</v>
      </c>
      <c r="AW309" s="101">
        <f t="shared" si="95"/>
        <v>2.504</v>
      </c>
      <c r="AX309" s="101">
        <f t="shared" si="95"/>
        <v>2.5256000000000003</v>
      </c>
      <c r="AY309" s="101">
        <f t="shared" si="95"/>
        <v>2.5376000000000003</v>
      </c>
      <c r="AZ309" s="101">
        <f t="shared" si="95"/>
        <v>2.5880000000000001</v>
      </c>
      <c r="BA309" s="101">
        <f t="shared" si="95"/>
        <v>2.5688</v>
      </c>
      <c r="BB309" s="101">
        <f t="shared" si="95"/>
        <v>2.5592000000000001</v>
      </c>
      <c r="BC309" s="101">
        <f t="shared" si="95"/>
        <v>2.5448</v>
      </c>
      <c r="BD309" s="101">
        <f t="shared" si="95"/>
        <v>2.5376000000000003</v>
      </c>
      <c r="BE309" s="293"/>
    </row>
    <row r="310" spans="1:57">
      <c r="B310" s="38"/>
      <c r="C310" s="113"/>
      <c r="D310" s="43" t="s">
        <v>185</v>
      </c>
      <c r="E310" s="101" t="e">
        <f t="shared" ref="E310:AJ310" si="96">IF(E160&gt;0,LOG10(E160),"uncalcuable")</f>
        <v>#VALUE!</v>
      </c>
      <c r="F310" s="101">
        <f t="shared" si="96"/>
        <v>2.7408756435596682</v>
      </c>
      <c r="G310" s="101">
        <f t="shared" si="96"/>
        <v>2.7484438751637486</v>
      </c>
      <c r="H310" s="101">
        <f t="shared" si="96"/>
        <v>2.7468365112435591</v>
      </c>
      <c r="I310" s="101">
        <f t="shared" si="96"/>
        <v>2.7534298415754228</v>
      </c>
      <c r="J310" s="101">
        <f t="shared" si="96"/>
        <v>2.7539735185639369</v>
      </c>
      <c r="K310" s="101" t="e">
        <f t="shared" si="96"/>
        <v>#VALUE!</v>
      </c>
      <c r="L310" s="101">
        <f t="shared" si="96"/>
        <v>2.7591236917105855</v>
      </c>
      <c r="M310" s="101" t="e">
        <f t="shared" si="96"/>
        <v>#VALUE!</v>
      </c>
      <c r="N310" s="101">
        <f t="shared" si="96"/>
        <v>2.7710359957507644</v>
      </c>
      <c r="O310" s="101">
        <f t="shared" si="96"/>
        <v>2.771286089121463</v>
      </c>
      <c r="P310" s="101">
        <f t="shared" si="96"/>
        <v>2.7651467901080253</v>
      </c>
      <c r="Q310" s="101">
        <f t="shared" si="96"/>
        <v>2.7642957150941641</v>
      </c>
      <c r="R310" s="101">
        <f t="shared" si="96"/>
        <v>2.7493188213311028</v>
      </c>
      <c r="S310" s="101">
        <f t="shared" si="96"/>
        <v>2.7437918860951034</v>
      </c>
      <c r="T310" s="101">
        <f t="shared" si="96"/>
        <v>2.7550359337677714</v>
      </c>
      <c r="U310" s="101">
        <f t="shared" si="96"/>
        <v>2.7664128471123997</v>
      </c>
      <c r="V310" s="101">
        <f t="shared" si="96"/>
        <v>2.6522269956066786</v>
      </c>
      <c r="W310" s="101">
        <f t="shared" si="96"/>
        <v>2.6479596900461457</v>
      </c>
      <c r="X310" s="101">
        <f t="shared" si="96"/>
        <v>2.6569506145721946</v>
      </c>
      <c r="Y310" s="101">
        <f t="shared" si="96"/>
        <v>2.6580400305141541</v>
      </c>
      <c r="Z310" s="101">
        <f t="shared" si="96"/>
        <v>2.6657029140374391</v>
      </c>
      <c r="AA310" s="101">
        <f t="shared" si="96"/>
        <v>2.6778076306892791</v>
      </c>
      <c r="AB310" s="101">
        <f t="shared" si="96"/>
        <v>2.6733527251625366</v>
      </c>
      <c r="AC310" s="101">
        <f t="shared" si="96"/>
        <v>2.6655809910179533</v>
      </c>
      <c r="AD310" s="101">
        <f t="shared" si="96"/>
        <v>2.6511228811220873</v>
      </c>
      <c r="AE310" s="101" t="e">
        <f t="shared" si="96"/>
        <v>#VALUE!</v>
      </c>
      <c r="AF310" s="101">
        <f t="shared" si="96"/>
        <v>2.6485551556626707</v>
      </c>
      <c r="AG310" s="101">
        <f t="shared" si="96"/>
        <v>2.6368087344744513</v>
      </c>
      <c r="AH310" s="101">
        <f t="shared" si="96"/>
        <v>2.6177445077355088</v>
      </c>
      <c r="AI310" s="101" t="str">
        <f t="shared" si="96"/>
        <v>uncalcuable</v>
      </c>
      <c r="AJ310" s="101">
        <f t="shared" si="96"/>
        <v>2.6036422802630743</v>
      </c>
      <c r="AK310" s="101">
        <f t="shared" ref="AK310:BD310" si="97">IF(AK160&gt;0,LOG10(AK160),"uncalcuable")</f>
        <v>2.6039558854353824</v>
      </c>
      <c r="AL310" s="101">
        <f t="shared" si="97"/>
        <v>2.6042044458563303</v>
      </c>
      <c r="AM310" s="101">
        <f t="shared" si="97"/>
        <v>2.6013863126450523</v>
      </c>
      <c r="AN310" s="101">
        <f t="shared" si="97"/>
        <v>2.6079265932033473</v>
      </c>
      <c r="AO310" s="101">
        <f t="shared" si="97"/>
        <v>2.6065855645020397</v>
      </c>
      <c r="AP310" s="101">
        <f t="shared" si="97"/>
        <v>2.6052942694693906</v>
      </c>
      <c r="AQ310" s="101">
        <f t="shared" si="97"/>
        <v>2.6072297750805991</v>
      </c>
      <c r="AR310" s="101">
        <f t="shared" si="97"/>
        <v>2.6107240252298234</v>
      </c>
      <c r="AS310" s="101">
        <f t="shared" si="97"/>
        <v>2.612953304432343</v>
      </c>
      <c r="AT310" s="101">
        <f t="shared" si="97"/>
        <v>2.6217473462648169</v>
      </c>
      <c r="AU310" s="101">
        <f t="shared" si="97"/>
        <v>2.6210827633256271</v>
      </c>
      <c r="AV310" s="101">
        <f t="shared" si="97"/>
        <v>2.6197818095210934</v>
      </c>
      <c r="AW310" s="101">
        <f t="shared" si="97"/>
        <v>2.6261349786353887</v>
      </c>
      <c r="AX310" s="101">
        <f t="shared" si="97"/>
        <v>2.6239518652470717</v>
      </c>
      <c r="AY310" s="101">
        <f t="shared" si="97"/>
        <v>2.6308446790213433</v>
      </c>
      <c r="AZ310" s="101">
        <f t="shared" si="97"/>
        <v>2.6344470397943329</v>
      </c>
      <c r="BA310" s="101">
        <f t="shared" si="97"/>
        <v>2.6531256461919153</v>
      </c>
      <c r="BB310" s="101">
        <f t="shared" si="97"/>
        <v>2.6647077727658419</v>
      </c>
      <c r="BC310" s="101">
        <f t="shared" si="97"/>
        <v>2.6755308882574238</v>
      </c>
      <c r="BD310" s="101" t="e">
        <f t="shared" si="97"/>
        <v>#VALUE!</v>
      </c>
      <c r="BE310" s="293"/>
    </row>
    <row r="311" spans="1:57">
      <c r="B311" s="38"/>
      <c r="C311" s="113"/>
      <c r="D311" s="43" t="s">
        <v>186</v>
      </c>
      <c r="E311" s="101" t="e">
        <f t="shared" ref="E311:AJ311" si="98">IF(E310&gt;0,(9.6+0.1*E310),"uncalcuable")</f>
        <v>#VALUE!</v>
      </c>
      <c r="F311" s="101">
        <f t="shared" si="98"/>
        <v>9.8740875643559658</v>
      </c>
      <c r="G311" s="101">
        <f t="shared" si="98"/>
        <v>9.8748443875163741</v>
      </c>
      <c r="H311" s="101">
        <f t="shared" si="98"/>
        <v>9.8746836511243554</v>
      </c>
      <c r="I311" s="101">
        <f t="shared" si="98"/>
        <v>9.8753429841575411</v>
      </c>
      <c r="J311" s="101">
        <f t="shared" si="98"/>
        <v>9.8753973518563924</v>
      </c>
      <c r="K311" s="101" t="e">
        <f t="shared" si="98"/>
        <v>#VALUE!</v>
      </c>
      <c r="L311" s="101">
        <f t="shared" si="98"/>
        <v>9.8759123691710577</v>
      </c>
      <c r="M311" s="101" t="e">
        <f t="shared" si="98"/>
        <v>#VALUE!</v>
      </c>
      <c r="N311" s="101">
        <f t="shared" si="98"/>
        <v>9.8771035995750758</v>
      </c>
      <c r="O311" s="101">
        <f t="shared" si="98"/>
        <v>9.8771286089121464</v>
      </c>
      <c r="P311" s="101">
        <f t="shared" si="98"/>
        <v>9.8765146790108016</v>
      </c>
      <c r="Q311" s="101">
        <f t="shared" si="98"/>
        <v>9.8764295715094157</v>
      </c>
      <c r="R311" s="101">
        <f t="shared" si="98"/>
        <v>9.8749318821331098</v>
      </c>
      <c r="S311" s="101">
        <f t="shared" si="98"/>
        <v>9.8743791886095096</v>
      </c>
      <c r="T311" s="101">
        <f t="shared" si="98"/>
        <v>9.8755035933767772</v>
      </c>
      <c r="U311" s="101">
        <f t="shared" si="98"/>
        <v>9.8766412847112388</v>
      </c>
      <c r="V311" s="101">
        <f t="shared" si="98"/>
        <v>9.8652226995606682</v>
      </c>
      <c r="W311" s="101">
        <f t="shared" si="98"/>
        <v>9.8647959690046143</v>
      </c>
      <c r="X311" s="101">
        <f t="shared" si="98"/>
        <v>9.8656950614572185</v>
      </c>
      <c r="Y311" s="101">
        <f t="shared" si="98"/>
        <v>9.8658040030514158</v>
      </c>
      <c r="Z311" s="101">
        <f t="shared" si="98"/>
        <v>9.8665702914037432</v>
      </c>
      <c r="AA311" s="101">
        <f t="shared" si="98"/>
        <v>9.8677807630689269</v>
      </c>
      <c r="AB311" s="101">
        <f t="shared" si="98"/>
        <v>9.8673352725162538</v>
      </c>
      <c r="AC311" s="101">
        <f t="shared" si="98"/>
        <v>9.8665580991017947</v>
      </c>
      <c r="AD311" s="101">
        <f t="shared" si="98"/>
        <v>9.8651122881122078</v>
      </c>
      <c r="AE311" s="101" t="e">
        <f t="shared" si="98"/>
        <v>#VALUE!</v>
      </c>
      <c r="AF311" s="101">
        <f t="shared" si="98"/>
        <v>9.8648555155662674</v>
      </c>
      <c r="AG311" s="101">
        <f t="shared" si="98"/>
        <v>9.8636808734474446</v>
      </c>
      <c r="AH311" s="101">
        <f t="shared" si="98"/>
        <v>9.8617744507735505</v>
      </c>
      <c r="AI311" s="101" t="e">
        <f t="shared" si="98"/>
        <v>#VALUE!</v>
      </c>
      <c r="AJ311" s="101">
        <f t="shared" si="98"/>
        <v>9.8603642280263077</v>
      </c>
      <c r="AK311" s="101">
        <f t="shared" ref="AK311:BD311" si="99">IF(AK310&gt;0,(9.6+0.1*AK310),"uncalcuable")</f>
        <v>9.8603955885435379</v>
      </c>
      <c r="AL311" s="101">
        <f t="shared" si="99"/>
        <v>9.8604204445856318</v>
      </c>
      <c r="AM311" s="101">
        <f t="shared" si="99"/>
        <v>9.8601386312645047</v>
      </c>
      <c r="AN311" s="101">
        <f t="shared" si="99"/>
        <v>9.8607926593203352</v>
      </c>
      <c r="AO311" s="101">
        <f t="shared" si="99"/>
        <v>9.8606585564502041</v>
      </c>
      <c r="AP311" s="101">
        <f t="shared" si="99"/>
        <v>9.8605294269469379</v>
      </c>
      <c r="AQ311" s="101">
        <f t="shared" si="99"/>
        <v>9.8607229775080594</v>
      </c>
      <c r="AR311" s="101">
        <f t="shared" si="99"/>
        <v>9.8610724025229821</v>
      </c>
      <c r="AS311" s="101">
        <f t="shared" si="99"/>
        <v>9.8612953304432338</v>
      </c>
      <c r="AT311" s="101">
        <f t="shared" si="99"/>
        <v>9.8621747346264819</v>
      </c>
      <c r="AU311" s="101">
        <f t="shared" si="99"/>
        <v>9.8621082763325632</v>
      </c>
      <c r="AV311" s="101">
        <f t="shared" si="99"/>
        <v>9.861978180952109</v>
      </c>
      <c r="AW311" s="101">
        <f t="shared" si="99"/>
        <v>9.8626134978635385</v>
      </c>
      <c r="AX311" s="101">
        <f t="shared" si="99"/>
        <v>9.8623951865247061</v>
      </c>
      <c r="AY311" s="101">
        <f t="shared" si="99"/>
        <v>9.8630844679021337</v>
      </c>
      <c r="AZ311" s="101">
        <f t="shared" si="99"/>
        <v>9.8634447039794324</v>
      </c>
      <c r="BA311" s="101">
        <f t="shared" si="99"/>
        <v>9.8653125646191917</v>
      </c>
      <c r="BB311" s="101">
        <f t="shared" si="99"/>
        <v>9.8664707772765841</v>
      </c>
      <c r="BC311" s="101">
        <f t="shared" si="99"/>
        <v>9.8675530888257423</v>
      </c>
      <c r="BD311" s="101" t="e">
        <f t="shared" si="99"/>
        <v>#VALUE!</v>
      </c>
      <c r="BE311" s="293"/>
    </row>
    <row r="312" spans="1:57">
      <c r="B312" s="38"/>
      <c r="C312" s="113"/>
      <c r="D312" s="43" t="s">
        <v>187</v>
      </c>
      <c r="E312" s="101" t="str">
        <f t="shared" ref="E312:AJ312" si="100">IF(E171&gt;0,LOG10(E171/0.4),"uncalcuable")</f>
        <v>uncalcuable</v>
      </c>
      <c r="F312" s="101">
        <f t="shared" si="100"/>
        <v>2.1760912590556813</v>
      </c>
      <c r="G312" s="101">
        <f t="shared" si="100"/>
        <v>2.1760912590556813</v>
      </c>
      <c r="H312" s="101">
        <f t="shared" si="100"/>
        <v>2.1832698436828046</v>
      </c>
      <c r="I312" s="101">
        <f t="shared" si="100"/>
        <v>2.1903316981702914</v>
      </c>
      <c r="J312" s="101">
        <f t="shared" si="100"/>
        <v>2.1903316981702914</v>
      </c>
      <c r="K312" s="101" t="str">
        <f t="shared" si="100"/>
        <v>uncalcuable</v>
      </c>
      <c r="L312" s="101">
        <f t="shared" si="100"/>
        <v>2.1972805581256192</v>
      </c>
      <c r="M312" s="101" t="str">
        <f t="shared" si="100"/>
        <v>uncalcuable</v>
      </c>
      <c r="N312" s="101">
        <f t="shared" si="100"/>
        <v>2.2108533653148932</v>
      </c>
      <c r="O312" s="101">
        <f t="shared" si="100"/>
        <v>2.2108533653148932</v>
      </c>
      <c r="P312" s="101">
        <f t="shared" si="100"/>
        <v>2.2108533653148932</v>
      </c>
      <c r="Q312" s="101">
        <f t="shared" si="100"/>
        <v>2.2174839442139063</v>
      </c>
      <c r="R312" s="101">
        <f t="shared" si="100"/>
        <v>2.2041199826559246</v>
      </c>
      <c r="S312" s="101">
        <f t="shared" si="100"/>
        <v>2.1903316981702914</v>
      </c>
      <c r="T312" s="101">
        <f t="shared" si="100"/>
        <v>2.2041199826559246</v>
      </c>
      <c r="U312" s="101">
        <f t="shared" si="100"/>
        <v>2.2174839442139063</v>
      </c>
      <c r="V312" s="101">
        <f t="shared" si="100"/>
        <v>2.1222158782728267</v>
      </c>
      <c r="W312" s="101">
        <f t="shared" si="100"/>
        <v>2.0791812460476247</v>
      </c>
      <c r="X312" s="101">
        <f t="shared" si="100"/>
        <v>2.1139433523068369</v>
      </c>
      <c r="Y312" s="101">
        <f t="shared" si="100"/>
        <v>2.1222158782728267</v>
      </c>
      <c r="Z312" s="101">
        <f t="shared" si="100"/>
        <v>2.1222158782728267</v>
      </c>
      <c r="AA312" s="101">
        <f t="shared" si="100"/>
        <v>2.1383026981662816</v>
      </c>
      <c r="AB312" s="101">
        <f t="shared" si="100"/>
        <v>2.1303337684950061</v>
      </c>
      <c r="AC312" s="101">
        <f t="shared" si="100"/>
        <v>2.1139433523068369</v>
      </c>
      <c r="AD312" s="101">
        <f t="shared" si="100"/>
        <v>2.0791812460476247</v>
      </c>
      <c r="AE312" s="101">
        <f t="shared" si="100"/>
        <v>2.0791812460476247</v>
      </c>
      <c r="AF312" s="101">
        <f t="shared" si="100"/>
        <v>2.0791812460476247</v>
      </c>
      <c r="AG312" s="101">
        <f t="shared" si="100"/>
        <v>2.0511525224473814</v>
      </c>
      <c r="AH312" s="101">
        <f t="shared" si="100"/>
        <v>2.0211892990699383</v>
      </c>
      <c r="AI312" s="101">
        <f t="shared" si="100"/>
        <v>2.0211892990699383</v>
      </c>
      <c r="AJ312" s="101">
        <f t="shared" si="100"/>
        <v>2.0211892990699383</v>
      </c>
      <c r="AK312" s="101">
        <f t="shared" ref="AK312:BD312" si="101">IF(AK171&gt;0,LOG10(AK171/0.4),"uncalcuable")</f>
        <v>2.0606978403536118</v>
      </c>
      <c r="AL312" s="101">
        <f t="shared" si="101"/>
        <v>2.0211892990699383</v>
      </c>
      <c r="AM312" s="101">
        <f t="shared" si="101"/>
        <v>2.0211892990699383</v>
      </c>
      <c r="AN312" s="101">
        <f t="shared" si="101"/>
        <v>2.0211892990699383</v>
      </c>
      <c r="AO312" s="101">
        <f t="shared" si="101"/>
        <v>2.0211892990699383</v>
      </c>
      <c r="AP312" s="101">
        <f t="shared" si="101"/>
        <v>2.0211892990699383</v>
      </c>
      <c r="AQ312" s="101">
        <f t="shared" si="101"/>
        <v>2.0314084642516241</v>
      </c>
      <c r="AR312" s="101">
        <f t="shared" si="101"/>
        <v>2.0413926851582249</v>
      </c>
      <c r="AS312" s="101">
        <f t="shared" si="101"/>
        <v>2.0511525224473814</v>
      </c>
      <c r="AT312" s="101">
        <f t="shared" si="101"/>
        <v>2.0606978403536118</v>
      </c>
      <c r="AU312" s="101">
        <f t="shared" si="101"/>
        <v>2.0606978403536118</v>
      </c>
      <c r="AV312" s="101">
        <f t="shared" si="101"/>
        <v>2.0606978403536118</v>
      </c>
      <c r="AW312" s="101">
        <f t="shared" si="101"/>
        <v>2.0791812460476247</v>
      </c>
      <c r="AX312" s="101">
        <f t="shared" si="101"/>
        <v>2.0791812460476247</v>
      </c>
      <c r="AY312" s="101">
        <f t="shared" si="101"/>
        <v>2.0791812460476247</v>
      </c>
      <c r="AZ312" s="101">
        <f t="shared" si="101"/>
        <v>2.0881360887005513</v>
      </c>
      <c r="BA312" s="101">
        <f t="shared" si="101"/>
        <v>2.0969100130080562</v>
      </c>
      <c r="BB312" s="101">
        <f t="shared" si="101"/>
        <v>2.1222158782728267</v>
      </c>
      <c r="BC312" s="101">
        <f t="shared" si="101"/>
        <v>2.1303337684950061</v>
      </c>
      <c r="BD312" s="101" t="str">
        <f t="shared" si="101"/>
        <v>uncalcuable</v>
      </c>
      <c r="BE312" s="293"/>
    </row>
    <row r="313" spans="1:57">
      <c r="B313" s="38"/>
      <c r="C313" s="113"/>
      <c r="D313" s="43" t="s">
        <v>188</v>
      </c>
      <c r="E313" s="101">
        <f t="shared" ref="E313:AJ313" si="102">IF(E168&gt;0,LOG10(E168),"uncalcuable")</f>
        <v>2.220108088040055</v>
      </c>
      <c r="F313" s="101">
        <f t="shared" si="102"/>
        <v>2.2278867046136734</v>
      </c>
      <c r="G313" s="101">
        <f t="shared" si="102"/>
        <v>2.2355284469075487</v>
      </c>
      <c r="H313" s="101">
        <f t="shared" si="102"/>
        <v>2.2329961103921536</v>
      </c>
      <c r="I313" s="101">
        <f t="shared" si="102"/>
        <v>2.2355284469075487</v>
      </c>
      <c r="J313" s="101">
        <f t="shared" si="102"/>
        <v>2.2355284469075487</v>
      </c>
      <c r="K313" s="101">
        <f t="shared" si="102"/>
        <v>2.2405492482825999</v>
      </c>
      <c r="L313" s="101">
        <f t="shared" si="102"/>
        <v>2.2455126678141499</v>
      </c>
      <c r="M313" s="101" t="str">
        <f t="shared" si="102"/>
        <v>uncalcuable</v>
      </c>
      <c r="N313" s="101">
        <f t="shared" si="102"/>
        <v>2.2600713879850747</v>
      </c>
      <c r="O313" s="101">
        <f t="shared" si="102"/>
        <v>2.2576785748691846</v>
      </c>
      <c r="P313" s="101">
        <f t="shared" si="102"/>
        <v>2.255272505103306</v>
      </c>
      <c r="Q313" s="101">
        <f t="shared" si="102"/>
        <v>2.255272505103306</v>
      </c>
      <c r="R313" s="101">
        <f t="shared" si="102"/>
        <v>2.2227164711475833</v>
      </c>
      <c r="S313" s="101">
        <f t="shared" si="102"/>
        <v>2.220108088040055</v>
      </c>
      <c r="T313" s="101">
        <f t="shared" si="102"/>
        <v>2.2329961103921536</v>
      </c>
      <c r="U313" s="101">
        <f t="shared" si="102"/>
        <v>2.2504200023088941</v>
      </c>
      <c r="V313" s="101">
        <f t="shared" si="102"/>
        <v>2.1139433523068369</v>
      </c>
      <c r="W313" s="101">
        <f t="shared" si="102"/>
        <v>2.1172712956557644</v>
      </c>
      <c r="X313" s="101">
        <f t="shared" si="102"/>
        <v>2.1172712956557644</v>
      </c>
      <c r="Y313" s="101">
        <f t="shared" si="102"/>
        <v>2.1172712956557644</v>
      </c>
      <c r="Z313" s="101">
        <f t="shared" si="102"/>
        <v>2.1398790864012365</v>
      </c>
      <c r="AA313" s="101">
        <f t="shared" si="102"/>
        <v>2.1492191126553797</v>
      </c>
      <c r="AB313" s="101">
        <f t="shared" si="102"/>
        <v>2.1398790864012365</v>
      </c>
      <c r="AC313" s="101">
        <f t="shared" si="102"/>
        <v>2.1139433523068369</v>
      </c>
      <c r="AD313" s="101">
        <f t="shared" si="102"/>
        <v>2.0827853703164503</v>
      </c>
      <c r="AE313" s="101">
        <f t="shared" si="102"/>
        <v>2.0718820073061255</v>
      </c>
      <c r="AF313" s="101">
        <f t="shared" si="102"/>
        <v>2.0827853703164503</v>
      </c>
      <c r="AG313" s="101">
        <f t="shared" si="102"/>
        <v>2.0606978403536118</v>
      </c>
      <c r="AH313" s="101">
        <f t="shared" si="102"/>
        <v>2.0293837776852097</v>
      </c>
      <c r="AI313" s="101">
        <f t="shared" si="102"/>
        <v>2.0492180226701815</v>
      </c>
      <c r="AJ313" s="101">
        <f t="shared" si="102"/>
        <v>2.0086001717619175</v>
      </c>
      <c r="AK313" s="101">
        <f t="shared" ref="AK313:BD313" si="103">IF(AK168&gt;0,LOG10(AK168),"uncalcuable")</f>
        <v>2.0043213737826426</v>
      </c>
      <c r="AL313" s="101">
        <f t="shared" si="103"/>
        <v>2</v>
      </c>
      <c r="AM313" s="101">
        <f t="shared" si="103"/>
        <v>1.9731278535996986</v>
      </c>
      <c r="AN313" s="101">
        <f t="shared" si="103"/>
        <v>1.9867717342662448</v>
      </c>
      <c r="AO313" s="101">
        <f t="shared" si="103"/>
        <v>1.9822712330395684</v>
      </c>
      <c r="AP313" s="101">
        <f t="shared" si="103"/>
        <v>2.0086001717619175</v>
      </c>
      <c r="AQ313" s="101">
        <f t="shared" si="103"/>
        <v>2.0211892990699383</v>
      </c>
      <c r="AR313" s="101">
        <f t="shared" si="103"/>
        <v>2.0211892990699383</v>
      </c>
      <c r="AS313" s="101">
        <f t="shared" si="103"/>
        <v>2.0374264979406238</v>
      </c>
      <c r="AT313" s="101">
        <f t="shared" si="103"/>
        <v>2.0293837776852097</v>
      </c>
      <c r="AU313" s="101">
        <f t="shared" si="103"/>
        <v>2.0453229787866576</v>
      </c>
      <c r="AV313" s="101">
        <f t="shared" si="103"/>
        <v>2.0569048513364727</v>
      </c>
      <c r="AW313" s="101">
        <f t="shared" si="103"/>
        <v>2.0755469613925306</v>
      </c>
      <c r="AX313" s="101">
        <f t="shared" si="103"/>
        <v>2.0827853703164503</v>
      </c>
      <c r="AY313" s="101">
        <f t="shared" si="103"/>
        <v>2.1139433523068369</v>
      </c>
      <c r="AZ313" s="101">
        <f t="shared" si="103"/>
        <v>2.1303337684950061</v>
      </c>
      <c r="BA313" s="101">
        <f t="shared" si="103"/>
        <v>2.1492191126553797</v>
      </c>
      <c r="BB313" s="101">
        <f t="shared" si="103"/>
        <v>2.1613680022349748</v>
      </c>
      <c r="BC313" s="101">
        <f t="shared" si="103"/>
        <v>2.1789769472931693</v>
      </c>
      <c r="BD313" s="101" t="str">
        <f t="shared" si="103"/>
        <v>uncalcuable</v>
      </c>
      <c r="BE313" s="293"/>
    </row>
    <row r="314" spans="1:57">
      <c r="C314" s="11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c r="AA314" s="323"/>
      <c r="AB314" s="323"/>
      <c r="AC314" s="323"/>
      <c r="AD314" s="323"/>
      <c r="AE314" s="323"/>
      <c r="AF314" s="323"/>
      <c r="AG314" s="323"/>
      <c r="AH314" s="323"/>
      <c r="AI314" s="323"/>
      <c r="AJ314" s="323"/>
      <c r="AK314" s="323"/>
      <c r="AL314" s="323"/>
      <c r="AM314" s="323"/>
      <c r="AN314" s="323"/>
      <c r="AO314" s="323"/>
      <c r="AP314" s="323"/>
      <c r="AQ314" s="323"/>
      <c r="AR314" s="323"/>
      <c r="AS314" s="323"/>
      <c r="AT314" s="323"/>
      <c r="AU314" s="323"/>
      <c r="AV314" s="323"/>
      <c r="AW314" s="323"/>
      <c r="AX314" s="323"/>
      <c r="AY314" s="323"/>
      <c r="AZ314" s="323"/>
      <c r="BA314" s="323"/>
      <c r="BB314" s="323"/>
      <c r="BC314" s="323"/>
      <c r="BD314" s="323"/>
      <c r="BE314" s="293"/>
    </row>
    <row r="315" spans="1:57">
      <c r="A315" s="293"/>
      <c r="B315" s="293"/>
      <c r="C315" s="112"/>
      <c r="D315" s="293"/>
      <c r="E315" s="353"/>
      <c r="F315" s="353"/>
      <c r="G315" s="353"/>
      <c r="H315" s="353"/>
      <c r="I315" s="353"/>
      <c r="J315" s="353"/>
      <c r="K315" s="353"/>
      <c r="L315" s="353"/>
      <c r="M315" s="353"/>
      <c r="N315" s="353"/>
      <c r="O315" s="353"/>
      <c r="P315" s="353"/>
      <c r="Q315" s="353"/>
      <c r="R315" s="353"/>
      <c r="S315" s="353"/>
      <c r="T315" s="353"/>
      <c r="U315" s="353"/>
      <c r="V315" s="353"/>
      <c r="W315" s="353"/>
      <c r="X315" s="353"/>
      <c r="Y315" s="353"/>
      <c r="Z315" s="353"/>
      <c r="AA315" s="353"/>
      <c r="AB315" s="353"/>
      <c r="AC315" s="353"/>
      <c r="AD315" s="353"/>
      <c r="AE315" s="353"/>
      <c r="AF315" s="353"/>
      <c r="AG315" s="353"/>
      <c r="AH315" s="353"/>
      <c r="AI315" s="353"/>
      <c r="AJ315" s="353"/>
      <c r="AK315" s="353"/>
      <c r="AL315" s="353"/>
      <c r="AM315" s="353"/>
      <c r="AN315" s="353"/>
      <c r="AO315" s="353"/>
      <c r="AP315" s="353"/>
      <c r="AQ315" s="353"/>
      <c r="AR315" s="353"/>
      <c r="AS315" s="353"/>
      <c r="AT315" s="353"/>
      <c r="AU315" s="353"/>
      <c r="AV315" s="353"/>
      <c r="AW315" s="353"/>
      <c r="AX315" s="353"/>
      <c r="AY315" s="353"/>
      <c r="AZ315" s="353"/>
      <c r="BA315" s="353"/>
      <c r="BB315" s="353"/>
      <c r="BC315" s="353"/>
      <c r="BD315" s="353"/>
      <c r="BE315" s="293"/>
    </row>
    <row r="316" spans="1:57">
      <c r="A316" s="293"/>
      <c r="B316" s="293"/>
      <c r="C316" s="112"/>
      <c r="D316" s="293"/>
      <c r="E316" s="353"/>
      <c r="F316" s="353"/>
      <c r="G316" s="353"/>
      <c r="H316" s="353"/>
      <c r="I316" s="353"/>
      <c r="J316" s="353"/>
      <c r="K316" s="353"/>
      <c r="L316" s="353"/>
      <c r="M316" s="353"/>
      <c r="N316" s="353"/>
      <c r="O316" s="353"/>
      <c r="P316" s="353"/>
      <c r="Q316" s="353"/>
      <c r="R316" s="353"/>
      <c r="S316" s="353"/>
      <c r="T316" s="353"/>
      <c r="U316" s="353"/>
      <c r="V316" s="353"/>
      <c r="W316" s="353"/>
      <c r="X316" s="353"/>
      <c r="Y316" s="353"/>
      <c r="Z316" s="353"/>
      <c r="AA316" s="353"/>
      <c r="AB316" s="353"/>
      <c r="AC316" s="353"/>
      <c r="AD316" s="353"/>
      <c r="AE316" s="353"/>
      <c r="AF316" s="353"/>
      <c r="AG316" s="353"/>
      <c r="AH316" s="353"/>
      <c r="AI316" s="353"/>
      <c r="AJ316" s="353"/>
      <c r="AK316" s="353"/>
      <c r="AL316" s="353"/>
      <c r="AM316" s="353"/>
      <c r="AN316" s="353"/>
      <c r="AO316" s="353"/>
      <c r="AP316" s="353"/>
      <c r="AQ316" s="353"/>
      <c r="AR316" s="353"/>
      <c r="AS316" s="353"/>
      <c r="AT316" s="353"/>
      <c r="AU316" s="353"/>
      <c r="AV316" s="353"/>
      <c r="AW316" s="353"/>
      <c r="AX316" s="353"/>
      <c r="AY316" s="353"/>
      <c r="AZ316" s="353"/>
      <c r="BA316" s="353"/>
      <c r="BB316" s="353"/>
      <c r="BC316" s="353"/>
      <c r="BD316" s="353"/>
      <c r="BE316" s="293"/>
    </row>
    <row r="317" spans="1:57">
      <c r="A317" s="114" t="s">
        <v>191</v>
      </c>
      <c r="C317" s="11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c r="AA317" s="323"/>
      <c r="AB317" s="323"/>
      <c r="AC317" s="323"/>
      <c r="AD317" s="323"/>
      <c r="AE317" s="323"/>
      <c r="AF317" s="323"/>
      <c r="AG317" s="323"/>
      <c r="AH317" s="323"/>
      <c r="AI317" s="323"/>
      <c r="AJ317" s="323"/>
      <c r="AK317" s="323"/>
      <c r="AL317" s="323"/>
      <c r="AM317" s="323"/>
      <c r="AN317" s="323"/>
      <c r="AO317" s="323"/>
      <c r="AP317" s="323"/>
      <c r="AQ317" s="323"/>
      <c r="AR317" s="323"/>
      <c r="AS317" s="323"/>
      <c r="AT317" s="323"/>
      <c r="AU317" s="323"/>
      <c r="AV317" s="323"/>
      <c r="AW317" s="323"/>
      <c r="AX317" s="323"/>
      <c r="AY317" s="323"/>
      <c r="AZ317" s="323"/>
      <c r="BA317" s="323"/>
      <c r="BB317" s="323"/>
      <c r="BC317" s="323"/>
      <c r="BD317" s="323"/>
    </row>
    <row r="318" spans="1:57">
      <c r="C318" s="125"/>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row>
    <row r="319" spans="1:57">
      <c r="A319" s="4" t="s">
        <v>173</v>
      </c>
      <c r="B319" s="4" t="s">
        <v>174</v>
      </c>
      <c r="C319" s="115"/>
      <c r="E319" s="314" t="e">
        <f t="shared" ref="E319:AJ319" si="104">IF(AND(AND(AND(AND(E36,E37),E39),E40),E66&gt;0),(E36*0.0499)+(E37*0.0822)+(E39*0.0435)+(E40*0.0256)+(E66*0.02629),"uncalcuable")</f>
        <v>#VALUE!</v>
      </c>
      <c r="F319" s="314">
        <f t="shared" si="104"/>
        <v>7.9271859999999998</v>
      </c>
      <c r="G319" s="314">
        <f t="shared" si="104"/>
        <v>7.984106999999999</v>
      </c>
      <c r="H319" s="314">
        <f t="shared" si="104"/>
        <v>7.8894816999999993</v>
      </c>
      <c r="I319" s="314">
        <f t="shared" si="104"/>
        <v>8.0334785999999987</v>
      </c>
      <c r="J319" s="314">
        <f t="shared" si="104"/>
        <v>8.0863966000000005</v>
      </c>
      <c r="K319" s="314" t="e">
        <f t="shared" si="104"/>
        <v>#VALUE!</v>
      </c>
      <c r="L319" s="314">
        <f t="shared" si="104"/>
        <v>8.156929100000001</v>
      </c>
      <c r="M319" s="314" t="e">
        <f t="shared" si="104"/>
        <v>#VALUE!</v>
      </c>
      <c r="N319" s="314">
        <f t="shared" si="104"/>
        <v>8.2879680000000011</v>
      </c>
      <c r="O319" s="314">
        <f t="shared" si="104"/>
        <v>8.4228694999999991</v>
      </c>
      <c r="P319" s="314">
        <f t="shared" si="104"/>
        <v>8.2545831000000014</v>
      </c>
      <c r="Q319" s="314">
        <f t="shared" si="104"/>
        <v>8.1179793</v>
      </c>
      <c r="R319" s="314">
        <f t="shared" si="104"/>
        <v>8.0954043999999996</v>
      </c>
      <c r="S319" s="314">
        <f t="shared" si="104"/>
        <v>7.9450191999999991</v>
      </c>
      <c r="T319" s="314">
        <f t="shared" si="104"/>
        <v>8.0165449999999989</v>
      </c>
      <c r="U319" s="314">
        <f t="shared" si="104"/>
        <v>8.4072203999999999</v>
      </c>
      <c r="V319" s="314">
        <f t="shared" si="104"/>
        <v>6.2344362000000002</v>
      </c>
      <c r="W319" s="314">
        <f t="shared" si="104"/>
        <v>6.0596379999999996</v>
      </c>
      <c r="X319" s="314">
        <f t="shared" si="104"/>
        <v>6.6068965999999989</v>
      </c>
      <c r="Y319" s="314">
        <f t="shared" si="104"/>
        <v>6.4847593999999997</v>
      </c>
      <c r="Z319" s="314">
        <f t="shared" si="104"/>
        <v>6.5823456</v>
      </c>
      <c r="AA319" s="314">
        <f t="shared" si="104"/>
        <v>6.6423939999999995</v>
      </c>
      <c r="AB319" s="314">
        <f t="shared" si="104"/>
        <v>6.7264687999999992</v>
      </c>
      <c r="AC319" s="314">
        <f t="shared" si="104"/>
        <v>6.5903706</v>
      </c>
      <c r="AD319" s="314">
        <f t="shared" si="104"/>
        <v>6.3821316000000001</v>
      </c>
      <c r="AE319" s="314">
        <f t="shared" si="104"/>
        <v>4.2983908000000008</v>
      </c>
      <c r="AF319" s="314">
        <f t="shared" si="104"/>
        <v>6.3663050999999999</v>
      </c>
      <c r="AG319" s="314">
        <f t="shared" si="104"/>
        <v>6.2119499999999999</v>
      </c>
      <c r="AH319" s="314">
        <f t="shared" si="104"/>
        <v>5.9101851000000005</v>
      </c>
      <c r="AI319" s="314">
        <f t="shared" si="104"/>
        <v>6.1781014000000001</v>
      </c>
      <c r="AJ319" s="314">
        <f t="shared" si="104"/>
        <v>5.8821759999999994</v>
      </c>
      <c r="AK319" s="314">
        <f t="shared" ref="AK319:BD319" si="105">IF(AND(AND(AND(AND(AK36,AK37),AK39),AK40),AK66&gt;0),(AK36*0.0499)+(AK37*0.0822)+(AK39*0.0435)+(AK40*0.0256)+(AK66*0.02629),"uncalcuable")</f>
        <v>5.8279885</v>
      </c>
      <c r="AL319" s="314">
        <f t="shared" si="105"/>
        <v>5.9085349999999996</v>
      </c>
      <c r="AM319" s="314">
        <f t="shared" si="105"/>
        <v>5.9041013999999992</v>
      </c>
      <c r="AN319" s="314">
        <f t="shared" si="105"/>
        <v>5.9715585999999998</v>
      </c>
      <c r="AO319" s="314">
        <f t="shared" si="105"/>
        <v>5.8656297999999998</v>
      </c>
      <c r="AP319" s="314">
        <f t="shared" si="105"/>
        <v>5.8056361000000001</v>
      </c>
      <c r="AQ319" s="314">
        <f t="shared" si="105"/>
        <v>5.8568517999999994</v>
      </c>
      <c r="AR319" s="314">
        <f t="shared" si="105"/>
        <v>5.9511439999999993</v>
      </c>
      <c r="AS319" s="314">
        <f t="shared" si="105"/>
        <v>5.9355660999999991</v>
      </c>
      <c r="AT319" s="314">
        <f t="shared" si="105"/>
        <v>6.0457549999999998</v>
      </c>
      <c r="AU319" s="314">
        <f t="shared" si="105"/>
        <v>6.0615146999999991</v>
      </c>
      <c r="AV319" s="314">
        <f t="shared" si="105"/>
        <v>6.0291578000000001</v>
      </c>
      <c r="AW319" s="314">
        <f t="shared" si="105"/>
        <v>6.0986338999999994</v>
      </c>
      <c r="AX319" s="314">
        <f t="shared" si="105"/>
        <v>6.0304579999999994</v>
      </c>
      <c r="AY319" s="314">
        <f t="shared" si="105"/>
        <v>6.0811609999999998</v>
      </c>
      <c r="AZ319" s="314">
        <f t="shared" si="105"/>
        <v>6.0658984999999994</v>
      </c>
      <c r="BA319" s="314">
        <f t="shared" si="105"/>
        <v>6.4752875999999997</v>
      </c>
      <c r="BB319" s="314">
        <f t="shared" si="105"/>
        <v>6.6015357999999997</v>
      </c>
      <c r="BC319" s="314">
        <f t="shared" si="105"/>
        <v>6.8120647999999999</v>
      </c>
      <c r="BD319" s="314" t="e">
        <f t="shared" si="105"/>
        <v>#VALUE!</v>
      </c>
    </row>
    <row r="320" spans="1:57">
      <c r="A320" s="4"/>
      <c r="B320" s="4"/>
      <c r="C320" s="115"/>
      <c r="E320" s="301"/>
      <c r="F320" s="301"/>
      <c r="G320" s="301"/>
      <c r="H320" s="301"/>
      <c r="I320" s="301"/>
      <c r="J320" s="301"/>
      <c r="K320" s="301"/>
      <c r="L320" s="301"/>
      <c r="M320" s="301"/>
      <c r="N320" s="301"/>
      <c r="O320" s="301"/>
      <c r="P320" s="301"/>
      <c r="Q320" s="301"/>
      <c r="R320" s="301"/>
      <c r="S320" s="301"/>
      <c r="T320" s="301"/>
      <c r="U320" s="301"/>
      <c r="V320" s="301"/>
      <c r="W320" s="301"/>
      <c r="X320" s="301"/>
      <c r="Y320" s="301"/>
      <c r="Z320" s="301"/>
      <c r="AA320" s="301"/>
      <c r="AB320" s="301"/>
      <c r="AC320" s="301"/>
      <c r="AD320" s="301"/>
      <c r="AE320" s="301"/>
      <c r="AF320" s="301"/>
      <c r="AG320" s="301"/>
      <c r="AH320" s="301"/>
      <c r="AI320" s="301"/>
      <c r="AJ320" s="301"/>
      <c r="AK320" s="301"/>
      <c r="AL320" s="301"/>
      <c r="AM320" s="301"/>
      <c r="AN320" s="301"/>
      <c r="AO320" s="301"/>
      <c r="AP320" s="301"/>
      <c r="AQ320" s="301"/>
      <c r="AR320" s="301"/>
      <c r="AS320" s="301"/>
      <c r="AT320" s="301"/>
      <c r="AU320" s="301"/>
      <c r="AV320" s="301"/>
      <c r="AW320" s="301"/>
      <c r="AX320" s="301"/>
      <c r="AY320" s="301"/>
      <c r="AZ320" s="301"/>
      <c r="BA320" s="301"/>
      <c r="BB320" s="301"/>
      <c r="BC320" s="301"/>
      <c r="BD320" s="301"/>
    </row>
    <row r="321" spans="1:72">
      <c r="A321" s="118" t="s">
        <v>175</v>
      </c>
      <c r="B321" s="4" t="s">
        <v>174</v>
      </c>
      <c r="C321" s="115"/>
      <c r="E321" s="314" t="e">
        <f t="shared" ref="E321:AJ321" si="106">IF(AND(AND(E41,E42),E34&gt;0),(E41*0.0208)+(E42*0.0282)+(E34*0.0164)+(E35*0.0333),"uncalcuable")</f>
        <v>#VALUE!</v>
      </c>
      <c r="F321" s="314">
        <f t="shared" si="106"/>
        <v>7.5812800000000005</v>
      </c>
      <c r="G321" s="314">
        <f t="shared" si="106"/>
        <v>7.5784600000000006</v>
      </c>
      <c r="H321" s="314">
        <f t="shared" si="106"/>
        <v>7.6068600000000002</v>
      </c>
      <c r="I321" s="314">
        <f t="shared" si="106"/>
        <v>7.7105200000000007</v>
      </c>
      <c r="J321" s="314">
        <f t="shared" si="106"/>
        <v>7.7013400000000001</v>
      </c>
      <c r="K321" s="314" t="e">
        <f t="shared" si="106"/>
        <v>#VALUE!</v>
      </c>
      <c r="L321" s="314">
        <f t="shared" si="106"/>
        <v>7.8233600000000001</v>
      </c>
      <c r="M321" s="314" t="e">
        <f t="shared" si="106"/>
        <v>#VALUE!</v>
      </c>
      <c r="N321" s="314">
        <f t="shared" si="106"/>
        <v>8.0090199999999996</v>
      </c>
      <c r="O321" s="314">
        <f t="shared" si="106"/>
        <v>8.0282400000000003</v>
      </c>
      <c r="P321" s="314">
        <f t="shared" si="106"/>
        <v>7.9481999999999999</v>
      </c>
      <c r="Q321" s="314">
        <f t="shared" si="106"/>
        <v>7.9201800000000002</v>
      </c>
      <c r="R321" s="314">
        <f t="shared" si="106"/>
        <v>7.6680600000000005</v>
      </c>
      <c r="S321" s="314">
        <f t="shared" si="106"/>
        <v>7.6192400000000005</v>
      </c>
      <c r="T321" s="314">
        <f t="shared" si="106"/>
        <v>7.5901200000000006</v>
      </c>
      <c r="U321" s="314">
        <f t="shared" si="106"/>
        <v>7.9441800000000002</v>
      </c>
      <c r="V321" s="314">
        <f t="shared" si="106"/>
        <v>5.9506399999999999</v>
      </c>
      <c r="W321" s="314">
        <f t="shared" si="106"/>
        <v>6.0374200000000009</v>
      </c>
      <c r="X321" s="314">
        <f t="shared" si="106"/>
        <v>6.1463400000000004</v>
      </c>
      <c r="Y321" s="314">
        <f t="shared" si="106"/>
        <v>6.25</v>
      </c>
      <c r="Z321" s="314">
        <f t="shared" si="106"/>
        <v>6.3748400000000007</v>
      </c>
      <c r="AA321" s="314">
        <f t="shared" si="106"/>
        <v>6.4205000000000005</v>
      </c>
      <c r="AB321" s="314">
        <f t="shared" si="106"/>
        <v>6.4867200000000009</v>
      </c>
      <c r="AC321" s="314">
        <f t="shared" si="106"/>
        <v>6.3198200000000009</v>
      </c>
      <c r="AD321" s="314">
        <f t="shared" si="106"/>
        <v>6.1086599999999995</v>
      </c>
      <c r="AE321" s="314" t="e">
        <f t="shared" si="106"/>
        <v>#VALUE!</v>
      </c>
      <c r="AF321" s="314">
        <f t="shared" si="106"/>
        <v>6.0524800000000001</v>
      </c>
      <c r="AG321" s="314">
        <f t="shared" si="106"/>
        <v>6.0285000000000002</v>
      </c>
      <c r="AH321" s="314">
        <f t="shared" si="106"/>
        <v>5.5009399999999999</v>
      </c>
      <c r="AI321" s="314">
        <f t="shared" si="106"/>
        <v>5.6266000000000007</v>
      </c>
      <c r="AJ321" s="314">
        <f t="shared" si="106"/>
        <v>5.4310400000000003</v>
      </c>
      <c r="AK321" s="314">
        <f t="shared" ref="AK321:BD321" si="107">IF(AND(AND(AK41,AK42),AK34&gt;0),(AK41*0.0208)+(AK42*0.0282)+(AK34*0.0164)+(AK35*0.0333),"uncalcuable")</f>
        <v>5.4107599999999998</v>
      </c>
      <c r="AL321" s="314">
        <f t="shared" si="107"/>
        <v>5.4348200000000002</v>
      </c>
      <c r="AM321" s="314">
        <f t="shared" si="107"/>
        <v>5.5260400000000001</v>
      </c>
      <c r="AN321" s="314">
        <f t="shared" si="107"/>
        <v>5.5004599999999995</v>
      </c>
      <c r="AO321" s="314">
        <f t="shared" si="107"/>
        <v>5.5358999999999998</v>
      </c>
      <c r="AP321" s="314">
        <f t="shared" si="107"/>
        <v>5.4468199999999998</v>
      </c>
      <c r="AQ321" s="314">
        <f t="shared" si="107"/>
        <v>5.5130600000000003</v>
      </c>
      <c r="AR321" s="314">
        <f t="shared" si="107"/>
        <v>5.5646200000000006</v>
      </c>
      <c r="AS321" s="314">
        <f t="shared" si="107"/>
        <v>5.4927599999999996</v>
      </c>
      <c r="AT321" s="314">
        <f t="shared" si="107"/>
        <v>5.7220000000000004</v>
      </c>
      <c r="AU321" s="314">
        <f t="shared" si="107"/>
        <v>5.7102200000000005</v>
      </c>
      <c r="AV321" s="314">
        <f t="shared" si="107"/>
        <v>5.6450799999999992</v>
      </c>
      <c r="AW321" s="314">
        <f t="shared" si="107"/>
        <v>5.7338000000000005</v>
      </c>
      <c r="AX321" s="314">
        <f t="shared" si="107"/>
        <v>5.6865600000000001</v>
      </c>
      <c r="AY321" s="314">
        <f t="shared" si="107"/>
        <v>5.8022200000000002</v>
      </c>
      <c r="AZ321" s="314">
        <f t="shared" si="107"/>
        <v>5.7949999999999999</v>
      </c>
      <c r="BA321" s="314">
        <f t="shared" si="107"/>
        <v>6.065100000000001</v>
      </c>
      <c r="BB321" s="314">
        <f t="shared" si="107"/>
        <v>6.2343600000000006</v>
      </c>
      <c r="BC321" s="314">
        <f t="shared" si="107"/>
        <v>6.3635999999999999</v>
      </c>
      <c r="BD321" s="314" t="e">
        <f t="shared" si="107"/>
        <v>#VALUE!</v>
      </c>
    </row>
    <row r="322" spans="1:72">
      <c r="A322" s="4"/>
      <c r="B322" s="4"/>
      <c r="C322" s="115"/>
      <c r="E322" s="301"/>
      <c r="F322" s="301"/>
      <c r="G322" s="301"/>
      <c r="H322" s="301"/>
      <c r="I322" s="301"/>
      <c r="J322" s="301"/>
      <c r="K322" s="301"/>
      <c r="L322" s="301"/>
      <c r="M322" s="301"/>
      <c r="N322" s="301"/>
      <c r="O322" s="301"/>
      <c r="P322" s="301"/>
      <c r="Q322" s="301"/>
      <c r="R322" s="301"/>
      <c r="S322" s="301"/>
      <c r="T322" s="301"/>
      <c r="U322" s="301"/>
      <c r="V322" s="301"/>
      <c r="W322" s="301"/>
      <c r="X322" s="301"/>
      <c r="Y322" s="301"/>
      <c r="Z322" s="301"/>
      <c r="AA322" s="301"/>
      <c r="AB322" s="301"/>
      <c r="AC322" s="301"/>
      <c r="AD322" s="301"/>
      <c r="AE322" s="301"/>
      <c r="AF322" s="301"/>
      <c r="AG322" s="301"/>
      <c r="AH322" s="301"/>
      <c r="AI322" s="301"/>
      <c r="AJ322" s="301"/>
      <c r="AK322" s="301"/>
      <c r="AL322" s="301"/>
      <c r="AM322" s="301"/>
      <c r="AN322" s="301"/>
      <c r="AO322" s="301"/>
      <c r="AP322" s="301"/>
      <c r="AQ322" s="301"/>
      <c r="AR322" s="301"/>
      <c r="AS322" s="301"/>
      <c r="AT322" s="301"/>
      <c r="AU322" s="301"/>
      <c r="AV322" s="301"/>
      <c r="AW322" s="301"/>
      <c r="AX322" s="301"/>
      <c r="AY322" s="301"/>
      <c r="AZ322" s="301"/>
      <c r="BA322" s="301"/>
      <c r="BB322" s="301"/>
      <c r="BC322" s="301"/>
      <c r="BD322" s="301"/>
    </row>
    <row r="323" spans="1:72">
      <c r="A323" s="118" t="s">
        <v>176</v>
      </c>
      <c r="B323" s="4"/>
      <c r="C323" s="115"/>
      <c r="E323" s="314" t="e">
        <f t="shared" ref="E323:AJ323" si="108">IF(AND(E321,E319&gt;0),ABS(E321-E319),"uncalcuable")</f>
        <v>#VALUE!</v>
      </c>
      <c r="F323" s="314">
        <f t="shared" si="108"/>
        <v>0.34590599999999938</v>
      </c>
      <c r="G323" s="314">
        <f t="shared" si="108"/>
        <v>0.40564699999999831</v>
      </c>
      <c r="H323" s="314">
        <f t="shared" si="108"/>
        <v>0.28262169999999909</v>
      </c>
      <c r="I323" s="314">
        <f t="shared" si="108"/>
        <v>0.32295859999999799</v>
      </c>
      <c r="J323" s="314">
        <f t="shared" si="108"/>
        <v>0.38505660000000042</v>
      </c>
      <c r="K323" s="314" t="e">
        <f t="shared" si="108"/>
        <v>#VALUE!</v>
      </c>
      <c r="L323" s="314">
        <f t="shared" si="108"/>
        <v>0.33356910000000095</v>
      </c>
      <c r="M323" s="314" t="e">
        <f t="shared" si="108"/>
        <v>#VALUE!</v>
      </c>
      <c r="N323" s="314">
        <f t="shared" si="108"/>
        <v>0.27894800000000153</v>
      </c>
      <c r="O323" s="314">
        <f t="shared" si="108"/>
        <v>0.39462949999999886</v>
      </c>
      <c r="P323" s="314">
        <f t="shared" si="108"/>
        <v>0.30638310000000146</v>
      </c>
      <c r="Q323" s="314">
        <f t="shared" si="108"/>
        <v>0.19779929999999979</v>
      </c>
      <c r="R323" s="314">
        <f t="shared" si="108"/>
        <v>0.42734439999999907</v>
      </c>
      <c r="S323" s="314">
        <f t="shared" si="108"/>
        <v>0.3257791999999986</v>
      </c>
      <c r="T323" s="314">
        <f t="shared" si="108"/>
        <v>0.42642499999999828</v>
      </c>
      <c r="U323" s="314">
        <f t="shared" si="108"/>
        <v>0.46304039999999969</v>
      </c>
      <c r="V323" s="314">
        <f t="shared" si="108"/>
        <v>0.28379620000000028</v>
      </c>
      <c r="W323" s="314">
        <f t="shared" si="108"/>
        <v>2.2217999999998739E-2</v>
      </c>
      <c r="X323" s="314">
        <f t="shared" si="108"/>
        <v>0.46055659999999854</v>
      </c>
      <c r="Y323" s="314">
        <f t="shared" si="108"/>
        <v>0.23475939999999973</v>
      </c>
      <c r="Z323" s="314">
        <f t="shared" si="108"/>
        <v>0.20750559999999929</v>
      </c>
      <c r="AA323" s="314">
        <f t="shared" si="108"/>
        <v>0.22189399999999893</v>
      </c>
      <c r="AB323" s="314">
        <f t="shared" si="108"/>
        <v>0.23974879999999832</v>
      </c>
      <c r="AC323" s="314">
        <f t="shared" si="108"/>
        <v>0.27055059999999909</v>
      </c>
      <c r="AD323" s="314">
        <f t="shared" si="108"/>
        <v>0.27347160000000059</v>
      </c>
      <c r="AE323" s="314" t="e">
        <f t="shared" si="108"/>
        <v>#VALUE!</v>
      </c>
      <c r="AF323" s="314">
        <f t="shared" si="108"/>
        <v>0.31382509999999986</v>
      </c>
      <c r="AG323" s="314">
        <f t="shared" si="108"/>
        <v>0.18344999999999967</v>
      </c>
      <c r="AH323" s="314">
        <f t="shared" si="108"/>
        <v>0.40924510000000058</v>
      </c>
      <c r="AI323" s="314">
        <f t="shared" si="108"/>
        <v>0.55150139999999936</v>
      </c>
      <c r="AJ323" s="314">
        <f t="shared" si="108"/>
        <v>0.45113599999999909</v>
      </c>
      <c r="AK323" s="314">
        <f t="shared" ref="AK323:BD323" si="109">IF(AND(AK321,AK319&gt;0),ABS(AK321-AK319),"uncalcuable")</f>
        <v>0.41722850000000022</v>
      </c>
      <c r="AL323" s="314">
        <f t="shared" si="109"/>
        <v>0.47371499999999944</v>
      </c>
      <c r="AM323" s="314">
        <f t="shared" si="109"/>
        <v>0.3780613999999991</v>
      </c>
      <c r="AN323" s="314">
        <f t="shared" si="109"/>
        <v>0.47109860000000037</v>
      </c>
      <c r="AO323" s="314">
        <f t="shared" si="109"/>
        <v>0.32972979999999996</v>
      </c>
      <c r="AP323" s="314">
        <f t="shared" si="109"/>
        <v>0.3588161000000003</v>
      </c>
      <c r="AQ323" s="314">
        <f t="shared" si="109"/>
        <v>0.34379179999999909</v>
      </c>
      <c r="AR323" s="314">
        <f t="shared" si="109"/>
        <v>0.38652399999999876</v>
      </c>
      <c r="AS323" s="314">
        <f t="shared" si="109"/>
        <v>0.44280609999999943</v>
      </c>
      <c r="AT323" s="314">
        <f t="shared" si="109"/>
        <v>0.32375499999999935</v>
      </c>
      <c r="AU323" s="314">
        <f t="shared" si="109"/>
        <v>0.35129469999999863</v>
      </c>
      <c r="AV323" s="314">
        <f t="shared" si="109"/>
        <v>0.38407780000000091</v>
      </c>
      <c r="AW323" s="314">
        <f t="shared" si="109"/>
        <v>0.36483389999999893</v>
      </c>
      <c r="AX323" s="314">
        <f t="shared" si="109"/>
        <v>0.34389799999999937</v>
      </c>
      <c r="AY323" s="314">
        <f t="shared" si="109"/>
        <v>0.27894099999999966</v>
      </c>
      <c r="AZ323" s="314">
        <f t="shared" si="109"/>
        <v>0.27089849999999949</v>
      </c>
      <c r="BA323" s="314">
        <f t="shared" si="109"/>
        <v>0.41018759999999865</v>
      </c>
      <c r="BB323" s="314">
        <f t="shared" si="109"/>
        <v>0.36717579999999916</v>
      </c>
      <c r="BC323" s="314">
        <f t="shared" si="109"/>
        <v>0.4484648</v>
      </c>
      <c r="BD323" s="314" t="e">
        <f t="shared" si="109"/>
        <v>#VALUE!</v>
      </c>
    </row>
    <row r="324" spans="1:72">
      <c r="A324" s="4"/>
      <c r="B324" s="4"/>
      <c r="C324" s="115"/>
      <c r="E324" s="301"/>
      <c r="F324" s="301"/>
      <c r="G324" s="301"/>
      <c r="H324" s="301"/>
      <c r="I324" s="301"/>
      <c r="J324" s="301"/>
      <c r="K324" s="301"/>
      <c r="L324" s="301"/>
      <c r="M324" s="301"/>
      <c r="N324" s="301"/>
      <c r="O324" s="301"/>
      <c r="P324" s="301"/>
      <c r="Q324" s="301"/>
      <c r="R324" s="301"/>
      <c r="S324" s="301"/>
      <c r="T324" s="301"/>
      <c r="U324" s="301"/>
      <c r="V324" s="301"/>
      <c r="W324" s="301"/>
      <c r="X324" s="301"/>
      <c r="Y324" s="301"/>
      <c r="Z324" s="301"/>
      <c r="AA324" s="301"/>
      <c r="AB324" s="301"/>
      <c r="AC324" s="301"/>
      <c r="AD324" s="301"/>
      <c r="AE324" s="301"/>
      <c r="AF324" s="301"/>
      <c r="AG324" s="301"/>
      <c r="AH324" s="301"/>
      <c r="AI324" s="301"/>
      <c r="AJ324" s="301"/>
      <c r="AK324" s="301"/>
      <c r="AL324" s="301"/>
      <c r="AM324" s="301"/>
      <c r="AN324" s="301"/>
      <c r="AO324" s="301"/>
      <c r="AP324" s="301"/>
      <c r="AQ324" s="301"/>
      <c r="AR324" s="301"/>
      <c r="AS324" s="301"/>
      <c r="AT324" s="301"/>
      <c r="AU324" s="301"/>
      <c r="AV324" s="301"/>
      <c r="AW324" s="301"/>
      <c r="AX324" s="301"/>
      <c r="AY324" s="301"/>
      <c r="AZ324" s="301"/>
      <c r="BA324" s="301"/>
      <c r="BB324" s="301"/>
      <c r="BC324" s="301"/>
      <c r="BD324" s="301"/>
      <c r="BF324" s="294" t="s">
        <v>192</v>
      </c>
      <c r="BH324" s="313"/>
      <c r="BT324" s="313"/>
    </row>
    <row r="325" spans="1:72">
      <c r="A325" s="118" t="s">
        <v>177</v>
      </c>
      <c r="B325" s="4"/>
      <c r="C325" s="11" t="s">
        <v>16</v>
      </c>
      <c r="E325" s="314" t="e">
        <f t="shared" ref="E325:AJ325" si="110">IF(AND(E319,E321&gt;0),(E323*100/(0.5*(E319+E321))),"uncalcuable")</f>
        <v>#VALUE!</v>
      </c>
      <c r="F325" s="314">
        <f t="shared" si="110"/>
        <v>4.4608667291787514</v>
      </c>
      <c r="G325" s="314">
        <f t="shared" si="110"/>
        <v>5.2131116929488348</v>
      </c>
      <c r="H325" s="314">
        <f t="shared" si="110"/>
        <v>3.6475925153353983</v>
      </c>
      <c r="I325" s="314">
        <f t="shared" si="110"/>
        <v>4.1026248566866359</v>
      </c>
      <c r="J325" s="314">
        <f t="shared" si="110"/>
        <v>4.8779202460218443</v>
      </c>
      <c r="K325" s="314" t="e">
        <f t="shared" si="110"/>
        <v>#VALUE!</v>
      </c>
      <c r="L325" s="314">
        <f t="shared" si="110"/>
        <v>4.1747567633178928</v>
      </c>
      <c r="M325" s="314" t="e">
        <f t="shared" si="110"/>
        <v>#VALUE!</v>
      </c>
      <c r="N325" s="314">
        <f t="shared" si="110"/>
        <v>3.4233074234331098</v>
      </c>
      <c r="O325" s="314">
        <f t="shared" si="110"/>
        <v>4.7976034686292595</v>
      </c>
      <c r="P325" s="314">
        <f t="shared" si="110"/>
        <v>3.781857698261744</v>
      </c>
      <c r="Q325" s="314">
        <f t="shared" si="110"/>
        <v>2.4666084966496098</v>
      </c>
      <c r="R325" s="314">
        <f t="shared" si="110"/>
        <v>5.4219604162648292</v>
      </c>
      <c r="S325" s="314">
        <f t="shared" si="110"/>
        <v>4.1862474251263908</v>
      </c>
      <c r="T325" s="314">
        <f t="shared" si="110"/>
        <v>5.4646524417612383</v>
      </c>
      <c r="U325" s="314">
        <f t="shared" si="110"/>
        <v>5.6636176556473989</v>
      </c>
      <c r="V325" s="314">
        <f t="shared" si="110"/>
        <v>4.6580947930387211</v>
      </c>
      <c r="W325" s="314">
        <f t="shared" si="110"/>
        <v>0.36732898197229008</v>
      </c>
      <c r="X325" s="314">
        <f t="shared" si="110"/>
        <v>7.2225837949246321</v>
      </c>
      <c r="Y325" s="314">
        <f t="shared" si="110"/>
        <v>3.6869075045108386</v>
      </c>
      <c r="Z325" s="314">
        <f t="shared" si="110"/>
        <v>3.2029424661478845</v>
      </c>
      <c r="AA325" s="314">
        <f t="shared" si="110"/>
        <v>3.3973176234913782</v>
      </c>
      <c r="AB325" s="314">
        <f t="shared" si="110"/>
        <v>3.6289317231280052</v>
      </c>
      <c r="AC325" s="314">
        <f t="shared" si="110"/>
        <v>4.1912719708413766</v>
      </c>
      <c r="AD325" s="314">
        <f t="shared" si="110"/>
        <v>4.3787713182245485</v>
      </c>
      <c r="AE325" s="314" t="e">
        <f t="shared" si="110"/>
        <v>#VALUE!</v>
      </c>
      <c r="AF325" s="314">
        <f t="shared" si="110"/>
        <v>5.0540386595464932</v>
      </c>
      <c r="AG325" s="314">
        <f t="shared" si="110"/>
        <v>2.9974388196512329</v>
      </c>
      <c r="AH325" s="314">
        <f t="shared" si="110"/>
        <v>7.1727388213455052</v>
      </c>
      <c r="AI325" s="314">
        <f t="shared" si="110"/>
        <v>9.3437585807972976</v>
      </c>
      <c r="AJ325" s="314">
        <f t="shared" si="110"/>
        <v>7.9753802985817481</v>
      </c>
      <c r="AK325" s="314">
        <f t="shared" ref="AK325:BD325" si="111">IF(AND(AK319,AK321&gt;0),(AK323*100/(0.5*(AK319+AK321))),"uncalcuable")</f>
        <v>7.4248213668986409</v>
      </c>
      <c r="AL325" s="314">
        <f t="shared" si="111"/>
        <v>8.3522908345899332</v>
      </c>
      <c r="AM325" s="314">
        <f t="shared" si="111"/>
        <v>6.6151657581418748</v>
      </c>
      <c r="AN325" s="314">
        <f t="shared" si="111"/>
        <v>8.2130027229907121</v>
      </c>
      <c r="AO325" s="314">
        <f t="shared" si="111"/>
        <v>5.7839571668707119</v>
      </c>
      <c r="AP325" s="314">
        <f t="shared" si="111"/>
        <v>6.3775605398718298</v>
      </c>
      <c r="AQ325" s="314">
        <f t="shared" si="111"/>
        <v>6.0473960756669909</v>
      </c>
      <c r="AR325" s="314">
        <f t="shared" si="111"/>
        <v>6.7129545204295384</v>
      </c>
      <c r="AS325" s="314">
        <f t="shared" si="111"/>
        <v>7.7492730978336262</v>
      </c>
      <c r="AT325" s="314">
        <f t="shared" si="111"/>
        <v>5.5024089131699174</v>
      </c>
      <c r="AU325" s="314">
        <f t="shared" si="111"/>
        <v>5.968444056082892</v>
      </c>
      <c r="AV325" s="314">
        <f t="shared" si="111"/>
        <v>6.5799207893469651</v>
      </c>
      <c r="AW325" s="314">
        <f t="shared" si="111"/>
        <v>6.1666754800125938</v>
      </c>
      <c r="AX325" s="314">
        <f t="shared" si="111"/>
        <v>5.8700601125644658</v>
      </c>
      <c r="AY325" s="314">
        <f t="shared" si="111"/>
        <v>4.6946403552995513</v>
      </c>
      <c r="AZ325" s="314">
        <f t="shared" si="111"/>
        <v>4.5679254400499172</v>
      </c>
      <c r="BA325" s="314">
        <f t="shared" si="111"/>
        <v>6.5418647825526319</v>
      </c>
      <c r="BB325" s="314">
        <f t="shared" si="111"/>
        <v>5.7210779165097172</v>
      </c>
      <c r="BC325" s="314">
        <f t="shared" si="111"/>
        <v>6.8074713011824652</v>
      </c>
      <c r="BD325" s="314" t="e">
        <f t="shared" si="111"/>
        <v>#VALUE!</v>
      </c>
      <c r="BF325" s="334" t="e">
        <f>AVERAGE(E325:BC325)</f>
        <v>#VALUE!</v>
      </c>
      <c r="BI325" s="313"/>
      <c r="BJ325" s="313"/>
      <c r="BK325" s="313"/>
      <c r="BL325" s="313"/>
      <c r="BM325" s="313"/>
      <c r="BN325" s="313"/>
      <c r="BO325" s="313"/>
      <c r="BP325" s="313"/>
      <c r="BQ325" s="313"/>
      <c r="BR325" s="313"/>
      <c r="BS325" s="313"/>
    </row>
    <row r="326" spans="1:72">
      <c r="C326" s="11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c r="AA326" s="323"/>
      <c r="AB326" s="323"/>
      <c r="AC326" s="323"/>
      <c r="AD326" s="323"/>
      <c r="AE326" s="323"/>
      <c r="AF326" s="323"/>
      <c r="AG326" s="323"/>
      <c r="AH326" s="323"/>
      <c r="AI326" s="323"/>
      <c r="AJ326" s="323"/>
      <c r="AK326" s="323"/>
      <c r="AL326" s="323"/>
      <c r="AM326" s="323"/>
      <c r="AN326" s="323"/>
      <c r="AO326" s="323"/>
      <c r="AP326" s="323"/>
      <c r="AQ326" s="323"/>
      <c r="AR326" s="323"/>
      <c r="AS326" s="323"/>
      <c r="AT326" s="323"/>
      <c r="AU326" s="323"/>
      <c r="AV326" s="323"/>
      <c r="AW326" s="323"/>
      <c r="AX326" s="323"/>
      <c r="AY326" s="323"/>
      <c r="AZ326" s="323"/>
      <c r="BA326" s="323"/>
      <c r="BB326" s="323"/>
      <c r="BC326" s="323"/>
      <c r="BD326" s="323"/>
      <c r="BH326" s="313"/>
      <c r="BT326" s="313"/>
    </row>
    <row r="327" spans="1:72">
      <c r="A327" s="118" t="s">
        <v>178</v>
      </c>
      <c r="B327" s="4" t="s">
        <v>174</v>
      </c>
      <c r="C327" s="115"/>
      <c r="E327" s="314" t="e">
        <f t="shared" ref="E327:AJ327" si="112">IF(E321&gt;0,(0.1065+(0.0155*E321)),"uncalcuable")</f>
        <v>#VALUE!</v>
      </c>
      <c r="F327" s="314">
        <f t="shared" si="112"/>
        <v>0.22400984000000002</v>
      </c>
      <c r="G327" s="314">
        <f t="shared" si="112"/>
        <v>0.22396613000000001</v>
      </c>
      <c r="H327" s="314">
        <f t="shared" si="112"/>
        <v>0.22440632999999999</v>
      </c>
      <c r="I327" s="314">
        <f t="shared" si="112"/>
        <v>0.22601305999999999</v>
      </c>
      <c r="J327" s="314">
        <f t="shared" si="112"/>
        <v>0.22587077</v>
      </c>
      <c r="K327" s="314" t="e">
        <f t="shared" si="112"/>
        <v>#VALUE!</v>
      </c>
      <c r="L327" s="314">
        <f t="shared" si="112"/>
        <v>0.22776207999999998</v>
      </c>
      <c r="M327" s="314" t="e">
        <f t="shared" si="112"/>
        <v>#VALUE!</v>
      </c>
      <c r="N327" s="314">
        <f t="shared" si="112"/>
        <v>0.23063981</v>
      </c>
      <c r="O327" s="314">
        <f t="shared" si="112"/>
        <v>0.23093772000000001</v>
      </c>
      <c r="P327" s="314">
        <f t="shared" si="112"/>
        <v>0.22969709999999999</v>
      </c>
      <c r="Q327" s="314">
        <f t="shared" si="112"/>
        <v>0.22926278999999999</v>
      </c>
      <c r="R327" s="314">
        <f t="shared" si="112"/>
        <v>0.22535493000000001</v>
      </c>
      <c r="S327" s="314">
        <f t="shared" si="112"/>
        <v>0.22459822000000002</v>
      </c>
      <c r="T327" s="314">
        <f t="shared" si="112"/>
        <v>0.22414686</v>
      </c>
      <c r="U327" s="314">
        <f t="shared" si="112"/>
        <v>0.22963479000000001</v>
      </c>
      <c r="V327" s="314">
        <f t="shared" si="112"/>
        <v>0.19873491999999998</v>
      </c>
      <c r="W327" s="314">
        <f t="shared" si="112"/>
        <v>0.20008001000000003</v>
      </c>
      <c r="X327" s="314">
        <f t="shared" si="112"/>
        <v>0.20176827</v>
      </c>
      <c r="Y327" s="314">
        <f t="shared" si="112"/>
        <v>0.203375</v>
      </c>
      <c r="Z327" s="314">
        <f t="shared" si="112"/>
        <v>0.20531002000000001</v>
      </c>
      <c r="AA327" s="314">
        <f t="shared" si="112"/>
        <v>0.20601775</v>
      </c>
      <c r="AB327" s="314">
        <f t="shared" si="112"/>
        <v>0.20704416</v>
      </c>
      <c r="AC327" s="314">
        <f t="shared" si="112"/>
        <v>0.20445721</v>
      </c>
      <c r="AD327" s="314">
        <f t="shared" si="112"/>
        <v>0.20118422999999999</v>
      </c>
      <c r="AE327" s="314" t="e">
        <f t="shared" si="112"/>
        <v>#VALUE!</v>
      </c>
      <c r="AF327" s="314">
        <f t="shared" si="112"/>
        <v>0.20031344000000001</v>
      </c>
      <c r="AG327" s="314">
        <f t="shared" si="112"/>
        <v>0.19994175</v>
      </c>
      <c r="AH327" s="314">
        <f t="shared" si="112"/>
        <v>0.19176457</v>
      </c>
      <c r="AI327" s="314">
        <f t="shared" si="112"/>
        <v>0.1937123</v>
      </c>
      <c r="AJ327" s="314">
        <f t="shared" si="112"/>
        <v>0.19068111999999998</v>
      </c>
      <c r="AK327" s="314">
        <f t="shared" ref="AK327:BD327" si="113">IF(AK321&gt;0,(0.1065+(0.0155*AK321)),"uncalcuable")</f>
        <v>0.19036678000000001</v>
      </c>
      <c r="AL327" s="314">
        <f t="shared" si="113"/>
        <v>0.19073971000000001</v>
      </c>
      <c r="AM327" s="314">
        <f t="shared" si="113"/>
        <v>0.19215362</v>
      </c>
      <c r="AN327" s="314">
        <f t="shared" si="113"/>
        <v>0.19175713</v>
      </c>
      <c r="AO327" s="314">
        <f t="shared" si="113"/>
        <v>0.19230644999999999</v>
      </c>
      <c r="AP327" s="314">
        <f t="shared" si="113"/>
        <v>0.19092571</v>
      </c>
      <c r="AQ327" s="314">
        <f t="shared" si="113"/>
        <v>0.19195243000000001</v>
      </c>
      <c r="AR327" s="314">
        <f t="shared" si="113"/>
        <v>0.19275161000000002</v>
      </c>
      <c r="AS327" s="314">
        <f t="shared" si="113"/>
        <v>0.19163777999999998</v>
      </c>
      <c r="AT327" s="314">
        <f t="shared" si="113"/>
        <v>0.195191</v>
      </c>
      <c r="AU327" s="314">
        <f t="shared" si="113"/>
        <v>0.19500841000000002</v>
      </c>
      <c r="AV327" s="314">
        <f t="shared" si="113"/>
        <v>0.19399874</v>
      </c>
      <c r="AW327" s="314">
        <f t="shared" si="113"/>
        <v>0.19537389999999999</v>
      </c>
      <c r="AX327" s="314">
        <f t="shared" si="113"/>
        <v>0.19464167999999998</v>
      </c>
      <c r="AY327" s="314">
        <f t="shared" si="113"/>
        <v>0.19643441</v>
      </c>
      <c r="AZ327" s="314">
        <f t="shared" si="113"/>
        <v>0.19632250000000001</v>
      </c>
      <c r="BA327" s="314">
        <f t="shared" si="113"/>
        <v>0.20050905000000002</v>
      </c>
      <c r="BB327" s="314">
        <f t="shared" si="113"/>
        <v>0.20313258000000001</v>
      </c>
      <c r="BC327" s="314">
        <f t="shared" si="113"/>
        <v>0.20513579999999998</v>
      </c>
      <c r="BD327" s="314" t="e">
        <f t="shared" si="113"/>
        <v>#VALUE!</v>
      </c>
      <c r="BH327" s="313"/>
      <c r="BT327" s="313"/>
    </row>
    <row r="328" spans="1:72">
      <c r="A328" s="4" t="s">
        <v>179</v>
      </c>
      <c r="C328" s="113"/>
      <c r="E328" s="301"/>
      <c r="F328" s="301"/>
      <c r="G328" s="301"/>
      <c r="H328" s="301"/>
      <c r="I328" s="301"/>
      <c r="J328" s="301"/>
      <c r="K328" s="301"/>
      <c r="L328" s="301"/>
      <c r="M328" s="301"/>
      <c r="N328" s="301"/>
      <c r="O328" s="301"/>
      <c r="P328" s="301"/>
      <c r="Q328" s="301"/>
      <c r="R328" s="301"/>
      <c r="S328" s="301"/>
      <c r="T328" s="301"/>
      <c r="U328" s="301"/>
      <c r="V328" s="301"/>
      <c r="W328" s="301"/>
      <c r="X328" s="301"/>
      <c r="Y328" s="301"/>
      <c r="Z328" s="301"/>
      <c r="AA328" s="301"/>
      <c r="AB328" s="301"/>
      <c r="AC328" s="301"/>
      <c r="AD328" s="301"/>
      <c r="AE328" s="301"/>
      <c r="AF328" s="301"/>
      <c r="AG328" s="301"/>
      <c r="AH328" s="301"/>
      <c r="AI328" s="301"/>
      <c r="AJ328" s="301"/>
      <c r="AK328" s="301"/>
      <c r="AL328" s="301"/>
      <c r="AM328" s="301"/>
      <c r="AN328" s="301"/>
      <c r="AO328" s="301"/>
      <c r="AP328" s="301"/>
      <c r="AQ328" s="301"/>
      <c r="AR328" s="301"/>
      <c r="AS328" s="301"/>
      <c r="AT328" s="301"/>
      <c r="AU328" s="301"/>
      <c r="AV328" s="301"/>
      <c r="AW328" s="301"/>
      <c r="AX328" s="301"/>
      <c r="AY328" s="301"/>
      <c r="AZ328" s="301"/>
      <c r="BA328" s="301"/>
      <c r="BB328" s="301"/>
      <c r="BC328" s="301"/>
      <c r="BD328" s="301"/>
      <c r="BH328" s="313"/>
      <c r="BT328" s="313"/>
    </row>
    <row r="329" spans="1:72">
      <c r="C329" s="113"/>
      <c r="E329" s="301"/>
      <c r="F329" s="301"/>
      <c r="G329" s="301"/>
      <c r="H329" s="301"/>
      <c r="I329" s="301"/>
      <c r="J329" s="301"/>
      <c r="K329" s="301"/>
      <c r="L329" s="301"/>
      <c r="M329" s="301"/>
      <c r="N329" s="301"/>
      <c r="O329" s="301"/>
      <c r="P329" s="301"/>
      <c r="Q329" s="301"/>
      <c r="R329" s="301"/>
      <c r="S329" s="301"/>
      <c r="T329" s="301"/>
      <c r="U329" s="301"/>
      <c r="V329" s="301"/>
      <c r="W329" s="301"/>
      <c r="X329" s="301"/>
      <c r="Y329" s="301"/>
      <c r="Z329" s="301"/>
      <c r="AA329" s="301"/>
      <c r="AB329" s="301"/>
      <c r="AC329" s="301"/>
      <c r="AD329" s="301"/>
      <c r="AE329" s="301"/>
      <c r="AF329" s="301"/>
      <c r="AG329" s="301"/>
      <c r="AH329" s="301"/>
      <c r="AI329" s="301"/>
      <c r="AJ329" s="301"/>
      <c r="AK329" s="301"/>
      <c r="AL329" s="301"/>
      <c r="AM329" s="301"/>
      <c r="AN329" s="301"/>
      <c r="AO329" s="301"/>
      <c r="AP329" s="301"/>
      <c r="AQ329" s="301"/>
      <c r="AR329" s="301"/>
      <c r="AS329" s="301"/>
      <c r="AT329" s="301"/>
      <c r="AU329" s="301"/>
      <c r="AV329" s="301"/>
      <c r="AW329" s="301"/>
      <c r="AX329" s="301"/>
      <c r="AY329" s="301"/>
      <c r="AZ329" s="301"/>
      <c r="BA329" s="301"/>
      <c r="BB329" s="301"/>
      <c r="BC329" s="301"/>
      <c r="BD329" s="301"/>
      <c r="BH329" s="313"/>
      <c r="BT329" s="313"/>
    </row>
    <row r="330" spans="1:72">
      <c r="A330" s="4" t="s">
        <v>180</v>
      </c>
      <c r="C330" s="113"/>
      <c r="E330" s="314" t="e">
        <f t="shared" ref="E330:AJ330" si="114">IF(AND(E319,E321&gt;0),((E319-E321)/(E319+E321))*100,"uncalcuable")</f>
        <v>#VALUE!</v>
      </c>
      <c r="F330" s="314">
        <f t="shared" si="114"/>
        <v>2.2304333645893757</v>
      </c>
      <c r="G330" s="314">
        <f t="shared" si="114"/>
        <v>2.6065558464744174</v>
      </c>
      <c r="H330" s="314">
        <f t="shared" si="114"/>
        <v>1.8237962576676991</v>
      </c>
      <c r="I330" s="314">
        <f t="shared" si="114"/>
        <v>2.051312428343318</v>
      </c>
      <c r="J330" s="314">
        <f t="shared" si="114"/>
        <v>2.4389601230109226</v>
      </c>
      <c r="K330" s="314" t="e">
        <f t="shared" si="114"/>
        <v>#VALUE!</v>
      </c>
      <c r="L330" s="314">
        <f t="shared" si="114"/>
        <v>2.087378381658946</v>
      </c>
      <c r="M330" s="314" t="e">
        <f t="shared" si="114"/>
        <v>#VALUE!</v>
      </c>
      <c r="N330" s="314">
        <f t="shared" si="114"/>
        <v>1.7116537117165549</v>
      </c>
      <c r="O330" s="314">
        <f t="shared" si="114"/>
        <v>2.3988017343146302</v>
      </c>
      <c r="P330" s="314">
        <f t="shared" si="114"/>
        <v>1.890928849130872</v>
      </c>
      <c r="Q330" s="314">
        <f t="shared" si="114"/>
        <v>1.2333042483248049</v>
      </c>
      <c r="R330" s="314">
        <f t="shared" si="114"/>
        <v>2.7109802081324146</v>
      </c>
      <c r="S330" s="314">
        <f t="shared" si="114"/>
        <v>2.093123712563195</v>
      </c>
      <c r="T330" s="314">
        <f t="shared" si="114"/>
        <v>2.7323262208806192</v>
      </c>
      <c r="U330" s="314">
        <f t="shared" si="114"/>
        <v>2.8318088278236995</v>
      </c>
      <c r="V330" s="314">
        <f t="shared" si="114"/>
        <v>2.329047396519361</v>
      </c>
      <c r="W330" s="314">
        <f t="shared" si="114"/>
        <v>0.18366449098614504</v>
      </c>
      <c r="X330" s="314">
        <f t="shared" si="114"/>
        <v>3.611291897462316</v>
      </c>
      <c r="Y330" s="314">
        <f t="shared" si="114"/>
        <v>1.8434537522554195</v>
      </c>
      <c r="Z330" s="314">
        <f t="shared" si="114"/>
        <v>1.6014712330739422</v>
      </c>
      <c r="AA330" s="314">
        <f t="shared" si="114"/>
        <v>1.6986588117456891</v>
      </c>
      <c r="AB330" s="314">
        <f t="shared" si="114"/>
        <v>1.8144658615640026</v>
      </c>
      <c r="AC330" s="314">
        <f t="shared" si="114"/>
        <v>2.0956359854206883</v>
      </c>
      <c r="AD330" s="314">
        <f t="shared" si="114"/>
        <v>2.1893856591122742</v>
      </c>
      <c r="AE330" s="314" t="e">
        <f t="shared" si="114"/>
        <v>#VALUE!</v>
      </c>
      <c r="AF330" s="314">
        <f t="shared" si="114"/>
        <v>2.5270193297732466</v>
      </c>
      <c r="AG330" s="314">
        <f t="shared" si="114"/>
        <v>1.4987194098256167</v>
      </c>
      <c r="AH330" s="314">
        <f t="shared" si="114"/>
        <v>3.5863694106727531</v>
      </c>
      <c r="AI330" s="314">
        <f t="shared" si="114"/>
        <v>4.6718792903986488</v>
      </c>
      <c r="AJ330" s="314">
        <f t="shared" si="114"/>
        <v>3.9876901492908741</v>
      </c>
      <c r="AK330" s="314">
        <f t="shared" ref="AK330:BD330" si="115">IF(AND(AK319,AK321&gt;0),((AK319-AK321)/(AK319+AK321))*100,"uncalcuable")</f>
        <v>3.71241068344932</v>
      </c>
      <c r="AL330" s="314">
        <f t="shared" si="115"/>
        <v>4.1761454172949666</v>
      </c>
      <c r="AM330" s="314">
        <f t="shared" si="115"/>
        <v>3.307582879070937</v>
      </c>
      <c r="AN330" s="314">
        <f t="shared" si="115"/>
        <v>4.1065013614953561</v>
      </c>
      <c r="AO330" s="314">
        <f t="shared" si="115"/>
        <v>2.891978583435356</v>
      </c>
      <c r="AP330" s="314">
        <f t="shared" si="115"/>
        <v>3.1887802699359149</v>
      </c>
      <c r="AQ330" s="314">
        <f t="shared" si="115"/>
        <v>3.0236980378334959</v>
      </c>
      <c r="AR330" s="314">
        <f t="shared" si="115"/>
        <v>3.3564772602147692</v>
      </c>
      <c r="AS330" s="314">
        <f t="shared" si="115"/>
        <v>3.8746365489168135</v>
      </c>
      <c r="AT330" s="314">
        <f t="shared" si="115"/>
        <v>2.7512044565849587</v>
      </c>
      <c r="AU330" s="314">
        <f t="shared" si="115"/>
        <v>2.984222028041446</v>
      </c>
      <c r="AV330" s="314">
        <f t="shared" si="115"/>
        <v>3.289960394673483</v>
      </c>
      <c r="AW330" s="314">
        <f t="shared" si="115"/>
        <v>3.0833377400062969</v>
      </c>
      <c r="AX330" s="314">
        <f t="shared" si="115"/>
        <v>2.9350300562822329</v>
      </c>
      <c r="AY330" s="314">
        <f t="shared" si="115"/>
        <v>2.3473201776497756</v>
      </c>
      <c r="AZ330" s="314">
        <f t="shared" si="115"/>
        <v>2.2839627200249586</v>
      </c>
      <c r="BA330" s="314">
        <f t="shared" si="115"/>
        <v>3.2709323912763164</v>
      </c>
      <c r="BB330" s="314">
        <f t="shared" si="115"/>
        <v>2.8605389582548586</v>
      </c>
      <c r="BC330" s="314">
        <f t="shared" si="115"/>
        <v>3.4037356505912322</v>
      </c>
      <c r="BD330" s="314" t="e">
        <f t="shared" si="115"/>
        <v>#VALUE!</v>
      </c>
      <c r="BH330" s="313"/>
      <c r="BT330" s="313"/>
    </row>
    <row r="331" spans="1:72">
      <c r="A331" s="4" t="s">
        <v>181</v>
      </c>
      <c r="C331" s="113"/>
      <c r="D331" s="294"/>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c r="AA331" s="323"/>
      <c r="AB331" s="323"/>
      <c r="AC331" s="323"/>
      <c r="AD331" s="323"/>
      <c r="AE331" s="323"/>
      <c r="AF331" s="323"/>
      <c r="AG331" s="323"/>
      <c r="AH331" s="323"/>
      <c r="AI331" s="323"/>
      <c r="AJ331" s="323"/>
      <c r="AK331" s="323"/>
      <c r="AL331" s="323"/>
      <c r="AM331" s="323"/>
      <c r="AN331" s="323"/>
      <c r="AO331" s="323"/>
      <c r="AP331" s="323"/>
      <c r="AQ331" s="323"/>
      <c r="AR331" s="323"/>
      <c r="AS331" s="323"/>
      <c r="AT331" s="323"/>
      <c r="AU331" s="323"/>
      <c r="AV331" s="323"/>
      <c r="AW331" s="323"/>
      <c r="AX331" s="323"/>
      <c r="AY331" s="323"/>
      <c r="AZ331" s="323"/>
      <c r="BA331" s="323"/>
      <c r="BB331" s="323"/>
      <c r="BC331" s="323"/>
      <c r="BD331" s="323"/>
      <c r="BH331" s="313"/>
      <c r="BT331" s="313"/>
    </row>
    <row r="332" spans="1:72">
      <c r="C332" s="11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c r="AA332" s="323"/>
      <c r="AB332" s="323"/>
      <c r="AC332" s="323"/>
      <c r="AD332" s="323"/>
      <c r="AE332" s="323"/>
      <c r="AF332" s="323"/>
      <c r="AG332" s="323"/>
      <c r="AH332" s="323"/>
      <c r="AI332" s="323"/>
      <c r="AJ332" s="323"/>
      <c r="AK332" s="323"/>
      <c r="AL332" s="323"/>
      <c r="AM332" s="323"/>
      <c r="AN332" s="323"/>
      <c r="AO332" s="323"/>
      <c r="AP332" s="323"/>
      <c r="AQ332" s="323"/>
      <c r="AR332" s="323"/>
      <c r="AS332" s="323"/>
      <c r="AT332" s="323"/>
      <c r="AU332" s="323"/>
      <c r="AV332" s="323"/>
      <c r="AW332" s="323"/>
      <c r="AX332" s="323"/>
      <c r="AY332" s="323"/>
      <c r="AZ332" s="323"/>
      <c r="BA332" s="323"/>
      <c r="BB332" s="323"/>
      <c r="BC332" s="323"/>
      <c r="BD332" s="323"/>
      <c r="BH332" s="313"/>
      <c r="BT332" s="313"/>
    </row>
    <row r="333" spans="1:72">
      <c r="C333" s="11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c r="AA333" s="323"/>
      <c r="AB333" s="323"/>
      <c r="AC333" s="323"/>
      <c r="AD333" s="323"/>
      <c r="AE333" s="323"/>
      <c r="AF333" s="323"/>
      <c r="AG333" s="323"/>
      <c r="AH333" s="323"/>
      <c r="AI333" s="323"/>
      <c r="AJ333" s="323"/>
      <c r="AK333" s="323"/>
      <c r="AL333" s="323"/>
      <c r="AM333" s="323"/>
      <c r="AN333" s="323"/>
      <c r="AO333" s="323"/>
      <c r="AP333" s="323"/>
      <c r="AQ333" s="323"/>
      <c r="AR333" s="323"/>
      <c r="AS333" s="323"/>
      <c r="AT333" s="323"/>
      <c r="AU333" s="323"/>
      <c r="AV333" s="323"/>
      <c r="AW333" s="323"/>
      <c r="AX333" s="323"/>
      <c r="AY333" s="323"/>
      <c r="AZ333" s="323"/>
      <c r="BA333" s="323"/>
      <c r="BB333" s="323"/>
      <c r="BC333" s="323"/>
      <c r="BD333" s="323"/>
      <c r="BH333" s="313"/>
      <c r="BT333" s="313"/>
    </row>
    <row r="334" spans="1:72">
      <c r="A334" s="120" t="s">
        <v>193</v>
      </c>
      <c r="C334" s="11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c r="AA334" s="323"/>
      <c r="AB334" s="323"/>
      <c r="AC334" s="323"/>
      <c r="AD334" s="323"/>
      <c r="AE334" s="323"/>
      <c r="AF334" s="323"/>
      <c r="AG334" s="323"/>
      <c r="AH334" s="323"/>
      <c r="AI334" s="323"/>
      <c r="AJ334" s="323"/>
      <c r="AK334" s="323"/>
      <c r="AL334" s="323"/>
      <c r="AM334" s="323"/>
      <c r="AN334" s="323"/>
      <c r="AO334" s="323"/>
      <c r="AP334" s="323"/>
      <c r="AQ334" s="323"/>
      <c r="AR334" s="323"/>
      <c r="AS334" s="323"/>
      <c r="AT334" s="323"/>
      <c r="AU334" s="323"/>
      <c r="AV334" s="323"/>
      <c r="AW334" s="323"/>
      <c r="AX334" s="323"/>
      <c r="AY334" s="323"/>
      <c r="AZ334" s="323"/>
      <c r="BA334" s="323"/>
      <c r="BB334" s="323"/>
      <c r="BC334" s="323"/>
      <c r="BD334" s="323"/>
      <c r="BH334" s="313"/>
      <c r="BT334" s="313"/>
    </row>
    <row r="335" spans="1:72">
      <c r="C335" s="11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c r="AA335" s="323"/>
      <c r="AB335" s="323"/>
      <c r="AC335" s="323"/>
      <c r="AD335" s="323"/>
      <c r="AE335" s="323"/>
      <c r="AF335" s="323"/>
      <c r="AG335" s="323"/>
      <c r="AH335" s="323"/>
      <c r="AI335" s="323"/>
      <c r="AJ335" s="323"/>
      <c r="AK335" s="323"/>
      <c r="AL335" s="323"/>
      <c r="AM335" s="323"/>
      <c r="AN335" s="323"/>
      <c r="AO335" s="323"/>
      <c r="AP335" s="323"/>
      <c r="AQ335" s="323"/>
      <c r="AR335" s="323"/>
      <c r="AS335" s="323"/>
      <c r="AT335" s="323"/>
      <c r="AU335" s="323"/>
      <c r="AV335" s="323"/>
      <c r="AW335" s="323"/>
      <c r="AX335" s="323"/>
      <c r="AY335" s="323"/>
      <c r="AZ335" s="323"/>
      <c r="BA335" s="323"/>
      <c r="BB335" s="323"/>
      <c r="BC335" s="323"/>
      <c r="BD335" s="323"/>
      <c r="BH335" s="313"/>
      <c r="BT335" s="313"/>
    </row>
    <row r="336" spans="1:72">
      <c r="A336" s="45" t="s">
        <v>173</v>
      </c>
      <c r="B336" s="45" t="s">
        <v>174</v>
      </c>
      <c r="C336" s="115"/>
      <c r="E336" s="69" t="e">
        <f t="shared" ref="E336:AJ336" si="116">IF(AND(AND(AND(AND(E171,E172),E174),E175),E215&gt;0),(E171*0.0499)+(E172*0.0822)+(E174*0.0435)+(E175*0.0256)+(E215*0.02629),"uncalcuable")</f>
        <v>#VALUE!</v>
      </c>
      <c r="F336" s="69">
        <f t="shared" si="116"/>
        <v>7.7964005000000007</v>
      </c>
      <c r="G336" s="69">
        <f t="shared" si="116"/>
        <v>7.9270396999999999</v>
      </c>
      <c r="H336" s="69">
        <f t="shared" si="116"/>
        <v>7.969910399999999</v>
      </c>
      <c r="I336" s="69">
        <f t="shared" si="116"/>
        <v>8.0517889999999994</v>
      </c>
      <c r="J336" s="69">
        <f t="shared" si="116"/>
        <v>8.0726009000000012</v>
      </c>
      <c r="K336" s="69" t="e">
        <f t="shared" si="116"/>
        <v>#VALUE!</v>
      </c>
      <c r="L336" s="69">
        <f t="shared" si="116"/>
        <v>8.0884321999999997</v>
      </c>
      <c r="M336" s="69" t="e">
        <f t="shared" si="116"/>
        <v>#VALUE!</v>
      </c>
      <c r="N336" s="69">
        <f t="shared" si="116"/>
        <v>8.3110665000000008</v>
      </c>
      <c r="O336" s="69">
        <f t="shared" si="116"/>
        <v>8.355687099999999</v>
      </c>
      <c r="P336" s="69">
        <f t="shared" si="116"/>
        <v>8.1996880000000001</v>
      </c>
      <c r="Q336" s="69">
        <f t="shared" si="116"/>
        <v>8.1585874</v>
      </c>
      <c r="R336" s="69">
        <f t="shared" si="116"/>
        <v>8.0481334000000011</v>
      </c>
      <c r="S336" s="69">
        <f t="shared" si="116"/>
        <v>7.8841464000000006</v>
      </c>
      <c r="T336" s="69">
        <f t="shared" si="116"/>
        <v>8.0131130000000006</v>
      </c>
      <c r="U336" s="69">
        <f t="shared" si="116"/>
        <v>8.3542559999999995</v>
      </c>
      <c r="V336" s="69">
        <f t="shared" si="116"/>
        <v>6.4159091999999989</v>
      </c>
      <c r="W336" s="69">
        <f t="shared" si="116"/>
        <v>6.0869630999999993</v>
      </c>
      <c r="X336" s="69">
        <f t="shared" si="116"/>
        <v>6.4227101000000006</v>
      </c>
      <c r="Y336" s="69">
        <f t="shared" si="116"/>
        <v>6.5530256999999992</v>
      </c>
      <c r="Z336" s="69">
        <f t="shared" si="116"/>
        <v>6.5584217000000002</v>
      </c>
      <c r="AA336" s="69">
        <f t="shared" si="116"/>
        <v>6.7197927999999996</v>
      </c>
      <c r="AB336" s="69">
        <f t="shared" si="116"/>
        <v>6.6761333999999994</v>
      </c>
      <c r="AC336" s="69">
        <f t="shared" si="116"/>
        <v>6.5490630000000003</v>
      </c>
      <c r="AD336" s="69">
        <f t="shared" si="116"/>
        <v>6.3715466000000003</v>
      </c>
      <c r="AE336" s="69">
        <f t="shared" si="116"/>
        <v>4.3259361999999992</v>
      </c>
      <c r="AF336" s="69">
        <f t="shared" si="116"/>
        <v>6.3349509999999993</v>
      </c>
      <c r="AG336" s="69">
        <f t="shared" si="116"/>
        <v>6.2681148000000002</v>
      </c>
      <c r="AH336" s="69">
        <f t="shared" si="116"/>
        <v>5.9620968999999997</v>
      </c>
      <c r="AI336" s="69">
        <f t="shared" si="116"/>
        <v>5.9233981</v>
      </c>
      <c r="AJ336" s="69">
        <f t="shared" si="116"/>
        <v>5.8896944000000007</v>
      </c>
      <c r="AK336" s="69">
        <f t="shared" ref="AK336:BD336" si="117">IF(AND(AND(AND(AND(AK171,AK172),AK174),AK175),AK215&gt;0),(AK171*0.0499)+(AK172*0.0822)+(AK174*0.0435)+(AK175*0.0256)+(AK215*0.02629),"uncalcuable")</f>
        <v>5.8556454999999996</v>
      </c>
      <c r="AL336" s="69">
        <f t="shared" si="117"/>
        <v>5.9140191999999994</v>
      </c>
      <c r="AM336" s="69">
        <f t="shared" si="117"/>
        <v>5.8783371999999989</v>
      </c>
      <c r="AN336" s="69">
        <f t="shared" si="117"/>
        <v>5.9723105999999992</v>
      </c>
      <c r="AO336" s="69">
        <f t="shared" si="117"/>
        <v>5.8918830999999994</v>
      </c>
      <c r="AP336" s="69">
        <f t="shared" si="117"/>
        <v>5.8667860999999988</v>
      </c>
      <c r="AQ336" s="69">
        <f t="shared" si="117"/>
        <v>5.8363800999999995</v>
      </c>
      <c r="AR336" s="69">
        <f t="shared" si="117"/>
        <v>5.9265003999999992</v>
      </c>
      <c r="AS336" s="69">
        <f t="shared" si="117"/>
        <v>5.9459763999999993</v>
      </c>
      <c r="AT336" s="69">
        <f t="shared" si="117"/>
        <v>6.0286664999999999</v>
      </c>
      <c r="AU336" s="69">
        <f t="shared" si="117"/>
        <v>6.0249858999999999</v>
      </c>
      <c r="AV336" s="69">
        <f t="shared" si="117"/>
        <v>5.9619064000000002</v>
      </c>
      <c r="AW336" s="69">
        <f t="shared" si="117"/>
        <v>6.1220319999999999</v>
      </c>
      <c r="AX336" s="69">
        <f t="shared" si="117"/>
        <v>6.0596031999999997</v>
      </c>
      <c r="AY336" s="69">
        <f t="shared" si="117"/>
        <v>6.1012629</v>
      </c>
      <c r="AZ336" s="69">
        <f t="shared" si="117"/>
        <v>6.0908373000000005</v>
      </c>
      <c r="BA336" s="69">
        <f t="shared" si="117"/>
        <v>6.2471228999999999</v>
      </c>
      <c r="BB336" s="69">
        <f t="shared" si="117"/>
        <v>6.6009732999999997</v>
      </c>
      <c r="BC336" s="69">
        <f t="shared" si="117"/>
        <v>6.7860376999999996</v>
      </c>
      <c r="BD336" s="69" t="e">
        <f t="shared" si="117"/>
        <v>#VALUE!</v>
      </c>
      <c r="BH336" s="313"/>
      <c r="BT336" s="313"/>
    </row>
    <row r="337" spans="1:72">
      <c r="A337" s="45"/>
      <c r="B337" s="45"/>
      <c r="C337" s="115"/>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I337" s="313"/>
      <c r="BJ337" s="313"/>
      <c r="BK337" s="313"/>
      <c r="BL337" s="313"/>
      <c r="BM337" s="313"/>
      <c r="BN337" s="313"/>
      <c r="BO337" s="313"/>
      <c r="BP337" s="313"/>
      <c r="BQ337" s="313"/>
      <c r="BR337" s="313"/>
      <c r="BS337" s="313"/>
    </row>
    <row r="338" spans="1:72">
      <c r="A338" s="122" t="s">
        <v>175</v>
      </c>
      <c r="B338" s="45" t="s">
        <v>174</v>
      </c>
      <c r="C338" s="115"/>
      <c r="E338" s="69" t="e">
        <f t="shared" ref="E338:AJ338" si="118">IF(AND(AND(E176,E177),E169&gt;0),(E176*0.0208)+(E177*0.0282)+(E169*0.0164)+(E170*0.0333),"uncalcuable")</f>
        <v>#VALUE!</v>
      </c>
      <c r="F338" s="69">
        <f t="shared" si="118"/>
        <v>7.4921600000000002</v>
      </c>
      <c r="G338" s="69">
        <f t="shared" si="118"/>
        <v>7.6342600000000012</v>
      </c>
      <c r="H338" s="69">
        <f t="shared" si="118"/>
        <v>7.5862999999999996</v>
      </c>
      <c r="I338" s="69">
        <f t="shared" si="118"/>
        <v>7.7107600000000005</v>
      </c>
      <c r="J338" s="69">
        <f t="shared" si="118"/>
        <v>7.7079400000000007</v>
      </c>
      <c r="K338" s="69" t="e">
        <f t="shared" si="118"/>
        <v>#VALUE!</v>
      </c>
      <c r="L338" s="69">
        <f t="shared" si="118"/>
        <v>7.8387600000000006</v>
      </c>
      <c r="M338" s="69" t="e">
        <f t="shared" si="118"/>
        <v>#VALUE!</v>
      </c>
      <c r="N338" s="69">
        <f t="shared" si="118"/>
        <v>8.0559799999999999</v>
      </c>
      <c r="O338" s="69">
        <f t="shared" si="118"/>
        <v>8.0480400000000003</v>
      </c>
      <c r="P338" s="69">
        <f t="shared" si="118"/>
        <v>7.9302799999999998</v>
      </c>
      <c r="Q338" s="69">
        <f t="shared" si="118"/>
        <v>7.9151199999999999</v>
      </c>
      <c r="R338" s="69">
        <f t="shared" si="118"/>
        <v>7.6264599999999998</v>
      </c>
      <c r="S338" s="69">
        <f t="shared" si="118"/>
        <v>7.5717999999999996</v>
      </c>
      <c r="T338" s="69">
        <f t="shared" si="118"/>
        <v>7.808580000000001</v>
      </c>
      <c r="U338" s="69">
        <f t="shared" si="118"/>
        <v>7.9397800000000007</v>
      </c>
      <c r="V338" s="69">
        <f t="shared" si="118"/>
        <v>6.1370199999999997</v>
      </c>
      <c r="W338" s="69">
        <f t="shared" si="118"/>
        <v>6.1557199999999996</v>
      </c>
      <c r="X338" s="69">
        <f t="shared" si="118"/>
        <v>6.2153</v>
      </c>
      <c r="Y338" s="69">
        <f t="shared" si="118"/>
        <v>6.2001400000000002</v>
      </c>
      <c r="Z338" s="69">
        <f t="shared" si="118"/>
        <v>6.3285200000000001</v>
      </c>
      <c r="AA338" s="69">
        <f t="shared" si="118"/>
        <v>6.5094000000000003</v>
      </c>
      <c r="AB338" s="69">
        <f t="shared" si="118"/>
        <v>6.4409800000000006</v>
      </c>
      <c r="AC338" s="69">
        <f t="shared" si="118"/>
        <v>6.3524200000000004</v>
      </c>
      <c r="AD338" s="69">
        <f t="shared" si="118"/>
        <v>6.1512200000000004</v>
      </c>
      <c r="AE338" s="69" t="e">
        <f t="shared" si="118"/>
        <v>#VALUE!</v>
      </c>
      <c r="AF338" s="69">
        <f t="shared" si="118"/>
        <v>6.1124399999999994</v>
      </c>
      <c r="AG338" s="69">
        <f t="shared" si="118"/>
        <v>5.9380600000000001</v>
      </c>
      <c r="AH338" s="69">
        <f t="shared" si="118"/>
        <v>5.71624</v>
      </c>
      <c r="AI338" s="69">
        <f t="shared" si="118"/>
        <v>5.83826</v>
      </c>
      <c r="AJ338" s="69">
        <f t="shared" si="118"/>
        <v>5.483880000000001</v>
      </c>
      <c r="AK338" s="69">
        <f t="shared" ref="AK338:BD338" si="119">IF(AND(AND(AK176,AK177),AK169&gt;0),(AK176*0.0208)+(AK177*0.0282)+(AK169*0.0164)+(AK170*0.0333),"uncalcuable")</f>
        <v>5.4618400000000005</v>
      </c>
      <c r="AL338" s="69">
        <f t="shared" si="119"/>
        <v>5.4888000000000003</v>
      </c>
      <c r="AM338" s="69">
        <f t="shared" si="119"/>
        <v>5.48522</v>
      </c>
      <c r="AN338" s="69">
        <f t="shared" si="119"/>
        <v>5.5451800000000002</v>
      </c>
      <c r="AO338" s="69">
        <f t="shared" si="119"/>
        <v>5.5636799999999997</v>
      </c>
      <c r="AP338" s="69">
        <f t="shared" si="119"/>
        <v>5.5075000000000003</v>
      </c>
      <c r="AQ338" s="69">
        <f t="shared" si="119"/>
        <v>5.5579400000000003</v>
      </c>
      <c r="AR338" s="69">
        <f t="shared" si="119"/>
        <v>5.5826200000000004</v>
      </c>
      <c r="AS338" s="69">
        <f t="shared" si="119"/>
        <v>5.5909399999999998</v>
      </c>
      <c r="AT338" s="69">
        <f t="shared" si="119"/>
        <v>5.7515000000000001</v>
      </c>
      <c r="AU338" s="69">
        <f t="shared" si="119"/>
        <v>5.7153999999999998</v>
      </c>
      <c r="AV338" s="69">
        <f t="shared" si="119"/>
        <v>5.6971000000000007</v>
      </c>
      <c r="AW338" s="69">
        <f t="shared" si="119"/>
        <v>5.7263999999999999</v>
      </c>
      <c r="AX338" s="69">
        <f t="shared" si="119"/>
        <v>5.7063199999999998</v>
      </c>
      <c r="AY338" s="69">
        <f t="shared" si="119"/>
        <v>5.7770799999999998</v>
      </c>
      <c r="AZ338" s="69">
        <f t="shared" si="119"/>
        <v>5.8351199999999999</v>
      </c>
      <c r="BA338" s="69">
        <f t="shared" si="119"/>
        <v>6.1219599999999996</v>
      </c>
      <c r="BB338" s="69">
        <f t="shared" si="119"/>
        <v>6.2332199999999993</v>
      </c>
      <c r="BC338" s="69">
        <f t="shared" si="119"/>
        <v>6.3772800000000007</v>
      </c>
      <c r="BD338" s="69" t="e">
        <f t="shared" si="119"/>
        <v>#VALUE!</v>
      </c>
      <c r="BH338" s="313"/>
      <c r="BT338" s="313"/>
    </row>
    <row r="339" spans="1:72">
      <c r="A339" s="45"/>
      <c r="B339" s="45"/>
      <c r="C339" s="115"/>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H339" s="313"/>
      <c r="BT339" s="313"/>
    </row>
    <row r="340" spans="1:72">
      <c r="A340" s="122" t="s">
        <v>176</v>
      </c>
      <c r="B340" s="45"/>
      <c r="C340" s="115"/>
      <c r="E340" s="69" t="e">
        <f t="shared" ref="E340:AJ340" si="120">IF(AND(E336,E338&gt;0),ABS(E336-E338),"uncalcuable")</f>
        <v>#VALUE!</v>
      </c>
      <c r="F340" s="69">
        <f t="shared" si="120"/>
        <v>0.30424050000000058</v>
      </c>
      <c r="G340" s="69">
        <f t="shared" si="120"/>
        <v>0.29277969999999875</v>
      </c>
      <c r="H340" s="69">
        <f t="shared" si="120"/>
        <v>0.38361039999999935</v>
      </c>
      <c r="I340" s="69">
        <f t="shared" si="120"/>
        <v>0.34102899999999892</v>
      </c>
      <c r="J340" s="69">
        <f t="shared" si="120"/>
        <v>0.36466090000000051</v>
      </c>
      <c r="K340" s="69" t="e">
        <f t="shared" si="120"/>
        <v>#VALUE!</v>
      </c>
      <c r="L340" s="69">
        <f t="shared" si="120"/>
        <v>0.24967219999999912</v>
      </c>
      <c r="M340" s="69" t="e">
        <f t="shared" si="120"/>
        <v>#VALUE!</v>
      </c>
      <c r="N340" s="69">
        <f t="shared" si="120"/>
        <v>0.25508650000000088</v>
      </c>
      <c r="O340" s="69">
        <f t="shared" si="120"/>
        <v>0.30764709999999873</v>
      </c>
      <c r="P340" s="69">
        <f t="shared" si="120"/>
        <v>0.26940800000000031</v>
      </c>
      <c r="Q340" s="69">
        <f t="shared" si="120"/>
        <v>0.24346740000000011</v>
      </c>
      <c r="R340" s="69">
        <f t="shared" si="120"/>
        <v>0.42167340000000131</v>
      </c>
      <c r="S340" s="69">
        <f t="shared" si="120"/>
        <v>0.31234640000000091</v>
      </c>
      <c r="T340" s="69">
        <f t="shared" si="120"/>
        <v>0.20453299999999963</v>
      </c>
      <c r="U340" s="69">
        <f t="shared" si="120"/>
        <v>0.41447599999999873</v>
      </c>
      <c r="V340" s="69">
        <f t="shared" si="120"/>
        <v>0.27888919999999917</v>
      </c>
      <c r="W340" s="69">
        <f t="shared" si="120"/>
        <v>6.8756900000000343E-2</v>
      </c>
      <c r="X340" s="69">
        <f t="shared" si="120"/>
        <v>0.2074101000000006</v>
      </c>
      <c r="Y340" s="69">
        <f t="shared" si="120"/>
        <v>0.35288569999999897</v>
      </c>
      <c r="Z340" s="69">
        <f t="shared" si="120"/>
        <v>0.2299017000000001</v>
      </c>
      <c r="AA340" s="69">
        <f t="shared" si="120"/>
        <v>0.21039279999999927</v>
      </c>
      <c r="AB340" s="69">
        <f t="shared" si="120"/>
        <v>0.23515339999999885</v>
      </c>
      <c r="AC340" s="69">
        <f t="shared" si="120"/>
        <v>0.1966429999999999</v>
      </c>
      <c r="AD340" s="69">
        <f t="shared" si="120"/>
        <v>0.22032659999999993</v>
      </c>
      <c r="AE340" s="69" t="e">
        <f t="shared" si="120"/>
        <v>#VALUE!</v>
      </c>
      <c r="AF340" s="69">
        <f t="shared" si="120"/>
        <v>0.2225109999999999</v>
      </c>
      <c r="AG340" s="69">
        <f t="shared" si="120"/>
        <v>0.33005480000000009</v>
      </c>
      <c r="AH340" s="69">
        <f t="shared" si="120"/>
        <v>0.24585689999999971</v>
      </c>
      <c r="AI340" s="69">
        <f t="shared" si="120"/>
        <v>8.5138099999999994E-2</v>
      </c>
      <c r="AJ340" s="69">
        <f t="shared" si="120"/>
        <v>0.40581439999999969</v>
      </c>
      <c r="AK340" s="69">
        <f t="shared" ref="AK340:BD340" si="121">IF(AND(AK336,AK338&gt;0),ABS(AK336-AK338),"uncalcuable")</f>
        <v>0.39380549999999914</v>
      </c>
      <c r="AL340" s="69">
        <f t="shared" si="121"/>
        <v>0.42521919999999902</v>
      </c>
      <c r="AM340" s="69">
        <f t="shared" si="121"/>
        <v>0.39311719999999895</v>
      </c>
      <c r="AN340" s="69">
        <f t="shared" si="121"/>
        <v>0.42713059999999903</v>
      </c>
      <c r="AO340" s="69">
        <f t="shared" si="121"/>
        <v>0.32820309999999964</v>
      </c>
      <c r="AP340" s="69">
        <f t="shared" si="121"/>
        <v>0.3592860999999985</v>
      </c>
      <c r="AQ340" s="69">
        <f t="shared" si="121"/>
        <v>0.27844009999999919</v>
      </c>
      <c r="AR340" s="69">
        <f t="shared" si="121"/>
        <v>0.34388039999999886</v>
      </c>
      <c r="AS340" s="69">
        <f t="shared" si="121"/>
        <v>0.35503639999999947</v>
      </c>
      <c r="AT340" s="69">
        <f t="shared" si="121"/>
        <v>0.27716649999999987</v>
      </c>
      <c r="AU340" s="69">
        <f t="shared" si="121"/>
        <v>0.30958590000000008</v>
      </c>
      <c r="AV340" s="69">
        <f t="shared" si="121"/>
        <v>0.26480639999999944</v>
      </c>
      <c r="AW340" s="69">
        <f t="shared" si="121"/>
        <v>0.39563199999999998</v>
      </c>
      <c r="AX340" s="69">
        <f t="shared" si="121"/>
        <v>0.35328319999999991</v>
      </c>
      <c r="AY340" s="69">
        <f t="shared" si="121"/>
        <v>0.32418290000000027</v>
      </c>
      <c r="AZ340" s="69">
        <f t="shared" si="121"/>
        <v>0.25571730000000059</v>
      </c>
      <c r="BA340" s="69">
        <f t="shared" si="121"/>
        <v>0.1251629000000003</v>
      </c>
      <c r="BB340" s="69">
        <f t="shared" si="121"/>
        <v>0.36775330000000039</v>
      </c>
      <c r="BC340" s="69">
        <f t="shared" si="121"/>
        <v>0.40875769999999889</v>
      </c>
      <c r="BD340" s="69" t="e">
        <f t="shared" si="121"/>
        <v>#VALUE!</v>
      </c>
      <c r="BI340" s="313"/>
      <c r="BJ340" s="313"/>
      <c r="BK340" s="313"/>
      <c r="BL340" s="313"/>
      <c r="BM340" s="313"/>
      <c r="BN340" s="313"/>
      <c r="BO340" s="313"/>
      <c r="BP340" s="313"/>
      <c r="BQ340" s="313"/>
      <c r="BR340" s="313"/>
      <c r="BS340" s="313"/>
    </row>
    <row r="341" spans="1:72">
      <c r="A341" s="45"/>
      <c r="B341" s="45"/>
      <c r="C341" s="115"/>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F341" s="294" t="s">
        <v>192</v>
      </c>
      <c r="BH341" s="313"/>
      <c r="BT341" s="313"/>
    </row>
    <row r="342" spans="1:72">
      <c r="A342" s="122" t="s">
        <v>177</v>
      </c>
      <c r="B342" s="45"/>
      <c r="C342" s="11" t="s">
        <v>16</v>
      </c>
      <c r="E342" s="69" t="e">
        <f t="shared" ref="E342:AJ342" si="122">IF(AND(E336,E338&gt;0),(E340*100/(0.5*(E336+E338))),"uncalcuable")</f>
        <v>#VALUE!</v>
      </c>
      <c r="F342" s="69">
        <f t="shared" si="122"/>
        <v>3.979975747226177</v>
      </c>
      <c r="G342" s="69">
        <f t="shared" si="122"/>
        <v>3.7629209082066422</v>
      </c>
      <c r="H342" s="69">
        <f t="shared" si="122"/>
        <v>4.9319260942883538</v>
      </c>
      <c r="I342" s="69">
        <f t="shared" si="122"/>
        <v>4.3270793321562255</v>
      </c>
      <c r="J342" s="69">
        <f t="shared" si="122"/>
        <v>4.6216527343495617</v>
      </c>
      <c r="K342" s="69" t="e">
        <f t="shared" si="122"/>
        <v>#VALUE!</v>
      </c>
      <c r="L342" s="69">
        <f t="shared" si="122"/>
        <v>3.1351690475613037</v>
      </c>
      <c r="M342" s="69" t="e">
        <f t="shared" si="122"/>
        <v>#VALUE!</v>
      </c>
      <c r="N342" s="69">
        <f t="shared" si="122"/>
        <v>3.1170742992634728</v>
      </c>
      <c r="O342" s="69">
        <f t="shared" si="122"/>
        <v>3.7509414552501155</v>
      </c>
      <c r="P342" s="69">
        <f t="shared" si="122"/>
        <v>3.3404653995593834</v>
      </c>
      <c r="Q342" s="69">
        <f t="shared" si="122"/>
        <v>3.0293869851083652</v>
      </c>
      <c r="R342" s="69">
        <f t="shared" si="122"/>
        <v>5.3803424336353283</v>
      </c>
      <c r="S342" s="69">
        <f t="shared" si="122"/>
        <v>4.0417634988692885</v>
      </c>
      <c r="T342" s="69">
        <f t="shared" si="122"/>
        <v>2.5854755240162937</v>
      </c>
      <c r="U342" s="69">
        <f t="shared" si="122"/>
        <v>5.087456539312897</v>
      </c>
      <c r="V342" s="69">
        <f t="shared" si="122"/>
        <v>4.4434122993380578</v>
      </c>
      <c r="W342" s="69">
        <f t="shared" si="122"/>
        <v>1.1232325371551983</v>
      </c>
      <c r="X342" s="69">
        <f t="shared" si="122"/>
        <v>3.2823221117698043</v>
      </c>
      <c r="Y342" s="69">
        <f t="shared" si="122"/>
        <v>5.5340879010142388</v>
      </c>
      <c r="Z342" s="69">
        <f t="shared" si="122"/>
        <v>3.5679792048721701</v>
      </c>
      <c r="AA342" s="69">
        <f t="shared" si="122"/>
        <v>3.1807352599774532</v>
      </c>
      <c r="AB342" s="69">
        <f t="shared" si="122"/>
        <v>3.5854443402158713</v>
      </c>
      <c r="AC342" s="69">
        <f t="shared" si="122"/>
        <v>3.0483782368275012</v>
      </c>
      <c r="AD342" s="69">
        <f t="shared" si="122"/>
        <v>3.5188166806526588</v>
      </c>
      <c r="AE342" s="69" t="e">
        <f t="shared" si="122"/>
        <v>#VALUE!</v>
      </c>
      <c r="AF342" s="69">
        <f t="shared" si="122"/>
        <v>3.575223113020229</v>
      </c>
      <c r="AG342" s="69">
        <f t="shared" si="122"/>
        <v>5.4079972703651613</v>
      </c>
      <c r="AH342" s="69">
        <f t="shared" si="122"/>
        <v>4.2104779491333177</v>
      </c>
      <c r="AI342" s="69">
        <f t="shared" si="122"/>
        <v>1.4477227492269988</v>
      </c>
      <c r="AJ342" s="69">
        <f t="shared" si="122"/>
        <v>7.1360925902062879</v>
      </c>
      <c r="AK342" s="69">
        <f t="shared" ref="AK342:BD342" si="123">IF(AND(AK336,AK338&gt;0),(AK340*100/(0.5*(AK336+AK338))),"uncalcuable")</f>
        <v>6.9592401951829164</v>
      </c>
      <c r="AL342" s="69">
        <f t="shared" si="123"/>
        <v>7.4581415795840913</v>
      </c>
      <c r="AM342" s="69">
        <f t="shared" si="123"/>
        <v>6.9189109199010144</v>
      </c>
      <c r="AN342" s="69">
        <f t="shared" si="123"/>
        <v>7.4170774665099195</v>
      </c>
      <c r="AO342" s="69">
        <f t="shared" si="123"/>
        <v>5.7300212505485595</v>
      </c>
      <c r="AP342" s="69">
        <f t="shared" si="123"/>
        <v>6.3175147317597107</v>
      </c>
      <c r="AQ342" s="69">
        <f t="shared" si="123"/>
        <v>4.8873490924658016</v>
      </c>
      <c r="AR342" s="69">
        <f t="shared" si="123"/>
        <v>5.9757894269660934</v>
      </c>
      <c r="AS342" s="69">
        <f t="shared" si="123"/>
        <v>6.1547884666998112</v>
      </c>
      <c r="AT342" s="69">
        <f t="shared" si="123"/>
        <v>4.705646562805371</v>
      </c>
      <c r="AU342" s="69">
        <f t="shared" si="123"/>
        <v>5.2738624204848339</v>
      </c>
      <c r="AV342" s="69">
        <f t="shared" si="123"/>
        <v>4.5425208789661431</v>
      </c>
      <c r="AW342" s="69">
        <f t="shared" si="123"/>
        <v>6.6782169995152101</v>
      </c>
      <c r="AX342" s="69">
        <f t="shared" si="123"/>
        <v>6.0051930306667298</v>
      </c>
      <c r="AY342" s="69">
        <f t="shared" si="123"/>
        <v>5.4583859504510563</v>
      </c>
      <c r="AZ342" s="69">
        <f t="shared" si="123"/>
        <v>4.288415488457276</v>
      </c>
      <c r="BA342" s="69">
        <f t="shared" si="123"/>
        <v>2.0238024275833792</v>
      </c>
      <c r="BB342" s="69">
        <f t="shared" si="123"/>
        <v>5.730836234171421</v>
      </c>
      <c r="BC342" s="69">
        <f t="shared" si="123"/>
        <v>6.2105573885829539</v>
      </c>
      <c r="BD342" s="69" t="e">
        <f t="shared" si="123"/>
        <v>#VALUE!</v>
      </c>
      <c r="BF342" s="334" t="e">
        <f>AVERAGE(E342:BC342)</f>
        <v>#VALUE!</v>
      </c>
    </row>
    <row r="343" spans="1:72">
      <c r="C343" s="11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c r="AA343" s="323"/>
      <c r="AB343" s="323"/>
      <c r="AC343" s="323"/>
      <c r="AD343" s="323"/>
      <c r="AE343" s="323"/>
      <c r="AF343" s="323"/>
      <c r="AG343" s="323"/>
      <c r="AH343" s="323"/>
      <c r="AI343" s="323"/>
      <c r="AJ343" s="323"/>
      <c r="AK343" s="323"/>
      <c r="AL343" s="323"/>
      <c r="AM343" s="323"/>
      <c r="AN343" s="323"/>
      <c r="AO343" s="323"/>
      <c r="AP343" s="323"/>
      <c r="AQ343" s="323"/>
      <c r="AR343" s="323"/>
      <c r="AS343" s="323"/>
      <c r="AT343" s="323"/>
      <c r="AU343" s="323"/>
      <c r="AV343" s="323"/>
      <c r="AW343" s="323"/>
      <c r="AX343" s="323"/>
      <c r="AY343" s="323"/>
      <c r="AZ343" s="323"/>
      <c r="BA343" s="323"/>
      <c r="BB343" s="323"/>
      <c r="BC343" s="323"/>
      <c r="BD343" s="323"/>
      <c r="BI343" s="313"/>
      <c r="BJ343" s="313"/>
      <c r="BK343" s="313"/>
      <c r="BL343" s="313"/>
      <c r="BM343" s="313"/>
      <c r="BN343" s="313"/>
      <c r="BO343" s="313"/>
      <c r="BP343" s="313"/>
      <c r="BQ343" s="313"/>
      <c r="BR343" s="313"/>
      <c r="BS343" s="313"/>
    </row>
    <row r="344" spans="1:72">
      <c r="A344" s="122" t="s">
        <v>178</v>
      </c>
      <c r="B344" s="45" t="s">
        <v>174</v>
      </c>
      <c r="C344" s="115"/>
      <c r="E344" s="69" t="e">
        <f t="shared" ref="E344:AJ344" si="124">IF(E338&gt;0,(0.1065+(0.0155*E338)),"uncalcuable")</f>
        <v>#VALUE!</v>
      </c>
      <c r="F344" s="69">
        <f t="shared" si="124"/>
        <v>0.22262848000000002</v>
      </c>
      <c r="G344" s="69">
        <f t="shared" si="124"/>
        <v>0.22483103000000002</v>
      </c>
      <c r="H344" s="69">
        <f t="shared" si="124"/>
        <v>0.22408764999999997</v>
      </c>
      <c r="I344" s="69">
        <f t="shared" si="124"/>
        <v>0.22601678</v>
      </c>
      <c r="J344" s="69">
        <f t="shared" si="124"/>
        <v>0.22597307</v>
      </c>
      <c r="K344" s="69" t="e">
        <f t="shared" si="124"/>
        <v>#VALUE!</v>
      </c>
      <c r="L344" s="69">
        <f t="shared" si="124"/>
        <v>0.22800078000000001</v>
      </c>
      <c r="M344" s="69" t="e">
        <f t="shared" si="124"/>
        <v>#VALUE!</v>
      </c>
      <c r="N344" s="69">
        <f t="shared" si="124"/>
        <v>0.23136769000000001</v>
      </c>
      <c r="O344" s="69">
        <f t="shared" si="124"/>
        <v>0.23124462000000001</v>
      </c>
      <c r="P344" s="69">
        <f t="shared" si="124"/>
        <v>0.22941934</v>
      </c>
      <c r="Q344" s="69">
        <f t="shared" si="124"/>
        <v>0.22918435999999998</v>
      </c>
      <c r="R344" s="69">
        <f t="shared" si="124"/>
        <v>0.22471013000000001</v>
      </c>
      <c r="S344" s="69">
        <f t="shared" si="124"/>
        <v>0.22386289999999998</v>
      </c>
      <c r="T344" s="69">
        <f t="shared" si="124"/>
        <v>0.22753299000000002</v>
      </c>
      <c r="U344" s="69">
        <f t="shared" si="124"/>
        <v>0.22956659000000001</v>
      </c>
      <c r="V344" s="69">
        <f t="shared" si="124"/>
        <v>0.20162380999999999</v>
      </c>
      <c r="W344" s="69">
        <f t="shared" si="124"/>
        <v>0.20191365999999999</v>
      </c>
      <c r="X344" s="69">
        <f t="shared" si="124"/>
        <v>0.20283714999999999</v>
      </c>
      <c r="Y344" s="69">
        <f t="shared" si="124"/>
        <v>0.20260217</v>
      </c>
      <c r="Z344" s="69">
        <f t="shared" si="124"/>
        <v>0.20459205999999999</v>
      </c>
      <c r="AA344" s="69">
        <f t="shared" si="124"/>
        <v>0.20739570000000002</v>
      </c>
      <c r="AB344" s="69">
        <f t="shared" si="124"/>
        <v>0.20633519</v>
      </c>
      <c r="AC344" s="69">
        <f t="shared" si="124"/>
        <v>0.20496250999999999</v>
      </c>
      <c r="AD344" s="69">
        <f t="shared" si="124"/>
        <v>0.20184391000000002</v>
      </c>
      <c r="AE344" s="69" t="e">
        <f t="shared" si="124"/>
        <v>#VALUE!</v>
      </c>
      <c r="AF344" s="69">
        <f t="shared" si="124"/>
        <v>0.20124281999999999</v>
      </c>
      <c r="AG344" s="69">
        <f t="shared" si="124"/>
        <v>0.19853993</v>
      </c>
      <c r="AH344" s="69">
        <f t="shared" si="124"/>
        <v>0.19510171999999998</v>
      </c>
      <c r="AI344" s="69">
        <f t="shared" si="124"/>
        <v>0.19699303000000001</v>
      </c>
      <c r="AJ344" s="69">
        <f t="shared" si="124"/>
        <v>0.19150014000000001</v>
      </c>
      <c r="AK344" s="69">
        <f t="shared" ref="AK344:BD344" si="125">IF(AK338&gt;0,(0.1065+(0.0155*AK338)),"uncalcuable")</f>
        <v>0.19115852</v>
      </c>
      <c r="AL344" s="69">
        <f t="shared" si="125"/>
        <v>0.19157640000000001</v>
      </c>
      <c r="AM344" s="69">
        <f t="shared" si="125"/>
        <v>0.19152090999999999</v>
      </c>
      <c r="AN344" s="69">
        <f t="shared" si="125"/>
        <v>0.19245029</v>
      </c>
      <c r="AO344" s="69">
        <f t="shared" si="125"/>
        <v>0.19273704</v>
      </c>
      <c r="AP344" s="69">
        <f t="shared" si="125"/>
        <v>0.19186625000000002</v>
      </c>
      <c r="AQ344" s="69">
        <f t="shared" si="125"/>
        <v>0.19264807</v>
      </c>
      <c r="AR344" s="69">
        <f t="shared" si="125"/>
        <v>0.19303060999999999</v>
      </c>
      <c r="AS344" s="69">
        <f t="shared" si="125"/>
        <v>0.19315957</v>
      </c>
      <c r="AT344" s="69">
        <f t="shared" si="125"/>
        <v>0.19564825</v>
      </c>
      <c r="AU344" s="69">
        <f t="shared" si="125"/>
        <v>0.1950887</v>
      </c>
      <c r="AV344" s="69">
        <f t="shared" si="125"/>
        <v>0.19480505000000001</v>
      </c>
      <c r="AW344" s="69">
        <f t="shared" si="125"/>
        <v>0.19525919999999999</v>
      </c>
      <c r="AX344" s="69">
        <f t="shared" si="125"/>
        <v>0.19494795999999998</v>
      </c>
      <c r="AY344" s="69">
        <f t="shared" si="125"/>
        <v>0.19604474</v>
      </c>
      <c r="AZ344" s="69">
        <f t="shared" si="125"/>
        <v>0.19694435999999998</v>
      </c>
      <c r="BA344" s="69">
        <f t="shared" si="125"/>
        <v>0.20139037999999998</v>
      </c>
      <c r="BB344" s="69">
        <f t="shared" si="125"/>
        <v>0.20311490999999998</v>
      </c>
      <c r="BC344" s="69">
        <f t="shared" si="125"/>
        <v>0.20534784</v>
      </c>
      <c r="BD344" s="69" t="e">
        <f t="shared" si="125"/>
        <v>#VALUE!</v>
      </c>
    </row>
    <row r="345" spans="1:72">
      <c r="A345" s="45" t="s">
        <v>179</v>
      </c>
      <c r="B345" s="38"/>
      <c r="C345" s="113"/>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row>
    <row r="346" spans="1:72">
      <c r="A346" s="38"/>
      <c r="B346" s="38"/>
      <c r="C346" s="113"/>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row>
    <row r="347" spans="1:72">
      <c r="A347" s="45" t="s">
        <v>180</v>
      </c>
      <c r="B347" s="38"/>
      <c r="C347" s="113"/>
      <c r="E347" s="69" t="e">
        <f t="shared" ref="E347:AJ347" si="126">IF(AND(E336,E338&gt;0),((E336-E338)/(E336+E338))*100,"uncalcuable")</f>
        <v>#VALUE!</v>
      </c>
      <c r="F347" s="69">
        <f t="shared" si="126"/>
        <v>1.9899878736130885</v>
      </c>
      <c r="G347" s="69">
        <f t="shared" si="126"/>
        <v>1.8814604541033211</v>
      </c>
      <c r="H347" s="69">
        <f t="shared" si="126"/>
        <v>2.4659630471441774</v>
      </c>
      <c r="I347" s="69">
        <f t="shared" si="126"/>
        <v>2.1635396660781128</v>
      </c>
      <c r="J347" s="69">
        <f t="shared" si="126"/>
        <v>2.3108263671747808</v>
      </c>
      <c r="K347" s="69" t="e">
        <f t="shared" si="126"/>
        <v>#VALUE!</v>
      </c>
      <c r="L347" s="69">
        <f t="shared" si="126"/>
        <v>1.5675845237806518</v>
      </c>
      <c r="M347" s="69" t="e">
        <f t="shared" si="126"/>
        <v>#VALUE!</v>
      </c>
      <c r="N347" s="69">
        <f t="shared" si="126"/>
        <v>1.5585371496317364</v>
      </c>
      <c r="O347" s="69">
        <f t="shared" si="126"/>
        <v>1.8754707276250577</v>
      </c>
      <c r="P347" s="69">
        <f t="shared" si="126"/>
        <v>1.6702326997796919</v>
      </c>
      <c r="Q347" s="69">
        <f t="shared" si="126"/>
        <v>1.5146934925541826</v>
      </c>
      <c r="R347" s="69">
        <f t="shared" si="126"/>
        <v>2.6901712168176641</v>
      </c>
      <c r="S347" s="69">
        <f t="shared" si="126"/>
        <v>2.0208817494346443</v>
      </c>
      <c r="T347" s="69">
        <f t="shared" si="126"/>
        <v>1.2927377620081468</v>
      </c>
      <c r="U347" s="69">
        <f t="shared" si="126"/>
        <v>2.5437282696564485</v>
      </c>
      <c r="V347" s="69">
        <f t="shared" si="126"/>
        <v>2.2217061496690289</v>
      </c>
      <c r="W347" s="69">
        <f t="shared" si="126"/>
        <v>-0.56161626857759928</v>
      </c>
      <c r="X347" s="69">
        <f t="shared" si="126"/>
        <v>1.6411610558849024</v>
      </c>
      <c r="Y347" s="69">
        <f t="shared" si="126"/>
        <v>2.7670439505071198</v>
      </c>
      <c r="Z347" s="69">
        <f t="shared" si="126"/>
        <v>1.7839896024360851</v>
      </c>
      <c r="AA347" s="69">
        <f t="shared" si="126"/>
        <v>1.5903676299887266</v>
      </c>
      <c r="AB347" s="69">
        <f t="shared" si="126"/>
        <v>1.7927221701079359</v>
      </c>
      <c r="AC347" s="69">
        <f t="shared" si="126"/>
        <v>1.5241891184137504</v>
      </c>
      <c r="AD347" s="69">
        <f t="shared" si="126"/>
        <v>1.7594083403263294</v>
      </c>
      <c r="AE347" s="69" t="e">
        <f t="shared" si="126"/>
        <v>#VALUE!</v>
      </c>
      <c r="AF347" s="69">
        <f t="shared" si="126"/>
        <v>1.7876115565101145</v>
      </c>
      <c r="AG347" s="69">
        <f t="shared" si="126"/>
        <v>2.7039986351825807</v>
      </c>
      <c r="AH347" s="69">
        <f t="shared" si="126"/>
        <v>2.1052389745666589</v>
      </c>
      <c r="AI347" s="69">
        <f t="shared" si="126"/>
        <v>0.72386137461349942</v>
      </c>
      <c r="AJ347" s="69">
        <f t="shared" si="126"/>
        <v>3.5680462951031435</v>
      </c>
      <c r="AK347" s="69">
        <f t="shared" ref="AK347:BD347" si="127">IF(AND(AK336,AK338&gt;0),((AK336-AK338)/(AK336+AK338))*100,"uncalcuable")</f>
        <v>3.4796200975914586</v>
      </c>
      <c r="AL347" s="69">
        <f t="shared" si="127"/>
        <v>3.7290707897920461</v>
      </c>
      <c r="AM347" s="69">
        <f t="shared" si="127"/>
        <v>3.4594554599505072</v>
      </c>
      <c r="AN347" s="69">
        <f t="shared" si="127"/>
        <v>3.7085387332549598</v>
      </c>
      <c r="AO347" s="69">
        <f t="shared" si="127"/>
        <v>2.8650106252742797</v>
      </c>
      <c r="AP347" s="69">
        <f t="shared" si="127"/>
        <v>3.1587573658798549</v>
      </c>
      <c r="AQ347" s="69">
        <f t="shared" si="127"/>
        <v>2.4436745462329008</v>
      </c>
      <c r="AR347" s="69">
        <f t="shared" si="127"/>
        <v>2.9878947134830467</v>
      </c>
      <c r="AS347" s="69">
        <f t="shared" si="127"/>
        <v>3.0773942333499051</v>
      </c>
      <c r="AT347" s="69">
        <f t="shared" si="127"/>
        <v>2.352823281402685</v>
      </c>
      <c r="AU347" s="69">
        <f t="shared" si="127"/>
        <v>2.6369312102424174</v>
      </c>
      <c r="AV347" s="69">
        <f t="shared" si="127"/>
        <v>2.2712604394830715</v>
      </c>
      <c r="AW347" s="69">
        <f t="shared" si="127"/>
        <v>3.339108499757605</v>
      </c>
      <c r="AX347" s="69">
        <f t="shared" si="127"/>
        <v>3.0025965153333645</v>
      </c>
      <c r="AY347" s="69">
        <f t="shared" si="127"/>
        <v>2.7291929752255282</v>
      </c>
      <c r="AZ347" s="69">
        <f t="shared" si="127"/>
        <v>2.144207744228638</v>
      </c>
      <c r="BA347" s="69">
        <f t="shared" si="127"/>
        <v>1.0119012137916894</v>
      </c>
      <c r="BB347" s="69">
        <f t="shared" si="127"/>
        <v>2.8654181170857109</v>
      </c>
      <c r="BC347" s="69">
        <f t="shared" si="127"/>
        <v>3.105278694291477</v>
      </c>
      <c r="BD347" s="69" t="e">
        <f t="shared" si="127"/>
        <v>#VALUE!</v>
      </c>
    </row>
    <row r="348" spans="1:72">
      <c r="A348" s="45" t="s">
        <v>181</v>
      </c>
      <c r="B348" s="38"/>
      <c r="C348" s="113"/>
      <c r="D348" s="38"/>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c r="AA348" s="323"/>
      <c r="AB348" s="323"/>
      <c r="AC348" s="323"/>
      <c r="AD348" s="323"/>
      <c r="AE348" s="323"/>
      <c r="AF348" s="323"/>
      <c r="AG348" s="323"/>
      <c r="AH348" s="323"/>
      <c r="AI348" s="323"/>
      <c r="AJ348" s="323"/>
      <c r="AK348" s="323"/>
      <c r="AL348" s="323"/>
      <c r="AM348" s="323"/>
      <c r="AN348" s="323"/>
      <c r="AO348" s="323"/>
      <c r="AP348" s="323"/>
      <c r="AQ348" s="323"/>
      <c r="AR348" s="323"/>
      <c r="AS348" s="323"/>
      <c r="AT348" s="323"/>
      <c r="AU348" s="323"/>
      <c r="AV348" s="323"/>
      <c r="AW348" s="323"/>
      <c r="AX348" s="323"/>
      <c r="AY348" s="323"/>
      <c r="AZ348" s="323"/>
      <c r="BA348" s="323"/>
      <c r="BB348" s="323"/>
      <c r="BC348" s="323"/>
      <c r="BD348" s="323"/>
    </row>
    <row r="349" spans="1:72">
      <c r="C349" s="125"/>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row>
    <row r="350" spans="1:72">
      <c r="A350" s="126" t="s">
        <v>194</v>
      </c>
      <c r="B350" s="126"/>
      <c r="C350" s="125"/>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F350" s="1" t="s">
        <v>195</v>
      </c>
      <c r="BH350" s="1" t="s">
        <v>196</v>
      </c>
    </row>
    <row r="351" spans="1:72">
      <c r="A351" s="126" t="s">
        <v>197</v>
      </c>
      <c r="B351" s="126" t="s">
        <v>14</v>
      </c>
      <c r="C351" s="125"/>
      <c r="E351" s="127" t="str">
        <f t="shared" ref="E351:AJ351" si="128">E160</f>
        <v>uncalcuable</v>
      </c>
      <c r="F351" s="127">
        <f t="shared" si="128"/>
        <v>550.65</v>
      </c>
      <c r="G351" s="127">
        <f t="shared" si="128"/>
        <v>560.32999999999993</v>
      </c>
      <c r="H351" s="127">
        <f t="shared" si="128"/>
        <v>558.26</v>
      </c>
      <c r="I351" s="127">
        <f t="shared" si="128"/>
        <v>566.79999999999995</v>
      </c>
      <c r="J351" s="127">
        <f t="shared" si="128"/>
        <v>567.5100000000001</v>
      </c>
      <c r="K351" s="127" t="str">
        <f t="shared" si="128"/>
        <v>uncalcuable</v>
      </c>
      <c r="L351" s="127">
        <f t="shared" si="128"/>
        <v>574.27999999999986</v>
      </c>
      <c r="M351" s="127" t="e">
        <f t="shared" si="128"/>
        <v>#VALUE!</v>
      </c>
      <c r="N351" s="127">
        <f t="shared" si="128"/>
        <v>590.25</v>
      </c>
      <c r="O351" s="127">
        <f t="shared" si="128"/>
        <v>590.59</v>
      </c>
      <c r="P351" s="127">
        <f t="shared" si="128"/>
        <v>582.30000000000007</v>
      </c>
      <c r="Q351" s="127">
        <f t="shared" si="128"/>
        <v>581.16</v>
      </c>
      <c r="R351" s="127">
        <f t="shared" si="128"/>
        <v>561.46</v>
      </c>
      <c r="S351" s="127">
        <f t="shared" si="128"/>
        <v>554.36</v>
      </c>
      <c r="T351" s="127">
        <f t="shared" si="128"/>
        <v>568.9</v>
      </c>
      <c r="U351" s="127">
        <f t="shared" si="128"/>
        <v>584</v>
      </c>
      <c r="V351" s="127">
        <f t="shared" si="128"/>
        <v>448.98</v>
      </c>
      <c r="W351" s="127">
        <f t="shared" si="128"/>
        <v>444.59000000000003</v>
      </c>
      <c r="X351" s="127">
        <f t="shared" si="128"/>
        <v>453.89</v>
      </c>
      <c r="Y351" s="127">
        <f t="shared" si="128"/>
        <v>455.03</v>
      </c>
      <c r="Z351" s="127">
        <f t="shared" si="128"/>
        <v>463.13000000000005</v>
      </c>
      <c r="AA351" s="127">
        <f t="shared" si="128"/>
        <v>476.21999999999997</v>
      </c>
      <c r="AB351" s="127">
        <f t="shared" si="128"/>
        <v>471.35999999999996</v>
      </c>
      <c r="AC351" s="127">
        <f t="shared" si="128"/>
        <v>463</v>
      </c>
      <c r="AD351" s="127">
        <f t="shared" si="128"/>
        <v>447.84000000000003</v>
      </c>
      <c r="AE351" s="127" t="str">
        <f t="shared" si="128"/>
        <v>uncalcuable</v>
      </c>
      <c r="AF351" s="127">
        <f t="shared" si="128"/>
        <v>445.2</v>
      </c>
      <c r="AG351" s="127">
        <f t="shared" si="128"/>
        <v>433.32</v>
      </c>
      <c r="AH351" s="127">
        <f t="shared" si="128"/>
        <v>414.71</v>
      </c>
      <c r="AI351" s="127">
        <f t="shared" si="128"/>
        <v>0</v>
      </c>
      <c r="AJ351" s="127">
        <f t="shared" si="128"/>
        <v>401.46</v>
      </c>
      <c r="AK351" s="127">
        <f t="shared" ref="AK351:BD351" si="129">AK160</f>
        <v>401.75</v>
      </c>
      <c r="AL351" s="127">
        <f t="shared" si="129"/>
        <v>401.98</v>
      </c>
      <c r="AM351" s="127">
        <f t="shared" si="129"/>
        <v>399.38000000000005</v>
      </c>
      <c r="AN351" s="127">
        <f t="shared" si="129"/>
        <v>405.43999999999994</v>
      </c>
      <c r="AO351" s="127">
        <f t="shared" si="129"/>
        <v>404.18999999999994</v>
      </c>
      <c r="AP351" s="127">
        <f t="shared" si="129"/>
        <v>402.98999999999995</v>
      </c>
      <c r="AQ351" s="127">
        <f t="shared" si="129"/>
        <v>404.78999999999996</v>
      </c>
      <c r="AR351" s="127">
        <f t="shared" si="129"/>
        <v>408.06</v>
      </c>
      <c r="AS351" s="127">
        <f t="shared" si="129"/>
        <v>410.16</v>
      </c>
      <c r="AT351" s="127">
        <f t="shared" si="129"/>
        <v>418.55</v>
      </c>
      <c r="AU351" s="127">
        <f t="shared" si="129"/>
        <v>417.90999999999997</v>
      </c>
      <c r="AV351" s="127">
        <f t="shared" si="129"/>
        <v>416.66</v>
      </c>
      <c r="AW351" s="127">
        <f t="shared" si="129"/>
        <v>422.8</v>
      </c>
      <c r="AX351" s="127">
        <f t="shared" si="129"/>
        <v>420.68</v>
      </c>
      <c r="AY351" s="127">
        <f t="shared" si="129"/>
        <v>427.40999999999997</v>
      </c>
      <c r="AZ351" s="127">
        <f t="shared" si="129"/>
        <v>430.97</v>
      </c>
      <c r="BA351" s="127">
        <f t="shared" si="129"/>
        <v>449.91</v>
      </c>
      <c r="BB351" s="127">
        <f t="shared" si="129"/>
        <v>462.07</v>
      </c>
      <c r="BC351" s="127">
        <f t="shared" si="129"/>
        <v>473.72999999999996</v>
      </c>
      <c r="BD351" s="127" t="e">
        <f t="shared" si="129"/>
        <v>#VALUE!</v>
      </c>
    </row>
    <row r="352" spans="1:72">
      <c r="A352" s="126" t="s">
        <v>198</v>
      </c>
      <c r="B352" s="126" t="s">
        <v>199</v>
      </c>
      <c r="C352" s="125"/>
      <c r="E352" s="128">
        <f t="shared" ref="E352:AJ352" si="130">E158</f>
        <v>2.9</v>
      </c>
      <c r="F352" s="128">
        <f t="shared" si="130"/>
        <v>2.8</v>
      </c>
      <c r="G352" s="128">
        <f t="shared" si="130"/>
        <v>3.2</v>
      </c>
      <c r="H352" s="128">
        <f t="shared" si="130"/>
        <v>3.4</v>
      </c>
      <c r="I352" s="128">
        <f t="shared" si="130"/>
        <v>3.1</v>
      </c>
      <c r="J352" s="128">
        <f t="shared" si="130"/>
        <v>3.3</v>
      </c>
      <c r="K352" s="128">
        <f t="shared" si="130"/>
        <v>3.6</v>
      </c>
      <c r="L352" s="128">
        <f t="shared" si="130"/>
        <v>3.3</v>
      </c>
      <c r="M352" s="128">
        <f t="shared" si="130"/>
        <v>0</v>
      </c>
      <c r="N352" s="128">
        <f t="shared" si="130"/>
        <v>3.5</v>
      </c>
      <c r="O352" s="128">
        <f t="shared" si="130"/>
        <v>3.9</v>
      </c>
      <c r="P352" s="128">
        <f t="shared" si="130"/>
        <v>3.4</v>
      </c>
      <c r="Q352" s="128">
        <f t="shared" si="130"/>
        <v>4.5</v>
      </c>
      <c r="R352" s="128">
        <f t="shared" si="130"/>
        <v>4.9000000000000004</v>
      </c>
      <c r="S352" s="128">
        <f t="shared" si="130"/>
        <v>5.5</v>
      </c>
      <c r="T352" s="128">
        <f t="shared" si="130"/>
        <v>6.3</v>
      </c>
      <c r="U352" s="128">
        <f t="shared" si="130"/>
        <v>7.1</v>
      </c>
      <c r="V352" s="128">
        <f t="shared" si="130"/>
        <v>8</v>
      </c>
      <c r="W352" s="128">
        <f t="shared" si="130"/>
        <v>10.9</v>
      </c>
      <c r="X352" s="128">
        <f t="shared" si="130"/>
        <v>14.2</v>
      </c>
      <c r="Y352" s="128">
        <f t="shared" si="130"/>
        <v>12.3</v>
      </c>
      <c r="Z352" s="128">
        <f t="shared" si="130"/>
        <v>15.8</v>
      </c>
      <c r="AA352" s="128">
        <f t="shared" si="130"/>
        <v>15.3</v>
      </c>
      <c r="AB352" s="128">
        <f t="shared" si="130"/>
        <v>17.100000000000001</v>
      </c>
      <c r="AC352" s="128">
        <f t="shared" si="130"/>
        <v>17.3</v>
      </c>
      <c r="AD352" s="128">
        <f t="shared" si="130"/>
        <v>20.3</v>
      </c>
      <c r="AE352" s="128">
        <f t="shared" si="130"/>
        <v>19.2</v>
      </c>
      <c r="AF352" s="128">
        <f t="shared" si="130"/>
        <v>20.9</v>
      </c>
      <c r="AG352" s="128">
        <f t="shared" si="130"/>
        <v>21.3</v>
      </c>
      <c r="AH352" s="128">
        <f t="shared" si="130"/>
        <v>22.5</v>
      </c>
      <c r="AI352" s="128">
        <f t="shared" si="130"/>
        <v>21.6</v>
      </c>
      <c r="AJ352" s="128">
        <f t="shared" si="130"/>
        <v>23.4</v>
      </c>
      <c r="AK352" s="128">
        <f t="shared" ref="AK352:BD352" si="131">AK158</f>
        <v>21</v>
      </c>
      <c r="AL352" s="128">
        <f t="shared" si="131"/>
        <v>21</v>
      </c>
      <c r="AM352" s="128">
        <f t="shared" si="131"/>
        <v>20.100000000000001</v>
      </c>
      <c r="AN352" s="128">
        <f t="shared" si="131"/>
        <v>18.100000000000001</v>
      </c>
      <c r="AO352" s="128">
        <f t="shared" si="131"/>
        <v>16</v>
      </c>
      <c r="AP352" s="128">
        <f t="shared" si="131"/>
        <v>15.1</v>
      </c>
      <c r="AQ352" s="128">
        <f t="shared" si="131"/>
        <v>13.5</v>
      </c>
      <c r="AR352" s="128">
        <f t="shared" si="131"/>
        <v>14.7</v>
      </c>
      <c r="AS352" s="128">
        <f t="shared" si="131"/>
        <v>9.9</v>
      </c>
      <c r="AT352" s="128">
        <f t="shared" si="131"/>
        <v>6.3</v>
      </c>
      <c r="AU352" s="128">
        <f t="shared" si="131"/>
        <v>5.8</v>
      </c>
      <c r="AV352" s="128">
        <f t="shared" si="131"/>
        <v>3.7</v>
      </c>
      <c r="AW352" s="128">
        <f t="shared" si="131"/>
        <v>4</v>
      </c>
      <c r="AX352" s="128">
        <f t="shared" si="131"/>
        <v>3.1</v>
      </c>
      <c r="AY352" s="128">
        <f t="shared" si="131"/>
        <v>2.6</v>
      </c>
      <c r="AZ352" s="128">
        <f t="shared" si="131"/>
        <v>0.5</v>
      </c>
      <c r="BA352" s="128">
        <f t="shared" si="131"/>
        <v>13</v>
      </c>
      <c r="BB352" s="128">
        <f t="shared" si="131"/>
        <v>1.7</v>
      </c>
      <c r="BC352" s="128">
        <f t="shared" si="131"/>
        <v>2.2999999999999998</v>
      </c>
      <c r="BD352" s="128">
        <f t="shared" si="131"/>
        <v>2.6</v>
      </c>
      <c r="BF352" s="1" t="s">
        <v>200</v>
      </c>
      <c r="BG352" s="354">
        <f>CORREL(E185:BD185,E112:BD112)</f>
        <v>-0.54212007877292878</v>
      </c>
    </row>
    <row r="353" spans="1:59">
      <c r="A353" s="126" t="s">
        <v>201</v>
      </c>
      <c r="B353" s="126"/>
      <c r="C353" s="125"/>
      <c r="E353" s="129">
        <f t="shared" ref="E353:AJ353" si="132">E153</f>
        <v>7.27</v>
      </c>
      <c r="F353" s="129">
        <f t="shared" si="132"/>
        <v>7.46</v>
      </c>
      <c r="G353" s="129">
        <f t="shared" si="132"/>
        <v>7.43</v>
      </c>
      <c r="H353" s="129">
        <f t="shared" si="132"/>
        <v>7.38</v>
      </c>
      <c r="I353" s="129">
        <f t="shared" si="132"/>
        <v>7.25</v>
      </c>
      <c r="J353" s="129">
        <f t="shared" si="132"/>
        <v>7.24</v>
      </c>
      <c r="K353" s="129">
        <f t="shared" si="132"/>
        <v>7.42</v>
      </c>
      <c r="L353" s="129">
        <f t="shared" si="132"/>
        <v>7.24</v>
      </c>
      <c r="M353" s="129">
        <f t="shared" si="132"/>
        <v>0</v>
      </c>
      <c r="N353" s="129">
        <f t="shared" si="132"/>
        <v>7.4</v>
      </c>
      <c r="O353" s="129">
        <f t="shared" si="132"/>
        <v>7.1</v>
      </c>
      <c r="P353" s="129">
        <f t="shared" si="132"/>
        <v>7.26</v>
      </c>
      <c r="Q353" s="129">
        <f t="shared" si="132"/>
        <v>7.28</v>
      </c>
      <c r="R353" s="129">
        <f t="shared" si="132"/>
        <v>7.2</v>
      </c>
      <c r="S353" s="129">
        <f t="shared" si="132"/>
        <v>7.41</v>
      </c>
      <c r="T353" s="129">
        <f t="shared" si="132"/>
        <v>7.46</v>
      </c>
      <c r="U353" s="129">
        <f t="shared" si="132"/>
        <v>7.43</v>
      </c>
      <c r="V353" s="129">
        <f t="shared" si="132"/>
        <v>7.25</v>
      </c>
      <c r="W353" s="129">
        <f t="shared" si="132"/>
        <v>7.32</v>
      </c>
      <c r="X353" s="129">
        <f t="shared" si="132"/>
        <v>7.32</v>
      </c>
      <c r="Y353" s="129">
        <f t="shared" si="132"/>
        <v>7.3</v>
      </c>
      <c r="Z353" s="129">
        <f t="shared" si="132"/>
        <v>7.27</v>
      </c>
      <c r="AA353" s="129">
        <f t="shared" si="132"/>
        <v>7.58</v>
      </c>
      <c r="AB353" s="129">
        <f t="shared" si="132"/>
        <v>7.34</v>
      </c>
      <c r="AC353" s="129">
        <f t="shared" si="132"/>
        <v>7.41</v>
      </c>
      <c r="AD353" s="129">
        <f t="shared" si="132"/>
        <v>7.45</v>
      </c>
      <c r="AE353" s="129">
        <f t="shared" si="132"/>
        <v>7.64</v>
      </c>
      <c r="AF353" s="129">
        <f t="shared" si="132"/>
        <v>7.36</v>
      </c>
      <c r="AG353" s="129">
        <f t="shared" si="132"/>
        <v>7.39</v>
      </c>
      <c r="AH353" s="129">
        <f t="shared" si="132"/>
        <v>7.39</v>
      </c>
      <c r="AI353" s="129">
        <f t="shared" si="132"/>
        <v>7.44</v>
      </c>
      <c r="AJ353" s="129">
        <f t="shared" si="132"/>
        <v>7.33</v>
      </c>
      <c r="AK353" s="129">
        <f t="shared" ref="AK353:BD353" si="133">AK153</f>
        <v>7.26</v>
      </c>
      <c r="AL353" s="129">
        <f t="shared" si="133"/>
        <v>7.19</v>
      </c>
      <c r="AM353" s="129">
        <f t="shared" si="133"/>
        <v>7.08</v>
      </c>
      <c r="AN353" s="129">
        <f t="shared" si="133"/>
        <v>7.14</v>
      </c>
      <c r="AO353" s="129">
        <f t="shared" si="133"/>
        <v>7.25</v>
      </c>
      <c r="AP353" s="129">
        <f t="shared" si="133"/>
        <v>7.19</v>
      </c>
      <c r="AQ353" s="129">
        <f t="shared" si="133"/>
        <v>7.25</v>
      </c>
      <c r="AR353" s="129">
        <f t="shared" si="133"/>
        <v>7.19</v>
      </c>
      <c r="AS353" s="129">
        <f t="shared" si="133"/>
        <v>7.26</v>
      </c>
      <c r="AT353" s="129">
        <f t="shared" si="133"/>
        <v>7.3</v>
      </c>
      <c r="AU353" s="129">
        <f t="shared" si="133"/>
        <v>7.31</v>
      </c>
      <c r="AV353" s="129">
        <f t="shared" si="133"/>
        <v>7.18</v>
      </c>
      <c r="AW353" s="129">
        <f t="shared" si="133"/>
        <v>7.2</v>
      </c>
      <c r="AX353" s="129">
        <f t="shared" si="133"/>
        <v>7.08</v>
      </c>
      <c r="AY353" s="129">
        <f t="shared" si="133"/>
        <v>7.33</v>
      </c>
      <c r="AZ353" s="129">
        <f t="shared" si="133"/>
        <v>7.43</v>
      </c>
      <c r="BA353" s="129">
        <f t="shared" si="133"/>
        <v>7.14</v>
      </c>
      <c r="BB353" s="129">
        <f t="shared" si="133"/>
        <v>7.33</v>
      </c>
      <c r="BC353" s="129">
        <f t="shared" si="133"/>
        <v>7.3</v>
      </c>
      <c r="BD353" s="129">
        <f t="shared" si="133"/>
        <v>7.3</v>
      </c>
      <c r="BF353" s="1" t="s">
        <v>202</v>
      </c>
      <c r="BG353" s="354">
        <f>CORREL(E113:BD113,E238:BD238)</f>
        <v>0.44563082584420127</v>
      </c>
    </row>
    <row r="354" spans="1:59">
      <c r="A354" s="126" t="s">
        <v>203</v>
      </c>
      <c r="B354" s="126" t="s">
        <v>14</v>
      </c>
      <c r="C354" s="125"/>
      <c r="E354" s="127">
        <f t="shared" ref="E354:AJ354" si="134">E168</f>
        <v>166</v>
      </c>
      <c r="F354" s="127">
        <f t="shared" si="134"/>
        <v>169</v>
      </c>
      <c r="G354" s="127">
        <f t="shared" si="134"/>
        <v>172</v>
      </c>
      <c r="H354" s="127">
        <f t="shared" si="134"/>
        <v>171</v>
      </c>
      <c r="I354" s="127">
        <f t="shared" si="134"/>
        <v>172</v>
      </c>
      <c r="J354" s="127">
        <f t="shared" si="134"/>
        <v>172</v>
      </c>
      <c r="K354" s="127">
        <f t="shared" si="134"/>
        <v>174</v>
      </c>
      <c r="L354" s="127">
        <f t="shared" si="134"/>
        <v>176</v>
      </c>
      <c r="M354" s="127">
        <f t="shared" si="134"/>
        <v>0</v>
      </c>
      <c r="N354" s="127">
        <f t="shared" si="134"/>
        <v>182</v>
      </c>
      <c r="O354" s="127">
        <f t="shared" si="134"/>
        <v>181</v>
      </c>
      <c r="P354" s="127">
        <f t="shared" si="134"/>
        <v>180</v>
      </c>
      <c r="Q354" s="127">
        <f t="shared" si="134"/>
        <v>180</v>
      </c>
      <c r="R354" s="127">
        <f t="shared" si="134"/>
        <v>167</v>
      </c>
      <c r="S354" s="127">
        <f t="shared" si="134"/>
        <v>166</v>
      </c>
      <c r="T354" s="127">
        <f t="shared" si="134"/>
        <v>171</v>
      </c>
      <c r="U354" s="127">
        <f t="shared" si="134"/>
        <v>178</v>
      </c>
      <c r="V354" s="127">
        <f t="shared" si="134"/>
        <v>130</v>
      </c>
      <c r="W354" s="127">
        <f t="shared" si="134"/>
        <v>131</v>
      </c>
      <c r="X354" s="127">
        <f t="shared" si="134"/>
        <v>131</v>
      </c>
      <c r="Y354" s="127">
        <f t="shared" si="134"/>
        <v>131</v>
      </c>
      <c r="Z354" s="127">
        <f t="shared" si="134"/>
        <v>138</v>
      </c>
      <c r="AA354" s="127">
        <f t="shared" si="134"/>
        <v>141</v>
      </c>
      <c r="AB354" s="127">
        <f t="shared" si="134"/>
        <v>138</v>
      </c>
      <c r="AC354" s="127">
        <f t="shared" si="134"/>
        <v>130</v>
      </c>
      <c r="AD354" s="127">
        <f t="shared" si="134"/>
        <v>121</v>
      </c>
      <c r="AE354" s="127">
        <f t="shared" si="134"/>
        <v>118</v>
      </c>
      <c r="AF354" s="127">
        <f t="shared" si="134"/>
        <v>121</v>
      </c>
      <c r="AG354" s="127">
        <f t="shared" si="134"/>
        <v>115</v>
      </c>
      <c r="AH354" s="127">
        <f t="shared" si="134"/>
        <v>107</v>
      </c>
      <c r="AI354" s="127">
        <f t="shared" si="134"/>
        <v>112</v>
      </c>
      <c r="AJ354" s="127">
        <f t="shared" si="134"/>
        <v>102</v>
      </c>
      <c r="AK354" s="127">
        <f t="shared" ref="AK354:BD354" si="135">AK168</f>
        <v>101</v>
      </c>
      <c r="AL354" s="127">
        <f t="shared" si="135"/>
        <v>100</v>
      </c>
      <c r="AM354" s="127">
        <f t="shared" si="135"/>
        <v>94</v>
      </c>
      <c r="AN354" s="127">
        <f t="shared" si="135"/>
        <v>97</v>
      </c>
      <c r="AO354" s="127">
        <f t="shared" si="135"/>
        <v>96</v>
      </c>
      <c r="AP354" s="127">
        <f t="shared" si="135"/>
        <v>102</v>
      </c>
      <c r="AQ354" s="127">
        <f t="shared" si="135"/>
        <v>105</v>
      </c>
      <c r="AR354" s="127">
        <f t="shared" si="135"/>
        <v>105</v>
      </c>
      <c r="AS354" s="127">
        <f t="shared" si="135"/>
        <v>109</v>
      </c>
      <c r="AT354" s="127">
        <f t="shared" si="135"/>
        <v>107</v>
      </c>
      <c r="AU354" s="127">
        <f t="shared" si="135"/>
        <v>111</v>
      </c>
      <c r="AV354" s="127">
        <f t="shared" si="135"/>
        <v>114</v>
      </c>
      <c r="AW354" s="127">
        <f t="shared" si="135"/>
        <v>119</v>
      </c>
      <c r="AX354" s="127">
        <f t="shared" si="135"/>
        <v>121</v>
      </c>
      <c r="AY354" s="127">
        <f t="shared" si="135"/>
        <v>130</v>
      </c>
      <c r="AZ354" s="127">
        <f t="shared" si="135"/>
        <v>135</v>
      </c>
      <c r="BA354" s="127">
        <f t="shared" si="135"/>
        <v>141</v>
      </c>
      <c r="BB354" s="127">
        <f t="shared" si="135"/>
        <v>145</v>
      </c>
      <c r="BC354" s="127">
        <f t="shared" si="135"/>
        <v>151</v>
      </c>
      <c r="BD354" s="127">
        <f t="shared" si="135"/>
        <v>0</v>
      </c>
      <c r="BF354" s="1" t="s">
        <v>204</v>
      </c>
      <c r="BG354" s="354">
        <f>CORREL(E118:BD118,E61:BD61)</f>
        <v>0.339782149468357</v>
      </c>
    </row>
    <row r="355" spans="1:59">
      <c r="A355" s="126" t="s">
        <v>205</v>
      </c>
      <c r="B355" s="126" t="s">
        <v>14</v>
      </c>
      <c r="C355" s="125"/>
      <c r="E355" s="127">
        <f t="shared" ref="E355:AJ355" si="136">E171/0.4</f>
        <v>0</v>
      </c>
      <c r="F355" s="127">
        <f t="shared" si="136"/>
        <v>150</v>
      </c>
      <c r="G355" s="127">
        <f t="shared" si="136"/>
        <v>150</v>
      </c>
      <c r="H355" s="127">
        <f t="shared" si="136"/>
        <v>152.5</v>
      </c>
      <c r="I355" s="127">
        <f t="shared" si="136"/>
        <v>155</v>
      </c>
      <c r="J355" s="127">
        <f t="shared" si="136"/>
        <v>155</v>
      </c>
      <c r="K355" s="127">
        <f t="shared" si="136"/>
        <v>0</v>
      </c>
      <c r="L355" s="127">
        <f t="shared" si="136"/>
        <v>157.5</v>
      </c>
      <c r="M355" s="127">
        <f t="shared" si="136"/>
        <v>0</v>
      </c>
      <c r="N355" s="127">
        <f t="shared" si="136"/>
        <v>162.5</v>
      </c>
      <c r="O355" s="127">
        <f t="shared" si="136"/>
        <v>162.5</v>
      </c>
      <c r="P355" s="127">
        <f t="shared" si="136"/>
        <v>162.5</v>
      </c>
      <c r="Q355" s="127">
        <f t="shared" si="136"/>
        <v>165</v>
      </c>
      <c r="R355" s="127">
        <f t="shared" si="136"/>
        <v>160</v>
      </c>
      <c r="S355" s="127">
        <f t="shared" si="136"/>
        <v>155</v>
      </c>
      <c r="T355" s="127">
        <f t="shared" si="136"/>
        <v>160</v>
      </c>
      <c r="U355" s="127">
        <f t="shared" si="136"/>
        <v>165</v>
      </c>
      <c r="V355" s="127">
        <f t="shared" si="136"/>
        <v>132.5</v>
      </c>
      <c r="W355" s="127">
        <f t="shared" si="136"/>
        <v>120</v>
      </c>
      <c r="X355" s="127">
        <f t="shared" si="136"/>
        <v>130</v>
      </c>
      <c r="Y355" s="127">
        <f t="shared" si="136"/>
        <v>132.5</v>
      </c>
      <c r="Z355" s="127">
        <f t="shared" si="136"/>
        <v>132.5</v>
      </c>
      <c r="AA355" s="127">
        <f t="shared" si="136"/>
        <v>137.5</v>
      </c>
      <c r="AB355" s="127">
        <f t="shared" si="136"/>
        <v>135</v>
      </c>
      <c r="AC355" s="127">
        <f t="shared" si="136"/>
        <v>130</v>
      </c>
      <c r="AD355" s="127">
        <f t="shared" si="136"/>
        <v>120</v>
      </c>
      <c r="AE355" s="127">
        <f t="shared" si="136"/>
        <v>120</v>
      </c>
      <c r="AF355" s="127">
        <f t="shared" si="136"/>
        <v>120</v>
      </c>
      <c r="AG355" s="127">
        <f t="shared" si="136"/>
        <v>112.5</v>
      </c>
      <c r="AH355" s="127">
        <f t="shared" si="136"/>
        <v>105</v>
      </c>
      <c r="AI355" s="127">
        <f t="shared" si="136"/>
        <v>105</v>
      </c>
      <c r="AJ355" s="127">
        <f t="shared" si="136"/>
        <v>105</v>
      </c>
      <c r="AK355" s="127">
        <f t="shared" ref="AK355:BD355" si="137">AK171/0.4</f>
        <v>115</v>
      </c>
      <c r="AL355" s="127">
        <f t="shared" si="137"/>
        <v>105</v>
      </c>
      <c r="AM355" s="127">
        <f t="shared" si="137"/>
        <v>105</v>
      </c>
      <c r="AN355" s="127">
        <f t="shared" si="137"/>
        <v>105</v>
      </c>
      <c r="AO355" s="127">
        <f t="shared" si="137"/>
        <v>105</v>
      </c>
      <c r="AP355" s="127">
        <f t="shared" si="137"/>
        <v>105</v>
      </c>
      <c r="AQ355" s="127">
        <f t="shared" si="137"/>
        <v>107.5</v>
      </c>
      <c r="AR355" s="127">
        <f t="shared" si="137"/>
        <v>110</v>
      </c>
      <c r="AS355" s="127">
        <f t="shared" si="137"/>
        <v>112.5</v>
      </c>
      <c r="AT355" s="127">
        <f t="shared" si="137"/>
        <v>115</v>
      </c>
      <c r="AU355" s="127">
        <f t="shared" si="137"/>
        <v>115</v>
      </c>
      <c r="AV355" s="127">
        <f t="shared" si="137"/>
        <v>115</v>
      </c>
      <c r="AW355" s="127">
        <f t="shared" si="137"/>
        <v>120</v>
      </c>
      <c r="AX355" s="127">
        <f t="shared" si="137"/>
        <v>120</v>
      </c>
      <c r="AY355" s="127">
        <f t="shared" si="137"/>
        <v>120</v>
      </c>
      <c r="AZ355" s="127">
        <f t="shared" si="137"/>
        <v>122.5</v>
      </c>
      <c r="BA355" s="127">
        <f t="shared" si="137"/>
        <v>125</v>
      </c>
      <c r="BB355" s="127">
        <f t="shared" si="137"/>
        <v>132.5</v>
      </c>
      <c r="BC355" s="127">
        <f t="shared" si="137"/>
        <v>135</v>
      </c>
      <c r="BD355" s="127">
        <f t="shared" si="137"/>
        <v>0</v>
      </c>
      <c r="BF355" s="1" t="s">
        <v>206</v>
      </c>
      <c r="BG355" s="354">
        <f>CORREL(E111:BD111,E209:BD209)</f>
        <v>0.49328838444244588</v>
      </c>
    </row>
    <row r="356" spans="1:59">
      <c r="A356" s="126" t="s">
        <v>207</v>
      </c>
      <c r="B356" s="126" t="s">
        <v>14</v>
      </c>
      <c r="C356" s="125"/>
      <c r="E356" s="128">
        <f t="shared" ref="E356:AJ356" si="138">E177</f>
        <v>0</v>
      </c>
      <c r="F356" s="128">
        <f t="shared" si="138"/>
        <v>16.8</v>
      </c>
      <c r="G356" s="128">
        <f t="shared" si="138"/>
        <v>17.3</v>
      </c>
      <c r="H356" s="128">
        <f t="shared" si="138"/>
        <v>17.5</v>
      </c>
      <c r="I356" s="128">
        <f t="shared" si="138"/>
        <v>17.8</v>
      </c>
      <c r="J356" s="128">
        <f t="shared" si="138"/>
        <v>17.7</v>
      </c>
      <c r="K356" s="128">
        <f t="shared" si="138"/>
        <v>0</v>
      </c>
      <c r="L356" s="128">
        <f t="shared" si="138"/>
        <v>17.8</v>
      </c>
      <c r="M356" s="128">
        <f t="shared" si="138"/>
        <v>0</v>
      </c>
      <c r="N356" s="128">
        <f t="shared" si="138"/>
        <v>17.899999999999999</v>
      </c>
      <c r="O356" s="128">
        <f t="shared" si="138"/>
        <v>18.2</v>
      </c>
      <c r="P356" s="128">
        <f t="shared" si="138"/>
        <v>17.399999999999999</v>
      </c>
      <c r="Q356" s="128">
        <f t="shared" si="138"/>
        <v>17.600000000000001</v>
      </c>
      <c r="R356" s="128">
        <f t="shared" si="138"/>
        <v>18.3</v>
      </c>
      <c r="S356" s="128">
        <f t="shared" si="138"/>
        <v>19</v>
      </c>
      <c r="T356" s="128">
        <f t="shared" si="138"/>
        <v>18.899999999999999</v>
      </c>
      <c r="U356" s="128">
        <f t="shared" si="138"/>
        <v>18.899999999999999</v>
      </c>
      <c r="V356" s="128">
        <f t="shared" si="138"/>
        <v>15.1</v>
      </c>
      <c r="W356" s="128">
        <f t="shared" si="138"/>
        <v>14.6</v>
      </c>
      <c r="X356" s="128">
        <f t="shared" si="138"/>
        <v>14.5</v>
      </c>
      <c r="Y356" s="128">
        <f t="shared" si="138"/>
        <v>14.7</v>
      </c>
      <c r="Z356" s="128">
        <f t="shared" si="138"/>
        <v>14.6</v>
      </c>
      <c r="AA356" s="128">
        <f t="shared" si="138"/>
        <v>15</v>
      </c>
      <c r="AB356" s="128">
        <f t="shared" si="138"/>
        <v>14.9</v>
      </c>
      <c r="AC356" s="128">
        <f t="shared" si="138"/>
        <v>16.100000000000001</v>
      </c>
      <c r="AD356" s="128">
        <f t="shared" si="138"/>
        <v>16.100000000000001</v>
      </c>
      <c r="AE356" s="128">
        <f t="shared" si="138"/>
        <v>0</v>
      </c>
      <c r="AF356" s="128">
        <f t="shared" si="138"/>
        <v>16.2</v>
      </c>
      <c r="AG356" s="128">
        <f t="shared" si="138"/>
        <v>16.3</v>
      </c>
      <c r="AH356" s="128">
        <f t="shared" si="138"/>
        <v>17.2</v>
      </c>
      <c r="AI356" s="128">
        <f t="shared" si="138"/>
        <v>17.3</v>
      </c>
      <c r="AJ356" s="128">
        <f t="shared" si="138"/>
        <v>15.4</v>
      </c>
      <c r="AK356" s="128">
        <f t="shared" ref="AK356:BD356" si="139">AK177</f>
        <v>15.2</v>
      </c>
      <c r="AL356" s="128">
        <f t="shared" si="139"/>
        <v>16</v>
      </c>
      <c r="AM356" s="128">
        <f t="shared" si="139"/>
        <v>16.100000000000001</v>
      </c>
      <c r="AN356" s="128">
        <f t="shared" si="139"/>
        <v>15.9</v>
      </c>
      <c r="AO356" s="128">
        <f t="shared" si="139"/>
        <v>16.399999999999999</v>
      </c>
      <c r="AP356" s="128">
        <f t="shared" si="139"/>
        <v>15.5</v>
      </c>
      <c r="AQ356" s="128">
        <f t="shared" si="139"/>
        <v>15.7</v>
      </c>
      <c r="AR356" s="128">
        <f t="shared" si="139"/>
        <v>15.1</v>
      </c>
      <c r="AS356" s="128">
        <f t="shared" si="139"/>
        <v>14.7</v>
      </c>
      <c r="AT356" s="128">
        <f t="shared" si="139"/>
        <v>15.5</v>
      </c>
      <c r="AU356" s="128">
        <f t="shared" si="139"/>
        <v>15</v>
      </c>
      <c r="AV356" s="128">
        <f t="shared" si="139"/>
        <v>13.5</v>
      </c>
      <c r="AW356" s="128">
        <f t="shared" si="139"/>
        <v>14</v>
      </c>
      <c r="AX356" s="128">
        <f t="shared" si="139"/>
        <v>13.6</v>
      </c>
      <c r="AY356" s="128">
        <f t="shared" si="139"/>
        <v>13.4</v>
      </c>
      <c r="AZ356" s="128">
        <f t="shared" si="139"/>
        <v>13.6</v>
      </c>
      <c r="BA356" s="128">
        <f t="shared" si="139"/>
        <v>13.8</v>
      </c>
      <c r="BB356" s="128">
        <f t="shared" si="139"/>
        <v>14.1</v>
      </c>
      <c r="BC356" s="128">
        <f t="shared" si="139"/>
        <v>14.4</v>
      </c>
      <c r="BD356" s="128">
        <f t="shared" si="139"/>
        <v>0</v>
      </c>
      <c r="BF356" s="1" t="s">
        <v>208</v>
      </c>
      <c r="BG356" s="354">
        <f>CORREL(E52:BD52,E99:BD99)</f>
        <v>0.60515005070134065</v>
      </c>
    </row>
    <row r="357" spans="1:59">
      <c r="A357" s="126" t="s">
        <v>209</v>
      </c>
      <c r="B357" s="126" t="s">
        <v>14</v>
      </c>
      <c r="C357" s="125"/>
      <c r="E357" s="127">
        <f t="shared" ref="E357:AJ357" si="140">E176</f>
        <v>0</v>
      </c>
      <c r="F357" s="127">
        <f t="shared" si="140"/>
        <v>175</v>
      </c>
      <c r="G357" s="127">
        <f t="shared" si="140"/>
        <v>178</v>
      </c>
      <c r="H357" s="127">
        <f t="shared" si="140"/>
        <v>177</v>
      </c>
      <c r="I357" s="127">
        <f t="shared" si="140"/>
        <v>181</v>
      </c>
      <c r="J357" s="127">
        <f t="shared" si="140"/>
        <v>181</v>
      </c>
      <c r="K357" s="127">
        <f t="shared" si="140"/>
        <v>0</v>
      </c>
      <c r="L357" s="127">
        <f t="shared" si="140"/>
        <v>184</v>
      </c>
      <c r="M357" s="127">
        <f t="shared" si="140"/>
        <v>0</v>
      </c>
      <c r="N357" s="127">
        <f t="shared" si="140"/>
        <v>188</v>
      </c>
      <c r="O357" s="127">
        <f t="shared" si="140"/>
        <v>188</v>
      </c>
      <c r="P357" s="127">
        <f t="shared" si="140"/>
        <v>185</v>
      </c>
      <c r="Q357" s="127">
        <f t="shared" si="140"/>
        <v>184</v>
      </c>
      <c r="R357" s="127">
        <f t="shared" si="140"/>
        <v>181</v>
      </c>
      <c r="S357" s="127">
        <f t="shared" si="140"/>
        <v>179</v>
      </c>
      <c r="T357" s="127">
        <f t="shared" si="140"/>
        <v>185</v>
      </c>
      <c r="U357" s="127">
        <f t="shared" si="140"/>
        <v>185</v>
      </c>
      <c r="V357" s="127">
        <f t="shared" si="140"/>
        <v>150</v>
      </c>
      <c r="W357" s="127">
        <f t="shared" si="140"/>
        <v>150</v>
      </c>
      <c r="X357" s="127">
        <f t="shared" si="140"/>
        <v>153</v>
      </c>
      <c r="Y357" s="127">
        <f t="shared" si="140"/>
        <v>152</v>
      </c>
      <c r="Z357" s="127">
        <f t="shared" si="140"/>
        <v>152</v>
      </c>
      <c r="AA357" s="127">
        <f t="shared" si="140"/>
        <v>157</v>
      </c>
      <c r="AB357" s="127">
        <f t="shared" si="140"/>
        <v>157</v>
      </c>
      <c r="AC357" s="127">
        <f t="shared" si="140"/>
        <v>159</v>
      </c>
      <c r="AD357" s="127">
        <f t="shared" si="140"/>
        <v>158</v>
      </c>
      <c r="AE357" s="127">
        <f t="shared" si="140"/>
        <v>0</v>
      </c>
      <c r="AF357" s="127">
        <f t="shared" si="140"/>
        <v>156</v>
      </c>
      <c r="AG357" s="127">
        <f t="shared" si="140"/>
        <v>153</v>
      </c>
      <c r="AH357" s="127">
        <f t="shared" si="140"/>
        <v>149</v>
      </c>
      <c r="AI357" s="127">
        <f t="shared" si="140"/>
        <v>150</v>
      </c>
      <c r="AJ357" s="127">
        <f t="shared" si="140"/>
        <v>145</v>
      </c>
      <c r="AK357" s="127">
        <f t="shared" ref="AK357:BD357" si="141">AK176</f>
        <v>145</v>
      </c>
      <c r="AL357" s="127">
        <f t="shared" si="141"/>
        <v>146</v>
      </c>
      <c r="AM357" s="127">
        <f t="shared" si="141"/>
        <v>152</v>
      </c>
      <c r="AN357" s="127">
        <f t="shared" si="141"/>
        <v>152</v>
      </c>
      <c r="AO357" s="127">
        <f t="shared" si="141"/>
        <v>153</v>
      </c>
      <c r="AP357" s="127">
        <f t="shared" si="141"/>
        <v>146</v>
      </c>
      <c r="AQ357" s="127">
        <f t="shared" si="141"/>
        <v>145</v>
      </c>
      <c r="AR357" s="127">
        <f t="shared" si="141"/>
        <v>147</v>
      </c>
      <c r="AS357" s="127">
        <f t="shared" si="141"/>
        <v>144</v>
      </c>
      <c r="AT357" s="127">
        <f t="shared" si="141"/>
        <v>153</v>
      </c>
      <c r="AU357" s="127">
        <f t="shared" si="141"/>
        <v>148</v>
      </c>
      <c r="AV357" s="127">
        <f t="shared" si="141"/>
        <v>146</v>
      </c>
      <c r="AW357" s="127">
        <f t="shared" si="141"/>
        <v>142</v>
      </c>
      <c r="AX357" s="127">
        <f t="shared" si="141"/>
        <v>140</v>
      </c>
      <c r="AY357" s="127">
        <f t="shared" si="141"/>
        <v>135</v>
      </c>
      <c r="AZ357" s="127">
        <f t="shared" si="141"/>
        <v>132</v>
      </c>
      <c r="BA357" s="127">
        <f t="shared" si="141"/>
        <v>140</v>
      </c>
      <c r="BB357" s="127">
        <f t="shared" si="141"/>
        <v>141</v>
      </c>
      <c r="BC357" s="127">
        <f t="shared" si="141"/>
        <v>142</v>
      </c>
      <c r="BD357" s="127">
        <f t="shared" si="141"/>
        <v>0</v>
      </c>
    </row>
    <row r="358" spans="1:59">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
  <sheetViews>
    <sheetView zoomScale="87" zoomScaleNormal="87" workbookViewId="0">
      <selection activeCell="A469" sqref="A469"/>
    </sheetView>
  </sheetViews>
  <sheetFormatPr baseColWidth="10" defaultColWidth="8.7109375" defaultRowHeight="16"/>
  <cols>
    <col min="1" max="256" width="9.7109375" style="14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92"/>
  <sheetViews>
    <sheetView zoomScale="87" zoomScaleNormal="87" workbookViewId="0">
      <selection activeCell="C8" sqref="C8"/>
    </sheetView>
  </sheetViews>
  <sheetFormatPr baseColWidth="10" defaultColWidth="8.7109375" defaultRowHeight="16"/>
  <cols>
    <col min="1" max="1" width="9.7109375" style="134" customWidth="1"/>
    <col min="2" max="2" width="18.7109375" style="134" customWidth="1"/>
    <col min="3" max="5" width="9.7109375" style="134" customWidth="1"/>
    <col min="6" max="6" width="14.7109375" style="134" customWidth="1"/>
    <col min="7" max="10" width="9.7109375" style="134" customWidth="1"/>
    <col min="11" max="11" width="11.7109375" style="134" customWidth="1"/>
    <col min="12" max="19" width="9.7109375" style="134" customWidth="1"/>
    <col min="20" max="20" width="14.7109375" style="134" customWidth="1"/>
    <col min="21" max="256" width="9.7109375" style="134" customWidth="1"/>
  </cols>
  <sheetData>
    <row r="1" spans="1:69">
      <c r="A1" s="1"/>
      <c r="B1" s="265" t="s">
        <v>360</v>
      </c>
      <c r="C1" s="277"/>
      <c r="D1" s="278" t="s">
        <v>361</v>
      </c>
      <c r="E1" s="279" t="s">
        <v>362</v>
      </c>
      <c r="F1" s="265"/>
      <c r="G1" s="265"/>
      <c r="H1" s="265"/>
      <c r="I1" s="265"/>
      <c r="J1" s="265"/>
      <c r="K1" s="265"/>
      <c r="L1" s="265"/>
      <c r="M1" s="265"/>
      <c r="N1" s="265"/>
      <c r="O1" s="265"/>
      <c r="P1" s="265"/>
      <c r="Q1" s="265"/>
      <c r="R1" s="265"/>
      <c r="S1" s="265"/>
      <c r="T1" s="265"/>
      <c r="U1" s="265"/>
      <c r="V1" s="265"/>
      <c r="W1" s="265"/>
      <c r="X1" s="265"/>
      <c r="Y1" s="265"/>
      <c r="Z1" s="265"/>
      <c r="AA1" s="265" t="s">
        <v>363</v>
      </c>
      <c r="AB1" s="265"/>
      <c r="AC1" s="265"/>
      <c r="AD1" s="265"/>
      <c r="AE1" s="265" t="s">
        <v>364</v>
      </c>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5" t="s">
        <v>365</v>
      </c>
      <c r="BG1" s="265"/>
      <c r="BH1" s="265"/>
      <c r="BI1" s="265"/>
      <c r="BJ1" s="265"/>
      <c r="BK1" s="265"/>
      <c r="BL1" s="265"/>
      <c r="BM1" s="265"/>
      <c r="BN1" s="265"/>
      <c r="BO1" s="265"/>
      <c r="BP1" s="265"/>
      <c r="BQ1" s="265"/>
    </row>
    <row r="2" spans="1:69">
      <c r="A2" s="1"/>
      <c r="B2" s="265"/>
      <c r="C2" s="277"/>
      <c r="D2" s="265"/>
      <c r="E2" s="265"/>
      <c r="F2" s="265"/>
      <c r="G2" s="265"/>
      <c r="H2" s="265"/>
      <c r="I2" s="265"/>
      <c r="J2" s="265"/>
      <c r="K2" s="277" t="s">
        <v>366</v>
      </c>
      <c r="L2" s="277" t="s">
        <v>366</v>
      </c>
      <c r="M2" s="265"/>
      <c r="N2" s="277" t="s">
        <v>367</v>
      </c>
      <c r="O2" s="277" t="s">
        <v>367</v>
      </c>
      <c r="P2" s="277" t="s">
        <v>367</v>
      </c>
      <c r="Q2" s="277" t="s">
        <v>367</v>
      </c>
      <c r="R2" s="265"/>
      <c r="S2" s="265" t="s">
        <v>368</v>
      </c>
      <c r="T2" s="265">
        <f>TEMP+273</f>
        <v>275.3</v>
      </c>
      <c r="U2" s="265"/>
      <c r="V2" s="265"/>
      <c r="W2" s="265"/>
      <c r="X2" s="265"/>
      <c r="Y2" s="265"/>
      <c r="Z2" s="265"/>
      <c r="AA2" s="265" t="s">
        <v>369</v>
      </c>
      <c r="AB2" s="265"/>
      <c r="AC2" s="265"/>
      <c r="AD2" s="265"/>
      <c r="AE2" s="265" t="s">
        <v>370</v>
      </c>
      <c r="AF2" s="265"/>
      <c r="AG2" s="265"/>
      <c r="AH2" s="265"/>
      <c r="AI2" s="265"/>
      <c r="AJ2" s="265"/>
      <c r="AK2" s="265"/>
      <c r="AL2" s="265"/>
      <c r="AM2" s="265"/>
      <c r="AN2" s="265"/>
      <c r="AO2" s="265"/>
      <c r="AP2" s="265"/>
      <c r="AQ2" s="265"/>
      <c r="AR2" s="265"/>
      <c r="AS2" s="265"/>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row>
    <row r="3" spans="1:69">
      <c r="A3" s="1"/>
      <c r="B3" s="265" t="s">
        <v>371</v>
      </c>
      <c r="C3" s="277"/>
      <c r="D3" s="265"/>
      <c r="E3" s="265"/>
      <c r="F3" s="265" t="s">
        <v>372</v>
      </c>
      <c r="G3" s="265"/>
      <c r="H3" s="265"/>
      <c r="I3" s="265"/>
      <c r="J3" s="265"/>
      <c r="K3" s="277" t="s">
        <v>373</v>
      </c>
      <c r="L3" s="277" t="s">
        <v>374</v>
      </c>
      <c r="M3" s="265"/>
      <c r="N3" s="277" t="s">
        <v>373</v>
      </c>
      <c r="O3" s="277" t="s">
        <v>375</v>
      </c>
      <c r="P3" s="277" t="s">
        <v>376</v>
      </c>
      <c r="Q3" s="277" t="s">
        <v>377</v>
      </c>
      <c r="R3" s="265"/>
      <c r="S3" s="265" t="s">
        <v>378</v>
      </c>
      <c r="T3" s="265">
        <f>TDS/40000</f>
        <v>1.184325E-2</v>
      </c>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t="s">
        <v>379</v>
      </c>
      <c r="BC3" s="265"/>
      <c r="BD3" s="265"/>
      <c r="BE3" s="265"/>
      <c r="BF3" s="265"/>
      <c r="BG3" s="265"/>
      <c r="BH3" s="265"/>
      <c r="BI3" s="265"/>
      <c r="BJ3" s="265"/>
      <c r="BK3" s="265"/>
      <c r="BL3" s="265"/>
      <c r="BM3" s="265"/>
      <c r="BN3" s="265"/>
      <c r="BO3" s="265"/>
      <c r="BP3" s="265"/>
      <c r="BQ3" s="265"/>
    </row>
    <row r="4" spans="1:69">
      <c r="A4" s="1"/>
      <c r="B4" s="277" t="s">
        <v>197</v>
      </c>
      <c r="C4" s="75">
        <v>473.73</v>
      </c>
      <c r="D4" s="265" t="s">
        <v>14</v>
      </c>
      <c r="E4" s="265" t="str">
        <f>IF(OR(OR(TDS&gt;1000,TDS&lt;(CA1+CL1+_SO4)),TDS&lt;1),"????","    ")</f>
        <v xml:space="preserve">    </v>
      </c>
      <c r="F4" s="265" t="s">
        <v>380</v>
      </c>
      <c r="G4" s="265"/>
      <c r="H4" s="265"/>
      <c r="I4" s="265"/>
      <c r="J4" s="265"/>
      <c r="K4" s="265"/>
      <c r="L4" s="265"/>
      <c r="M4" s="265"/>
      <c r="N4" s="265"/>
      <c r="O4" s="265"/>
      <c r="P4" s="265"/>
      <c r="Q4" s="265"/>
      <c r="R4" s="265"/>
      <c r="S4" s="265" t="s">
        <v>381</v>
      </c>
      <c r="T4" s="265">
        <f>60954/(T2+116)-68.937</f>
        <v>86.836064145157152</v>
      </c>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t="s">
        <v>382</v>
      </c>
      <c r="BC4" s="265"/>
      <c r="BD4" s="265"/>
      <c r="BE4" s="265"/>
      <c r="BF4" s="265"/>
      <c r="BG4" s="265"/>
      <c r="BH4" s="265"/>
      <c r="BI4" s="265"/>
      <c r="BJ4" s="265"/>
      <c r="BK4" s="265"/>
      <c r="BL4" s="265"/>
      <c r="BM4" s="265"/>
      <c r="BN4" s="265"/>
      <c r="BO4" s="265"/>
      <c r="BP4" s="265"/>
      <c r="BQ4" s="265"/>
    </row>
    <row r="5" spans="1:69">
      <c r="A5" s="1"/>
      <c r="B5" s="277" t="s">
        <v>198</v>
      </c>
      <c r="C5" s="55">
        <v>2.2999999999999998</v>
      </c>
      <c r="D5" s="265" t="s">
        <v>199</v>
      </c>
      <c r="E5" s="265" t="str">
        <f>IF(TEMP&gt;60,"????",IF(TEMP&lt;0.1,"????","    "))</f>
        <v xml:space="preserve">    </v>
      </c>
      <c r="F5" s="265" t="s">
        <v>383</v>
      </c>
      <c r="G5" s="265"/>
      <c r="H5" s="265"/>
      <c r="I5" s="265"/>
      <c r="J5" s="265"/>
      <c r="K5" s="280" t="e">
        <f t="shared" ref="K5:K18" si="0">10^5*((2*10^-5*$C$19-$T$15*$T$11/10^(-1*L5)+10^(-1*L5)/$T$11)/(2*$T$13*$T$14*$T$11^2/10^(-2*L5)+$T$13*$T$11/10^(-1*L5))*(1+$T$13*$T$11/2/10^(-1*L5))+10^(-1*L5)/2/$T$11-$T$15*$T$11/2/10^(-1*L5))</f>
        <v>#N/A</v>
      </c>
      <c r="L5" s="265">
        <v>14</v>
      </c>
      <c r="M5" s="265"/>
      <c r="N5" s="280" t="e">
        <f t="shared" ref="N5:N16" si="1">10^5*((2*10^-5*Q5-$T$15*$T$11/10^(-1*O5)+10^(-1*O5)/$T$11)/(2*$T$13*$T$14*$T$11^2/10^(-2*O5)+$T$13*$T$11/10^(-1*O5))*(1+$T$13*$T$11/2/10^(-1*O5))+10^(-1*O5)/2/$T$11-$T$15*$T$11/2/10^(-1*O5))</f>
        <v>#N/A</v>
      </c>
      <c r="O5" s="280" t="e">
        <f t="shared" ref="O5:O16" si="2">LOG10($T$16)-LOG10(P5*10^(-5))-LOG10($T$14)-LOG10(2*10^(-5)*Q5)-LOG10($T$11)</f>
        <v>#N/A</v>
      </c>
      <c r="P5" s="281" t="e">
        <f t="shared" ref="P5:P16" si="3">IF(+Q5-$C$19+$C$20&lt;=0.01,0.01,+Q5-$C$19+$C$20)</f>
        <v>#N/A</v>
      </c>
      <c r="Q5" s="281" t="e">
        <f t="shared" ref="Q5:Q14" si="4">Q6-(Q$15-1)/10</f>
        <v>#N/A</v>
      </c>
      <c r="R5" s="265"/>
      <c r="S5" s="265" t="s">
        <v>384</v>
      </c>
      <c r="T5" s="265">
        <f>(1.82*10^6)*(T4*T2)^(-1.5)</f>
        <v>0.49239300507580902</v>
      </c>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t="str">
        <f>IF(BD32&gt;10,"        TOO MANY"," ")</f>
        <v xml:space="preserve"> </v>
      </c>
      <c r="BB5" s="265"/>
      <c r="BC5" s="265"/>
      <c r="BD5" s="265"/>
      <c r="BE5" s="265"/>
      <c r="BF5" s="265"/>
      <c r="BG5" s="265"/>
      <c r="BH5" s="265"/>
      <c r="BI5" s="265"/>
      <c r="BJ5" s="265"/>
      <c r="BK5" s="265"/>
      <c r="BL5" s="265"/>
      <c r="BM5" s="265"/>
      <c r="BN5" s="265"/>
      <c r="BO5" s="265"/>
      <c r="BP5" s="265"/>
      <c r="BQ5" s="265"/>
    </row>
    <row r="6" spans="1:69">
      <c r="A6" s="1"/>
      <c r="B6" s="277" t="s">
        <v>201</v>
      </c>
      <c r="C6" s="69">
        <v>7.3</v>
      </c>
      <c r="D6" s="265"/>
      <c r="E6" s="265" t="str">
        <f>IF(PH&gt;11,"????",IF(PH&lt;5,"????","    "))</f>
        <v xml:space="preserve">    </v>
      </c>
      <c r="F6" s="265" t="str">
        <f>VLOOKUP(1,BE$7:BF$34,2)</f>
        <v>Calcium hypochlorite</v>
      </c>
      <c r="G6" s="279">
        <v>0</v>
      </c>
      <c r="H6" s="265" t="s">
        <v>14</v>
      </c>
      <c r="I6" s="265" t="str">
        <f t="shared" ref="I6:I15" si="5">IF(G6&gt;99,"????",IF(G6&lt;0,"????","    "))</f>
        <v xml:space="preserve">    </v>
      </c>
      <c r="J6" s="265"/>
      <c r="K6" s="280" t="e">
        <f t="shared" si="0"/>
        <v>#N/A</v>
      </c>
      <c r="L6" s="265">
        <f t="shared" ref="L6:L18" si="6">L5-1</f>
        <v>13</v>
      </c>
      <c r="M6" s="265"/>
      <c r="N6" s="280" t="e">
        <f t="shared" si="1"/>
        <v>#N/A</v>
      </c>
      <c r="O6" s="280" t="e">
        <f t="shared" si="2"/>
        <v>#N/A</v>
      </c>
      <c r="P6" s="281" t="e">
        <f t="shared" si="3"/>
        <v>#N/A</v>
      </c>
      <c r="Q6" s="281" t="e">
        <f t="shared" si="4"/>
        <v>#N/A</v>
      </c>
      <c r="R6" s="265"/>
      <c r="S6" s="265" t="s">
        <v>385</v>
      </c>
      <c r="T6" s="265">
        <f>SQRT(T3)/(1+SQRT(T3))</f>
        <v>9.8145812485935777E-2</v>
      </c>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t="s">
        <v>386</v>
      </c>
      <c r="BB6" s="265"/>
      <c r="BC6" s="265"/>
      <c r="BD6" s="265"/>
      <c r="BE6" s="265"/>
      <c r="BF6" s="265" t="s">
        <v>387</v>
      </c>
      <c r="BG6" s="277" t="s">
        <v>388</v>
      </c>
      <c r="BH6" s="277" t="s">
        <v>389</v>
      </c>
      <c r="BI6" s="277" t="s">
        <v>390</v>
      </c>
      <c r="BJ6" s="277" t="s">
        <v>391</v>
      </c>
      <c r="BK6" s="277" t="s">
        <v>392</v>
      </c>
      <c r="BL6" s="265" t="s">
        <v>393</v>
      </c>
      <c r="BM6" s="265" t="s">
        <v>388</v>
      </c>
      <c r="BN6" s="265" t="s">
        <v>389</v>
      </c>
      <c r="BO6" s="265" t="s">
        <v>390</v>
      </c>
      <c r="BP6" s="265" t="s">
        <v>391</v>
      </c>
      <c r="BQ6" s="265" t="s">
        <v>392</v>
      </c>
    </row>
    <row r="7" spans="1:69">
      <c r="A7" s="1"/>
      <c r="B7" s="277" t="s">
        <v>203</v>
      </c>
      <c r="C7" s="52">
        <v>151</v>
      </c>
      <c r="D7" s="265" t="s">
        <v>14</v>
      </c>
      <c r="E7" s="265" t="str">
        <f>IF(ALK&gt;500,"????",IF(ALK&lt;1,"????","    "))</f>
        <v xml:space="preserve">    </v>
      </c>
      <c r="F7" s="265" t="str">
        <f>VLOOKUP(2,BE$7:BF$34,2)</f>
        <v>Carbon dioxide</v>
      </c>
      <c r="G7" s="279">
        <v>0</v>
      </c>
      <c r="H7" s="265" t="s">
        <v>14</v>
      </c>
      <c r="I7" s="265" t="str">
        <f t="shared" si="5"/>
        <v xml:space="preserve">    </v>
      </c>
      <c r="J7" s="265"/>
      <c r="K7" s="280" t="e">
        <f t="shared" si="0"/>
        <v>#N/A</v>
      </c>
      <c r="L7" s="265">
        <f t="shared" si="6"/>
        <v>12</v>
      </c>
      <c r="M7" s="265"/>
      <c r="N7" s="280" t="e">
        <f t="shared" si="1"/>
        <v>#N/A</v>
      </c>
      <c r="O7" s="280" t="e">
        <f t="shared" si="2"/>
        <v>#N/A</v>
      </c>
      <c r="P7" s="281" t="e">
        <f t="shared" si="3"/>
        <v>#N/A</v>
      </c>
      <c r="Q7" s="281" t="e">
        <f t="shared" si="4"/>
        <v>#N/A</v>
      </c>
      <c r="R7" s="265"/>
      <c r="S7" s="265" t="s">
        <v>394</v>
      </c>
      <c r="T7" s="282">
        <f>10^(-1*(356.3094+0.06091964*T2-21834.37/T2-126.8339*LOG10(T2)+1684915/T2^2))</f>
        <v>2.8145655086109582E-7</v>
      </c>
      <c r="U7" s="265"/>
      <c r="V7" s="265" t="s">
        <v>395</v>
      </c>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79" t="s">
        <v>396</v>
      </c>
      <c r="BC7" s="265"/>
      <c r="BD7" s="265">
        <f t="shared" ref="BD7:BD31" si="7">IF(OR(BB7="y","Y"),1,0)</f>
        <v>1</v>
      </c>
      <c r="BE7" s="265">
        <f>BD7</f>
        <v>1</v>
      </c>
      <c r="BF7" s="265" t="s">
        <v>397</v>
      </c>
      <c r="BG7" s="265">
        <v>-0.45</v>
      </c>
      <c r="BH7" s="265">
        <v>0.45</v>
      </c>
      <c r="BI7" s="265">
        <v>0</v>
      </c>
      <c r="BJ7" s="265">
        <v>0</v>
      </c>
      <c r="BK7" s="265">
        <v>0.43</v>
      </c>
      <c r="BL7" s="265" t="e">
        <f t="shared" ref="BL7:BL31" si="8">IF(AND(BD7=1,BE7&lt;11),VLOOKUP(BF7,F$6:G$15,2),0)</f>
        <v>#N/A</v>
      </c>
      <c r="BM7" s="265" t="e">
        <f t="shared" ref="BM7:BM31" si="9">$BL7*BG7</f>
        <v>#N/A</v>
      </c>
      <c r="BN7" s="265" t="e">
        <f t="shared" ref="BN7:BN31" si="10">$BL7*BH7</f>
        <v>#N/A</v>
      </c>
      <c r="BO7" s="265" t="e">
        <f t="shared" ref="BO7:BO31" si="11">$BL7*BI7</f>
        <v>#N/A</v>
      </c>
      <c r="BP7" s="265" t="e">
        <f t="shared" ref="BP7:BP31" si="12">$BL7*BJ7</f>
        <v>#N/A</v>
      </c>
      <c r="BQ7" s="265" t="e">
        <f t="shared" ref="BQ7:BQ31" si="13">$BL7*BK7</f>
        <v>#N/A</v>
      </c>
    </row>
    <row r="8" spans="1:69">
      <c r="A8" s="52">
        <v>54</v>
      </c>
      <c r="B8" s="277" t="s">
        <v>205</v>
      </c>
      <c r="C8" s="259">
        <f>_1CA_TEMP/0.4</f>
        <v>135</v>
      </c>
      <c r="D8" s="265" t="s">
        <v>14</v>
      </c>
      <c r="E8" s="265" t="str">
        <f>IF(CA&lt;1,"????","    ")</f>
        <v xml:space="preserve">    </v>
      </c>
      <c r="F8" s="265" t="str">
        <f>VLOOKUP(3,BE$7:BF$34,2)</f>
        <v>Caustic soda</v>
      </c>
      <c r="G8" s="279">
        <v>0</v>
      </c>
      <c r="H8" s="265" t="s">
        <v>14</v>
      </c>
      <c r="I8" s="265" t="str">
        <f t="shared" si="5"/>
        <v xml:space="preserve">    </v>
      </c>
      <c r="J8" s="265"/>
      <c r="K8" s="280" t="e">
        <f t="shared" si="0"/>
        <v>#N/A</v>
      </c>
      <c r="L8" s="265">
        <f t="shared" si="6"/>
        <v>11</v>
      </c>
      <c r="M8" s="265"/>
      <c r="N8" s="280" t="e">
        <f t="shared" si="1"/>
        <v>#N/A</v>
      </c>
      <c r="O8" s="280" t="e">
        <f t="shared" si="2"/>
        <v>#N/A</v>
      </c>
      <c r="P8" s="281" t="e">
        <f t="shared" si="3"/>
        <v>#N/A</v>
      </c>
      <c r="Q8" s="281" t="e">
        <f t="shared" si="4"/>
        <v>#N/A</v>
      </c>
      <c r="R8" s="265"/>
      <c r="S8" s="265" t="s">
        <v>398</v>
      </c>
      <c r="T8" s="282">
        <f>10^(-1*(107.8871+0.03252849*T2-5151.79/T2-38.92561*LOG10(T2)+563713.9/T2^2))</f>
        <v>2.5368088664721358E-11</v>
      </c>
      <c r="U8" s="265" t="s">
        <v>399</v>
      </c>
      <c r="V8" s="277" t="s">
        <v>400</v>
      </c>
      <c r="W8" s="277" t="s">
        <v>401</v>
      </c>
      <c r="X8" s="283" t="s">
        <v>402</v>
      </c>
      <c r="Y8" s="277" t="s">
        <v>403</v>
      </c>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79" t="s">
        <v>404</v>
      </c>
      <c r="BC8" s="265"/>
      <c r="BD8" s="265">
        <f t="shared" si="7"/>
        <v>0</v>
      </c>
      <c r="BE8" s="265">
        <f t="shared" ref="BE8:BE31" si="14">BE7+BD8</f>
        <v>1</v>
      </c>
      <c r="BF8" s="265" t="s">
        <v>405</v>
      </c>
      <c r="BG8" s="265">
        <v>-0.24</v>
      </c>
      <c r="BH8" s="265">
        <v>0.24</v>
      </c>
      <c r="BI8" s="265">
        <v>0</v>
      </c>
      <c r="BJ8" s="265">
        <v>0</v>
      </c>
      <c r="BK8" s="265">
        <v>0.23</v>
      </c>
      <c r="BL8" s="265">
        <f t="shared" si="8"/>
        <v>0</v>
      </c>
      <c r="BM8" s="265">
        <f t="shared" si="9"/>
        <v>0</v>
      </c>
      <c r="BN8" s="265">
        <f t="shared" si="10"/>
        <v>0</v>
      </c>
      <c r="BO8" s="265">
        <f t="shared" si="11"/>
        <v>0</v>
      </c>
      <c r="BP8" s="265">
        <f t="shared" si="12"/>
        <v>0</v>
      </c>
      <c r="BQ8" s="265">
        <f t="shared" si="13"/>
        <v>0</v>
      </c>
    </row>
    <row r="9" spans="1:69">
      <c r="A9" s="1"/>
      <c r="B9" s="277" t="s">
        <v>207</v>
      </c>
      <c r="C9" s="55">
        <v>14.4</v>
      </c>
      <c r="D9" s="265" t="s">
        <v>14</v>
      </c>
      <c r="E9" s="265" t="str">
        <f>IF(CL&lt;0,"????","    ")</f>
        <v xml:space="preserve">    </v>
      </c>
      <c r="F9" s="265" t="str">
        <f>VLOOKUP(4,BE$7:BF$34,2)</f>
        <v>Ferrous sulfate *7H2O</v>
      </c>
      <c r="G9" s="279">
        <v>0</v>
      </c>
      <c r="H9" s="265" t="s">
        <v>14</v>
      </c>
      <c r="I9" s="265" t="str">
        <f t="shared" si="5"/>
        <v xml:space="preserve">    </v>
      </c>
      <c r="J9" s="265"/>
      <c r="K9" s="280" t="e">
        <f t="shared" si="0"/>
        <v>#N/A</v>
      </c>
      <c r="L9" s="265">
        <f t="shared" si="6"/>
        <v>10</v>
      </c>
      <c r="M9" s="265"/>
      <c r="N9" s="280" t="e">
        <f t="shared" si="1"/>
        <v>#N/A</v>
      </c>
      <c r="O9" s="280" t="e">
        <f t="shared" si="2"/>
        <v>#N/A</v>
      </c>
      <c r="P9" s="281" t="e">
        <f t="shared" si="3"/>
        <v>#N/A</v>
      </c>
      <c r="Q9" s="281" t="e">
        <f t="shared" si="4"/>
        <v>#N/A</v>
      </c>
      <c r="R9" s="265"/>
      <c r="S9" s="265" t="s">
        <v>406</v>
      </c>
      <c r="T9" s="282">
        <f>10^(-1*(4471/T2+0.01706*T2-6.0875))</f>
        <v>1.4138946548939952E-15</v>
      </c>
      <c r="U9" s="265" t="s">
        <v>407</v>
      </c>
      <c r="V9" s="277" t="s">
        <v>408</v>
      </c>
      <c r="W9" s="277" t="s">
        <v>409</v>
      </c>
      <c r="X9" s="284" t="s">
        <v>410</v>
      </c>
      <c r="Y9" s="277" t="s">
        <v>411</v>
      </c>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79" t="s">
        <v>404</v>
      </c>
      <c r="BC9" s="265"/>
      <c r="BD9" s="265">
        <f t="shared" si="7"/>
        <v>0</v>
      </c>
      <c r="BE9" s="265">
        <f t="shared" si="14"/>
        <v>1</v>
      </c>
      <c r="BF9" s="265" t="s">
        <v>412</v>
      </c>
      <c r="BG9" s="265">
        <v>-1.1200000000000001</v>
      </c>
      <c r="BH9" s="265">
        <v>1.1200000000000001</v>
      </c>
      <c r="BI9" s="265">
        <v>0</v>
      </c>
      <c r="BJ9" s="265">
        <v>0.8</v>
      </c>
      <c r="BK9" s="265">
        <v>0</v>
      </c>
      <c r="BL9" s="265">
        <f t="shared" si="8"/>
        <v>0</v>
      </c>
      <c r="BM9" s="265">
        <f t="shared" si="9"/>
        <v>0</v>
      </c>
      <c r="BN9" s="265">
        <f t="shared" si="10"/>
        <v>0</v>
      </c>
      <c r="BO9" s="265">
        <f t="shared" si="11"/>
        <v>0</v>
      </c>
      <c r="BP9" s="265">
        <f t="shared" si="12"/>
        <v>0</v>
      </c>
      <c r="BQ9" s="265">
        <f t="shared" si="13"/>
        <v>0</v>
      </c>
    </row>
    <row r="10" spans="1:69">
      <c r="A10" s="1"/>
      <c r="B10" s="277" t="s">
        <v>209</v>
      </c>
      <c r="C10" s="52">
        <v>142</v>
      </c>
      <c r="D10" s="265" t="s">
        <v>14</v>
      </c>
      <c r="E10" s="265" t="str">
        <f>IF(_SO4&lt;0,"????","    ")</f>
        <v xml:space="preserve">    </v>
      </c>
      <c r="F10" s="265" t="str">
        <f>VLOOKUP(5,BE$7:BF$34,2)</f>
        <v>Hydrochloric acid</v>
      </c>
      <c r="G10" s="279">
        <v>0</v>
      </c>
      <c r="H10" s="265" t="s">
        <v>14</v>
      </c>
      <c r="I10" s="265" t="str">
        <f t="shared" si="5"/>
        <v xml:space="preserve">    </v>
      </c>
      <c r="J10" s="265"/>
      <c r="K10" s="280" t="e">
        <f t="shared" si="0"/>
        <v>#N/A</v>
      </c>
      <c r="L10" s="265">
        <f t="shared" si="6"/>
        <v>9</v>
      </c>
      <c r="M10" s="265"/>
      <c r="N10" s="280" t="e">
        <f t="shared" si="1"/>
        <v>#N/A</v>
      </c>
      <c r="O10" s="280" t="e">
        <f t="shared" si="2"/>
        <v>#N/A</v>
      </c>
      <c r="P10" s="281" t="e">
        <f t="shared" si="3"/>
        <v>#N/A</v>
      </c>
      <c r="Q10" s="281" t="e">
        <f t="shared" si="4"/>
        <v>#N/A</v>
      </c>
      <c r="R10" s="265"/>
      <c r="S10" s="265" t="s">
        <v>413</v>
      </c>
      <c r="T10" s="282">
        <f>IF(U10=1,V10,IF(U10=2,W10,IF(U10=3,X10,IF(U10=4,Y10,"Specify Form"))))</f>
        <v>4.10674775213322E-9</v>
      </c>
      <c r="U10" s="279">
        <v>1</v>
      </c>
      <c r="V10" s="282">
        <f>10^(-(171.9065+0.077993*T2-2839.319/T2-71.595*LOG10(T2)))</f>
        <v>4.10674775213322E-9</v>
      </c>
      <c r="W10" s="282">
        <f>10^(-(171.9773+0.077993*T2-2903.293/T2-71.595*LOG10(T2)))</f>
        <v>5.9576810722538414E-9</v>
      </c>
      <c r="X10" s="282">
        <f>10^(-(172.1295+0.077993*T2-3074.688/T2-71.595*LOG10(T2)))</f>
        <v>1.7597566825694365E-8</v>
      </c>
      <c r="Y10" s="282">
        <f>10^(-(0.01183*TEMP+8.03))</f>
        <v>8.7657887455600851E-9</v>
      </c>
      <c r="Z10" s="265"/>
      <c r="AA10" s="265"/>
      <c r="AB10" s="265"/>
      <c r="AC10" s="265"/>
      <c r="AD10" s="265"/>
      <c r="AE10" s="265"/>
      <c r="AF10" s="265"/>
      <c r="AG10" s="265"/>
      <c r="AH10" s="265"/>
      <c r="AI10" s="265"/>
      <c r="AJ10" s="265"/>
      <c r="AK10" s="265"/>
      <c r="AL10" s="265"/>
      <c r="AM10" s="265"/>
      <c r="AN10" s="265"/>
      <c r="AO10" s="265"/>
      <c r="AP10" s="265"/>
      <c r="AQ10" s="265"/>
      <c r="AR10" s="265"/>
      <c r="AS10" s="265"/>
      <c r="AT10" s="265"/>
      <c r="AU10" s="265"/>
      <c r="AV10" s="265"/>
      <c r="AW10" s="265"/>
      <c r="AX10" s="265"/>
      <c r="AY10" s="265"/>
      <c r="AZ10" s="265"/>
      <c r="BA10" s="265"/>
      <c r="BB10" s="279" t="s">
        <v>404</v>
      </c>
      <c r="BC10" s="265"/>
      <c r="BD10" s="265">
        <f t="shared" si="7"/>
        <v>0</v>
      </c>
      <c r="BE10" s="265">
        <f t="shared" si="14"/>
        <v>1</v>
      </c>
      <c r="BF10" s="265" t="s">
        <v>414</v>
      </c>
      <c r="BG10" s="265">
        <v>1</v>
      </c>
      <c r="BH10" s="265">
        <v>0</v>
      </c>
      <c r="BI10" s="265">
        <v>1</v>
      </c>
      <c r="BJ10" s="265">
        <v>0</v>
      </c>
      <c r="BK10" s="265">
        <v>0</v>
      </c>
      <c r="BL10" s="265">
        <f t="shared" si="8"/>
        <v>0</v>
      </c>
      <c r="BM10" s="265">
        <f t="shared" si="9"/>
        <v>0</v>
      </c>
      <c r="BN10" s="265">
        <f t="shared" si="10"/>
        <v>0</v>
      </c>
      <c r="BO10" s="265">
        <f t="shared" si="11"/>
        <v>0</v>
      </c>
      <c r="BP10" s="265">
        <f t="shared" si="12"/>
        <v>0</v>
      </c>
      <c r="BQ10" s="265">
        <f t="shared" si="13"/>
        <v>0</v>
      </c>
    </row>
    <row r="11" spans="1:69">
      <c r="A11" s="1"/>
      <c r="B11" s="265" t="s">
        <v>415</v>
      </c>
      <c r="C11" s="277"/>
      <c r="D11" s="265"/>
      <c r="E11" s="265"/>
      <c r="F11" s="265" t="str">
        <f>VLOOKUP(6,BE$7:BF$34,2)</f>
        <v>Hydrofluosilicic acid</v>
      </c>
      <c r="G11" s="279">
        <v>0</v>
      </c>
      <c r="H11" s="265" t="s">
        <v>14</v>
      </c>
      <c r="I11" s="265" t="str">
        <f t="shared" si="5"/>
        <v xml:space="preserve">    </v>
      </c>
      <c r="J11" s="265"/>
      <c r="K11" s="280" t="e">
        <f t="shared" si="0"/>
        <v>#N/A</v>
      </c>
      <c r="L11" s="265">
        <f t="shared" si="6"/>
        <v>8</v>
      </c>
      <c r="M11" s="265"/>
      <c r="N11" s="280" t="e">
        <f t="shared" si="1"/>
        <v>#N/A</v>
      </c>
      <c r="O11" s="280" t="e">
        <f t="shared" si="2"/>
        <v>#N/A</v>
      </c>
      <c r="P11" s="281" t="e">
        <f t="shared" si="3"/>
        <v>#N/A</v>
      </c>
      <c r="Q11" s="281" t="e">
        <f t="shared" si="4"/>
        <v>#N/A</v>
      </c>
      <c r="R11" s="265"/>
      <c r="S11" s="265" t="s">
        <v>416</v>
      </c>
      <c r="T11" s="265">
        <f>10^(-1*(T5*T6-0.3*T3))</f>
        <v>0.90204180111530852</v>
      </c>
      <c r="U11" s="265"/>
      <c r="V11" s="265"/>
      <c r="W11" s="265"/>
      <c r="X11" s="265"/>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79" t="s">
        <v>404</v>
      </c>
      <c r="BC11" s="265"/>
      <c r="BD11" s="265">
        <f t="shared" si="7"/>
        <v>0</v>
      </c>
      <c r="BE11" s="265">
        <f t="shared" si="14"/>
        <v>1</v>
      </c>
      <c r="BF11" s="265" t="s">
        <v>417</v>
      </c>
      <c r="BG11" s="265">
        <v>0</v>
      </c>
      <c r="BH11" s="265">
        <v>0</v>
      </c>
      <c r="BI11" s="265">
        <v>0.9</v>
      </c>
      <c r="BJ11" s="265">
        <v>0.64</v>
      </c>
      <c r="BK11" s="265">
        <v>0</v>
      </c>
      <c r="BL11" s="265">
        <f t="shared" si="8"/>
        <v>0</v>
      </c>
      <c r="BM11" s="265">
        <f t="shared" si="9"/>
        <v>0</v>
      </c>
      <c r="BN11" s="265">
        <f t="shared" si="10"/>
        <v>0</v>
      </c>
      <c r="BO11" s="265">
        <f t="shared" si="11"/>
        <v>0</v>
      </c>
      <c r="BP11" s="265">
        <f t="shared" si="12"/>
        <v>0</v>
      </c>
      <c r="BQ11" s="265">
        <f t="shared" si="13"/>
        <v>0</v>
      </c>
    </row>
    <row r="12" spans="1:69">
      <c r="A12" s="1"/>
      <c r="B12" s="265" t="s">
        <v>418</v>
      </c>
      <c r="C12" s="285"/>
      <c r="D12" s="265"/>
      <c r="E12" s="265" t="str">
        <f>IF(ISTEXT(C12)=1,"    ",IF(OR(C12&lt;5,C12&gt;11),"????","    "))</f>
        <v>????</v>
      </c>
      <c r="F12" s="265" t="str">
        <f>VLOOKUP(7,BE$7:BF$34,2)</f>
        <v>Quicklime</v>
      </c>
      <c r="G12" s="279">
        <v>0</v>
      </c>
      <c r="H12" s="265" t="s">
        <v>14</v>
      </c>
      <c r="I12" s="265" t="str">
        <f t="shared" si="5"/>
        <v xml:space="preserve">    </v>
      </c>
      <c r="J12" s="265"/>
      <c r="K12" s="280" t="e">
        <f t="shared" si="0"/>
        <v>#N/A</v>
      </c>
      <c r="L12" s="265">
        <f t="shared" si="6"/>
        <v>7</v>
      </c>
      <c r="M12" s="265"/>
      <c r="N12" s="280" t="e">
        <f t="shared" si="1"/>
        <v>#N/A</v>
      </c>
      <c r="O12" s="280" t="e">
        <f t="shared" si="2"/>
        <v>#N/A</v>
      </c>
      <c r="P12" s="281" t="e">
        <f t="shared" si="3"/>
        <v>#N/A</v>
      </c>
      <c r="Q12" s="281" t="e">
        <f t="shared" si="4"/>
        <v>#N/A</v>
      </c>
      <c r="R12" s="265"/>
      <c r="S12" s="265" t="s">
        <v>419</v>
      </c>
      <c r="T12" s="265">
        <f>T11^4</f>
        <v>0.6620741838191545</v>
      </c>
      <c r="U12" s="265"/>
      <c r="V12" s="265"/>
      <c r="W12" s="265"/>
      <c r="X12" s="265"/>
      <c r="Y12" s="265"/>
      <c r="Z12" s="265"/>
      <c r="AA12" s="265"/>
      <c r="AB12" s="265"/>
      <c r="AC12" s="265"/>
      <c r="AD12" s="265"/>
      <c r="AE12" s="265"/>
      <c r="AF12" s="265"/>
      <c r="AG12" s="265"/>
      <c r="AH12" s="265"/>
      <c r="AI12" s="265"/>
      <c r="AJ12" s="265"/>
      <c r="AK12" s="265"/>
      <c r="AL12" s="265"/>
      <c r="AM12" s="265"/>
      <c r="AN12" s="265"/>
      <c r="AO12" s="265"/>
      <c r="AP12" s="265"/>
      <c r="AQ12" s="265"/>
      <c r="AR12" s="265"/>
      <c r="AS12" s="265"/>
      <c r="AT12" s="265"/>
      <c r="AU12" s="265"/>
      <c r="AV12" s="265"/>
      <c r="AW12" s="265"/>
      <c r="AX12" s="265"/>
      <c r="AY12" s="265"/>
      <c r="AZ12" s="265"/>
      <c r="BA12" s="265"/>
      <c r="BB12" s="279" t="s">
        <v>404</v>
      </c>
      <c r="BC12" s="265"/>
      <c r="BD12" s="265">
        <f t="shared" si="7"/>
        <v>0</v>
      </c>
      <c r="BE12" s="265">
        <f t="shared" si="14"/>
        <v>1</v>
      </c>
      <c r="BF12" s="265" t="s">
        <v>420</v>
      </c>
      <c r="BG12" s="265">
        <v>0.7</v>
      </c>
      <c r="BH12" s="265">
        <v>-0.7</v>
      </c>
      <c r="BI12" s="265">
        <v>0.7</v>
      </c>
      <c r="BJ12" s="265">
        <v>0</v>
      </c>
      <c r="BK12" s="265">
        <v>0</v>
      </c>
      <c r="BL12" s="265">
        <f t="shared" si="8"/>
        <v>0</v>
      </c>
      <c r="BM12" s="265">
        <f t="shared" si="9"/>
        <v>0</v>
      </c>
      <c r="BN12" s="265">
        <f t="shared" si="10"/>
        <v>0</v>
      </c>
      <c r="BO12" s="265">
        <f t="shared" si="11"/>
        <v>0</v>
      </c>
      <c r="BP12" s="265">
        <f t="shared" si="12"/>
        <v>0</v>
      </c>
      <c r="BQ12" s="265">
        <f t="shared" si="13"/>
        <v>0</v>
      </c>
    </row>
    <row r="13" spans="1:69">
      <c r="A13" s="1"/>
      <c r="B13" s="265" t="s">
        <v>421</v>
      </c>
      <c r="C13" s="285"/>
      <c r="D13" s="265" t="s">
        <v>14</v>
      </c>
      <c r="E13" s="265" t="str">
        <f>IF(OR(C13&lt;0,C13&gt;99),"????","    ")</f>
        <v xml:space="preserve">    </v>
      </c>
      <c r="F13" s="265" t="str">
        <f>VLOOKUP(8,BE$7:BF$34,2)</f>
        <v>Soda ash</v>
      </c>
      <c r="G13" s="279">
        <v>0</v>
      </c>
      <c r="H13" s="265" t="s">
        <v>14</v>
      </c>
      <c r="I13" s="265" t="str">
        <f t="shared" si="5"/>
        <v xml:space="preserve">    </v>
      </c>
      <c r="J13" s="265"/>
      <c r="K13" s="280" t="e">
        <f t="shared" si="0"/>
        <v>#N/A</v>
      </c>
      <c r="L13" s="265">
        <f t="shared" si="6"/>
        <v>6</v>
      </c>
      <c r="M13" s="265"/>
      <c r="N13" s="280" t="e">
        <f t="shared" si="1"/>
        <v>#N/A</v>
      </c>
      <c r="O13" s="280" t="e">
        <f t="shared" si="2"/>
        <v>#N/A</v>
      </c>
      <c r="P13" s="281" t="e">
        <f t="shared" si="3"/>
        <v>#N/A</v>
      </c>
      <c r="Q13" s="281" t="e">
        <f t="shared" si="4"/>
        <v>#N/A</v>
      </c>
      <c r="R13" s="265"/>
      <c r="S13" s="265" t="s">
        <v>422</v>
      </c>
      <c r="T13" s="282">
        <f>T7/(T11^2)</f>
        <v>3.4590595149661095E-7</v>
      </c>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79" t="s">
        <v>396</v>
      </c>
      <c r="BC13" s="265"/>
      <c r="BD13" s="265">
        <f t="shared" si="7"/>
        <v>1</v>
      </c>
      <c r="BE13" s="265">
        <f t="shared" si="14"/>
        <v>2</v>
      </c>
      <c r="BF13" s="265" t="s">
        <v>423</v>
      </c>
      <c r="BG13" s="265">
        <v>0</v>
      </c>
      <c r="BH13" s="265">
        <v>2.2799999999999998</v>
      </c>
      <c r="BI13" s="265">
        <v>0</v>
      </c>
      <c r="BJ13" s="265">
        <v>0</v>
      </c>
      <c r="BK13" s="265">
        <v>0</v>
      </c>
      <c r="BL13" s="265">
        <f t="shared" si="8"/>
        <v>0</v>
      </c>
      <c r="BM13" s="265">
        <f t="shared" si="9"/>
        <v>0</v>
      </c>
      <c r="BN13" s="265">
        <f t="shared" si="10"/>
        <v>0</v>
      </c>
      <c r="BO13" s="265">
        <f t="shared" si="11"/>
        <v>0</v>
      </c>
      <c r="BP13" s="265">
        <f t="shared" si="12"/>
        <v>0</v>
      </c>
      <c r="BQ13" s="265">
        <f t="shared" si="13"/>
        <v>0</v>
      </c>
    </row>
    <row r="14" spans="1:69">
      <c r="A14" s="1"/>
      <c r="B14" s="265" t="s">
        <v>424</v>
      </c>
      <c r="C14" s="277"/>
      <c r="D14" s="265"/>
      <c r="E14" s="265"/>
      <c r="F14" s="265" t="str">
        <f>VLOOKUP(9,BE$7:BF$34,2)</f>
        <v>Sodium hypochlorite</v>
      </c>
      <c r="G14" s="279">
        <v>0</v>
      </c>
      <c r="H14" s="265" t="s">
        <v>14</v>
      </c>
      <c r="I14" s="265" t="str">
        <f t="shared" si="5"/>
        <v xml:space="preserve">    </v>
      </c>
      <c r="J14" s="265"/>
      <c r="K14" s="280" t="e">
        <f t="shared" si="0"/>
        <v>#N/A</v>
      </c>
      <c r="L14" s="265">
        <f t="shared" si="6"/>
        <v>5</v>
      </c>
      <c r="M14" s="265"/>
      <c r="N14" s="280" t="e">
        <f t="shared" si="1"/>
        <v>#N/A</v>
      </c>
      <c r="O14" s="280" t="e">
        <f t="shared" si="2"/>
        <v>#N/A</v>
      </c>
      <c r="P14" s="281" t="e">
        <f t="shared" si="3"/>
        <v>#N/A</v>
      </c>
      <c r="Q14" s="281" t="e">
        <f t="shared" si="4"/>
        <v>#N/A</v>
      </c>
      <c r="R14" s="265"/>
      <c r="S14" s="265" t="s">
        <v>425</v>
      </c>
      <c r="T14" s="282">
        <f>T8/T12</f>
        <v>3.8316081920588293E-11</v>
      </c>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5"/>
      <c r="AY14" s="265"/>
      <c r="AZ14" s="265"/>
      <c r="BA14" s="265"/>
      <c r="BB14" s="279" t="s">
        <v>396</v>
      </c>
      <c r="BC14" s="265"/>
      <c r="BD14" s="265">
        <f t="shared" si="7"/>
        <v>1</v>
      </c>
      <c r="BE14" s="265">
        <f t="shared" si="14"/>
        <v>3</v>
      </c>
      <c r="BF14" s="265" t="s">
        <v>426</v>
      </c>
      <c r="BG14" s="265">
        <v>1.25</v>
      </c>
      <c r="BH14" s="265">
        <v>-1.25</v>
      </c>
      <c r="BI14" s="265">
        <v>0</v>
      </c>
      <c r="BJ14" s="265">
        <v>0</v>
      </c>
      <c r="BK14" s="265">
        <v>0</v>
      </c>
      <c r="BL14" s="265">
        <f t="shared" si="8"/>
        <v>0</v>
      </c>
      <c r="BM14" s="265">
        <f t="shared" si="9"/>
        <v>0</v>
      </c>
      <c r="BN14" s="265">
        <f t="shared" si="10"/>
        <v>0</v>
      </c>
      <c r="BO14" s="265">
        <f t="shared" si="11"/>
        <v>0</v>
      </c>
      <c r="BP14" s="265">
        <f t="shared" si="12"/>
        <v>0</v>
      </c>
      <c r="BQ14" s="265">
        <f t="shared" si="13"/>
        <v>0</v>
      </c>
    </row>
    <row r="15" spans="1:69">
      <c r="A15" s="1"/>
      <c r="B15" s="265" t="s">
        <v>427</v>
      </c>
      <c r="C15" s="285"/>
      <c r="D15" s="265" t="s">
        <v>14</v>
      </c>
      <c r="E15" s="265" t="str">
        <f>IF(OR(C15&lt;0,C15&gt;99),"????","    ")</f>
        <v xml:space="preserve">    </v>
      </c>
      <c r="F15" s="265" t="str">
        <f>VLOOKUP(10,BE$7:BF$34,2)</f>
        <v>User specified*</v>
      </c>
      <c r="G15" s="279">
        <v>0</v>
      </c>
      <c r="H15" s="265" t="s">
        <v>14</v>
      </c>
      <c r="I15" s="265" t="str">
        <f t="shared" si="5"/>
        <v xml:space="preserve">    </v>
      </c>
      <c r="J15" s="265"/>
      <c r="K15" s="280" t="e">
        <f t="shared" si="0"/>
        <v>#N/A</v>
      </c>
      <c r="L15" s="265">
        <f t="shared" si="6"/>
        <v>4</v>
      </c>
      <c r="M15" s="265"/>
      <c r="N15" s="280" t="e">
        <f t="shared" si="1"/>
        <v>#N/A</v>
      </c>
      <c r="O15" s="280" t="e">
        <f t="shared" si="2"/>
        <v>#N/A</v>
      </c>
      <c r="P15" s="281" t="e">
        <f t="shared" si="3"/>
        <v>#N/A</v>
      </c>
      <c r="Q15" s="281" t="e">
        <f>C19*5</f>
        <v>#N/A</v>
      </c>
      <c r="R15" s="265"/>
      <c r="S15" s="265" t="s">
        <v>428</v>
      </c>
      <c r="T15" s="282">
        <f>T9/(T11^2)</f>
        <v>1.7376556858271434E-15</v>
      </c>
      <c r="U15" s="265"/>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79" t="s">
        <v>396</v>
      </c>
      <c r="BC15" s="265"/>
      <c r="BD15" s="265">
        <f t="shared" si="7"/>
        <v>1</v>
      </c>
      <c r="BE15" s="265">
        <f t="shared" si="14"/>
        <v>4</v>
      </c>
      <c r="BF15" s="265" t="s">
        <v>429</v>
      </c>
      <c r="BG15" s="265">
        <v>-1.41</v>
      </c>
      <c r="BH15" s="265">
        <v>1.41</v>
      </c>
      <c r="BI15" s="265">
        <v>0</v>
      </c>
      <c r="BJ15" s="265">
        <v>0.5</v>
      </c>
      <c r="BK15" s="265">
        <v>0</v>
      </c>
      <c r="BL15" s="265">
        <f t="shared" si="8"/>
        <v>0</v>
      </c>
      <c r="BM15" s="265">
        <f t="shared" si="9"/>
        <v>0</v>
      </c>
      <c r="BN15" s="265">
        <f t="shared" si="10"/>
        <v>0</v>
      </c>
      <c r="BO15" s="265">
        <f t="shared" si="11"/>
        <v>0</v>
      </c>
      <c r="BP15" s="265">
        <f t="shared" si="12"/>
        <v>0</v>
      </c>
      <c r="BQ15" s="265">
        <f t="shared" si="13"/>
        <v>0</v>
      </c>
    </row>
    <row r="16" spans="1:69">
      <c r="A16" s="1"/>
      <c r="B16" s="265"/>
      <c r="C16" s="277"/>
      <c r="D16" s="265"/>
      <c r="E16" s="265"/>
      <c r="F16" s="265"/>
      <c r="G16" s="265"/>
      <c r="H16" s="265"/>
      <c r="I16" s="265"/>
      <c r="J16" s="265"/>
      <c r="K16" s="280" t="e">
        <f t="shared" si="0"/>
        <v>#N/A</v>
      </c>
      <c r="L16" s="265">
        <f t="shared" si="6"/>
        <v>3</v>
      </c>
      <c r="M16" s="265"/>
      <c r="N16" s="280" t="e">
        <f t="shared" si="1"/>
        <v>#N/A</v>
      </c>
      <c r="O16" s="280" t="e">
        <f t="shared" si="2"/>
        <v>#N/A</v>
      </c>
      <c r="P16" s="281" t="e">
        <f t="shared" si="3"/>
        <v>#N/A</v>
      </c>
      <c r="Q16" s="281" t="e">
        <f>C19</f>
        <v>#N/A</v>
      </c>
      <c r="R16" s="265"/>
      <c r="S16" s="265" t="s">
        <v>430</v>
      </c>
      <c r="T16" s="282">
        <f>T10/T12^2</f>
        <v>9.3688162331597322E-9</v>
      </c>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79" t="s">
        <v>404</v>
      </c>
      <c r="BC16" s="265"/>
      <c r="BD16" s="265">
        <f t="shared" si="7"/>
        <v>0</v>
      </c>
      <c r="BE16" s="265">
        <f t="shared" si="14"/>
        <v>4</v>
      </c>
      <c r="BF16" s="265" t="s">
        <v>431</v>
      </c>
      <c r="BG16" s="265">
        <v>-0.93</v>
      </c>
      <c r="BH16" s="265">
        <v>0.93</v>
      </c>
      <c r="BI16" s="265">
        <v>0</v>
      </c>
      <c r="BJ16" s="265">
        <v>0.66</v>
      </c>
      <c r="BK16" s="265">
        <v>0</v>
      </c>
      <c r="BL16" s="265">
        <f t="shared" si="8"/>
        <v>0</v>
      </c>
      <c r="BM16" s="265">
        <f t="shared" si="9"/>
        <v>0</v>
      </c>
      <c r="BN16" s="265">
        <f t="shared" si="10"/>
        <v>0</v>
      </c>
      <c r="BO16" s="265">
        <f t="shared" si="11"/>
        <v>0</v>
      </c>
      <c r="BP16" s="265">
        <f t="shared" si="12"/>
        <v>0</v>
      </c>
      <c r="BQ16" s="265">
        <f t="shared" si="13"/>
        <v>0</v>
      </c>
    </row>
    <row r="17" spans="1:69">
      <c r="A17" s="1"/>
      <c r="B17" s="265" t="s">
        <v>432</v>
      </c>
      <c r="C17" s="277"/>
      <c r="D17" s="265"/>
      <c r="E17" s="265"/>
      <c r="F17" s="265"/>
      <c r="G17" s="265"/>
      <c r="H17" s="265"/>
      <c r="I17" s="265"/>
      <c r="J17" s="265"/>
      <c r="K17" s="280" t="e">
        <f t="shared" si="0"/>
        <v>#N/A</v>
      </c>
      <c r="L17" s="265">
        <f t="shared" si="6"/>
        <v>2</v>
      </c>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79" t="s">
        <v>404</v>
      </c>
      <c r="BC17" s="265"/>
      <c r="BD17" s="265">
        <f t="shared" si="7"/>
        <v>0</v>
      </c>
      <c r="BE17" s="265">
        <f t="shared" si="14"/>
        <v>4</v>
      </c>
      <c r="BF17" s="265" t="s">
        <v>433</v>
      </c>
      <c r="BG17" s="265">
        <v>-0.53</v>
      </c>
      <c r="BH17" s="265">
        <v>0.53</v>
      </c>
      <c r="BI17" s="265">
        <v>0</v>
      </c>
      <c r="BJ17" s="265">
        <v>0</v>
      </c>
      <c r="BK17" s="265">
        <v>0.51</v>
      </c>
      <c r="BL17" s="265">
        <f t="shared" si="8"/>
        <v>0</v>
      </c>
      <c r="BM17" s="265">
        <f t="shared" si="9"/>
        <v>0</v>
      </c>
      <c r="BN17" s="265">
        <f t="shared" si="10"/>
        <v>0</v>
      </c>
      <c r="BO17" s="265">
        <f t="shared" si="11"/>
        <v>0</v>
      </c>
      <c r="BP17" s="265">
        <f t="shared" si="12"/>
        <v>0</v>
      </c>
      <c r="BQ17" s="265">
        <f t="shared" si="13"/>
        <v>0</v>
      </c>
    </row>
    <row r="18" spans="1:69">
      <c r="A18" s="1"/>
      <c r="B18" s="277" t="s">
        <v>434</v>
      </c>
      <c r="C18" s="277"/>
      <c r="D18" s="265"/>
      <c r="E18" s="277" t="s">
        <v>435</v>
      </c>
      <c r="F18" s="277" t="s">
        <v>434</v>
      </c>
      <c r="G18" s="265"/>
      <c r="H18" s="265"/>
      <c r="I18" s="277" t="s">
        <v>435</v>
      </c>
      <c r="J18" s="265"/>
      <c r="K18" s="280" t="e">
        <f t="shared" si="0"/>
        <v>#N/A</v>
      </c>
      <c r="L18" s="265">
        <f t="shared" si="6"/>
        <v>1</v>
      </c>
      <c r="M18" s="265"/>
      <c r="N18" s="280" t="e">
        <f t="shared" ref="N18:N28" si="15">10^5*((2*10^-5*Q18-$T$15*$T$11/10^(-1*O18)+10^(-1*O18)/$T$11)/(2*$T$13*$T$14*$T$11^2/10^(-2*O18)+$T$13*$T$11/10^(-1*O18))*(1+$T$13*$T$11/2/10^(-1*O18))+10^(-1*O18)/2/$T$11-$T$15*$T$11/2/10^(-1*O18))</f>
        <v>#N/A</v>
      </c>
      <c r="O18" s="280" t="e">
        <f t="shared" ref="O18:O28" si="16">LOG10($T$16)-LOG10(P18*10^(-5))-LOG10($T$14)-LOG10(2*10^(-5)*Q18)-LOG10($T$11)</f>
        <v>#N/A</v>
      </c>
      <c r="P18" s="281" t="e">
        <f t="shared" ref="P18:P28" si="17">IF(+Q18-$C$19+$C$20&lt;=0.01,0.01,+Q18-$C$19+$C$20)</f>
        <v>#N/A</v>
      </c>
      <c r="Q18" s="281" t="e">
        <f>VLOOKUP(C31,N5:Q15,4)</f>
        <v>#N/A</v>
      </c>
      <c r="R18" s="265"/>
      <c r="S18" s="265"/>
      <c r="T18" s="265"/>
      <c r="U18" s="265"/>
      <c r="V18" s="265"/>
      <c r="W18" s="265"/>
      <c r="X18" s="265"/>
      <c r="Y18" s="265"/>
      <c r="Z18" s="265"/>
      <c r="AA18" s="265"/>
      <c r="AB18" s="265"/>
      <c r="AC18" s="265"/>
      <c r="AD18" s="265"/>
      <c r="AE18" s="265"/>
      <c r="AF18" s="265"/>
      <c r="AG18" s="265"/>
      <c r="AH18" s="265"/>
      <c r="AI18" s="265"/>
      <c r="AJ18" s="265"/>
      <c r="AK18" s="265"/>
      <c r="AL18" s="265"/>
      <c r="AM18" s="265"/>
      <c r="AN18" s="265"/>
      <c r="AO18" s="265"/>
      <c r="AP18" s="265"/>
      <c r="AQ18" s="265"/>
      <c r="AR18" s="265"/>
      <c r="AS18" s="265"/>
      <c r="AT18" s="265"/>
      <c r="AU18" s="265"/>
      <c r="AV18" s="265"/>
      <c r="AW18" s="265"/>
      <c r="AX18" s="265"/>
      <c r="AY18" s="265"/>
      <c r="AZ18" s="265"/>
      <c r="BA18" s="265"/>
      <c r="BB18" s="279" t="s">
        <v>404</v>
      </c>
      <c r="BC18" s="265"/>
      <c r="BD18" s="265">
        <f t="shared" si="7"/>
        <v>0</v>
      </c>
      <c r="BE18" s="265">
        <f t="shared" si="14"/>
        <v>4</v>
      </c>
      <c r="BF18" s="265" t="s">
        <v>436</v>
      </c>
      <c r="BG18" s="265">
        <v>-0.36</v>
      </c>
      <c r="BH18" s="265">
        <v>0.36</v>
      </c>
      <c r="BI18" s="265">
        <v>0</v>
      </c>
      <c r="BJ18" s="265">
        <v>0</v>
      </c>
      <c r="BK18" s="265">
        <v>0.36</v>
      </c>
      <c r="BL18" s="265">
        <f t="shared" si="8"/>
        <v>0</v>
      </c>
      <c r="BM18" s="265">
        <f t="shared" si="9"/>
        <v>0</v>
      </c>
      <c r="BN18" s="265">
        <f t="shared" si="10"/>
        <v>0</v>
      </c>
      <c r="BO18" s="265">
        <f t="shared" si="11"/>
        <v>0</v>
      </c>
      <c r="BP18" s="265">
        <f t="shared" si="12"/>
        <v>0</v>
      </c>
      <c r="BQ18" s="265">
        <f t="shared" si="13"/>
        <v>0</v>
      </c>
    </row>
    <row r="19" spans="1:69">
      <c r="A19" s="1"/>
      <c r="B19" s="277" t="s">
        <v>437</v>
      </c>
      <c r="C19" s="286" t="e">
        <f>ALK+BM33</f>
        <v>#N/A</v>
      </c>
      <c r="D19" s="265" t="s">
        <v>14</v>
      </c>
      <c r="E19" s="277" t="s">
        <v>438</v>
      </c>
      <c r="F19" s="277" t="s">
        <v>439</v>
      </c>
      <c r="G19" s="322" t="e">
        <f>VLOOKUP(C31,K32:L42,2)</f>
        <v>#N/A</v>
      </c>
      <c r="H19" s="265"/>
      <c r="I19" s="277" t="s">
        <v>440</v>
      </c>
      <c r="J19" s="265"/>
      <c r="K19" s="265"/>
      <c r="L19" s="265"/>
      <c r="M19" s="265"/>
      <c r="N19" s="280" t="e">
        <f t="shared" si="15"/>
        <v>#N/A</v>
      </c>
      <c r="O19" s="280" t="e">
        <f t="shared" si="16"/>
        <v>#N/A</v>
      </c>
      <c r="P19" s="281" t="e">
        <f t="shared" si="17"/>
        <v>#N/A</v>
      </c>
      <c r="Q19" s="281" t="e">
        <f t="shared" ref="Q19:Q28" si="18">Q18+(Q$15-1)/100</f>
        <v>#N/A</v>
      </c>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79" t="s">
        <v>396</v>
      </c>
      <c r="BC19" s="265"/>
      <c r="BD19" s="265">
        <f t="shared" si="7"/>
        <v>1</v>
      </c>
      <c r="BE19" s="265">
        <f t="shared" si="14"/>
        <v>5</v>
      </c>
      <c r="BF19" s="265" t="s">
        <v>441</v>
      </c>
      <c r="BG19" s="265">
        <v>-1.37</v>
      </c>
      <c r="BH19" s="265">
        <v>1.37</v>
      </c>
      <c r="BI19" s="265">
        <v>0</v>
      </c>
      <c r="BJ19" s="265">
        <v>0.97</v>
      </c>
      <c r="BK19" s="265">
        <v>0</v>
      </c>
      <c r="BL19" s="265">
        <f t="shared" si="8"/>
        <v>0</v>
      </c>
      <c r="BM19" s="265">
        <f t="shared" si="9"/>
        <v>0</v>
      </c>
      <c r="BN19" s="265">
        <f t="shared" si="10"/>
        <v>0</v>
      </c>
      <c r="BO19" s="265">
        <f t="shared" si="11"/>
        <v>0</v>
      </c>
      <c r="BP19" s="265">
        <f t="shared" si="12"/>
        <v>0</v>
      </c>
      <c r="BQ19" s="265">
        <f t="shared" si="13"/>
        <v>0</v>
      </c>
    </row>
    <row r="20" spans="1:69">
      <c r="A20" s="1"/>
      <c r="B20" s="277" t="s">
        <v>442</v>
      </c>
      <c r="C20" s="286" t="e">
        <f>CA+BO33</f>
        <v>#N/A</v>
      </c>
      <c r="D20" s="265" t="s">
        <v>14</v>
      </c>
      <c r="E20" s="277" t="s">
        <v>438</v>
      </c>
      <c r="F20" s="277" t="s">
        <v>443</v>
      </c>
      <c r="G20" s="287" t="e">
        <f>IF(C31&gt;N15,"ERROR",+C20-P42)</f>
        <v>#N/A</v>
      </c>
      <c r="H20" s="265" t="s">
        <v>14</v>
      </c>
      <c r="I20" s="277" t="s">
        <v>444</v>
      </c>
      <c r="J20" s="265"/>
      <c r="K20" s="280" t="e">
        <f t="shared" ref="K20:K30" si="19">10^5*((2*10^-5*$C$19-$T$15*$T$11/10^(-1*L20)+10^(-1*L20)/$T$11)/(2*$T$13*$T$14*$T$11^2/10^(-2*L20)+$T$13*$T$11/10^(-1*L20))*(1+$T$13*$T$11/2/10^(-1*L20))+10^(-1*L20)/2/$T$11-$T$15*$T$11/2/10^(-1*L20))</f>
        <v>#N/A</v>
      </c>
      <c r="L20" s="265" t="e">
        <f>VLOOKUP(C31,K5:L18,2)</f>
        <v>#N/A</v>
      </c>
      <c r="M20" s="265"/>
      <c r="N20" s="280" t="e">
        <f t="shared" si="15"/>
        <v>#N/A</v>
      </c>
      <c r="O20" s="280" t="e">
        <f t="shared" si="16"/>
        <v>#N/A</v>
      </c>
      <c r="P20" s="281" t="e">
        <f t="shared" si="17"/>
        <v>#N/A</v>
      </c>
      <c r="Q20" s="281" t="e">
        <f t="shared" si="18"/>
        <v>#N/A</v>
      </c>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79" t="s">
        <v>396</v>
      </c>
      <c r="BC20" s="265"/>
      <c r="BD20" s="265">
        <f t="shared" si="7"/>
        <v>1</v>
      </c>
      <c r="BE20" s="265">
        <f t="shared" si="14"/>
        <v>6</v>
      </c>
      <c r="BF20" s="265" t="s">
        <v>445</v>
      </c>
      <c r="BG20" s="265">
        <v>-2.08</v>
      </c>
      <c r="BH20" s="265">
        <v>2.08</v>
      </c>
      <c r="BI20" s="265">
        <v>0</v>
      </c>
      <c r="BJ20" s="265">
        <v>0</v>
      </c>
      <c r="BK20" s="265">
        <v>0</v>
      </c>
      <c r="BL20" s="265">
        <f t="shared" si="8"/>
        <v>0</v>
      </c>
      <c r="BM20" s="265">
        <f t="shared" si="9"/>
        <v>0</v>
      </c>
      <c r="BN20" s="265">
        <f t="shared" si="10"/>
        <v>0</v>
      </c>
      <c r="BO20" s="265">
        <f t="shared" si="11"/>
        <v>0</v>
      </c>
      <c r="BP20" s="265">
        <f t="shared" si="12"/>
        <v>0</v>
      </c>
      <c r="BQ20" s="265">
        <f t="shared" si="13"/>
        <v>0</v>
      </c>
    </row>
    <row r="21" spans="1:69">
      <c r="A21" s="1"/>
      <c r="B21" s="277" t="s">
        <v>446</v>
      </c>
      <c r="C21" s="284" t="e">
        <f>IF(OR(OR(ISTEXT(CL)=1,ISTEXT(_SO4)=1),(CL+_SO4)=0),"N/A",C19/(CL+BP33+_SO4+BQ33))</f>
        <v>#N/A</v>
      </c>
      <c r="D21" s="265"/>
      <c r="E21" s="277" t="s">
        <v>447</v>
      </c>
      <c r="F21" s="277" t="s">
        <v>448</v>
      </c>
      <c r="G21" s="322" t="e">
        <f>G19-$O$16</f>
        <v>#N/A</v>
      </c>
      <c r="H21" s="265"/>
      <c r="I21" s="277" t="s">
        <v>449</v>
      </c>
      <c r="J21" s="265"/>
      <c r="K21" s="280" t="e">
        <f t="shared" si="19"/>
        <v>#N/A</v>
      </c>
      <c r="L21" s="265" t="e">
        <f t="shared" ref="L21:L30" si="20">L20-0.1</f>
        <v>#N/A</v>
      </c>
      <c r="M21" s="265"/>
      <c r="N21" s="280" t="e">
        <f t="shared" si="15"/>
        <v>#N/A</v>
      </c>
      <c r="O21" s="280" t="e">
        <f t="shared" si="16"/>
        <v>#N/A</v>
      </c>
      <c r="P21" s="281" t="e">
        <f t="shared" si="17"/>
        <v>#N/A</v>
      </c>
      <c r="Q21" s="281" t="e">
        <f t="shared" si="18"/>
        <v>#N/A</v>
      </c>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79" t="s">
        <v>396</v>
      </c>
      <c r="BC21" s="265"/>
      <c r="BD21" s="265">
        <f t="shared" si="7"/>
        <v>1</v>
      </c>
      <c r="BE21" s="265">
        <f t="shared" si="14"/>
        <v>7</v>
      </c>
      <c r="BF21" s="265" t="s">
        <v>450</v>
      </c>
      <c r="BG21" s="265">
        <v>1.35</v>
      </c>
      <c r="BH21" s="265">
        <v>-1.35</v>
      </c>
      <c r="BI21" s="265">
        <v>1.35</v>
      </c>
      <c r="BJ21" s="265">
        <v>0</v>
      </c>
      <c r="BK21" s="265">
        <v>0</v>
      </c>
      <c r="BL21" s="265">
        <f t="shared" si="8"/>
        <v>0</v>
      </c>
      <c r="BM21" s="265">
        <f t="shared" si="9"/>
        <v>0</v>
      </c>
      <c r="BN21" s="265">
        <f t="shared" si="10"/>
        <v>0</v>
      </c>
      <c r="BO21" s="265">
        <f t="shared" si="11"/>
        <v>0</v>
      </c>
      <c r="BP21" s="265">
        <f t="shared" si="12"/>
        <v>0</v>
      </c>
      <c r="BQ21" s="265">
        <f t="shared" si="13"/>
        <v>0</v>
      </c>
    </row>
    <row r="22" spans="1:69">
      <c r="A22" s="1"/>
      <c r="B22" s="265" t="s">
        <v>451</v>
      </c>
      <c r="C22" s="277"/>
      <c r="D22" s="265"/>
      <c r="E22" s="265"/>
      <c r="F22" s="265"/>
      <c r="G22" s="265"/>
      <c r="H22" s="265"/>
      <c r="I22" s="265"/>
      <c r="J22" s="265"/>
      <c r="K22" s="280" t="e">
        <f t="shared" si="19"/>
        <v>#N/A</v>
      </c>
      <c r="L22" s="265" t="e">
        <f t="shared" si="20"/>
        <v>#N/A</v>
      </c>
      <c r="M22" s="265"/>
      <c r="N22" s="280" t="e">
        <f t="shared" si="15"/>
        <v>#N/A</v>
      </c>
      <c r="O22" s="280" t="e">
        <f t="shared" si="16"/>
        <v>#N/A</v>
      </c>
      <c r="P22" s="281" t="e">
        <f t="shared" si="17"/>
        <v>#N/A</v>
      </c>
      <c r="Q22" s="281" t="e">
        <f t="shared" si="18"/>
        <v>#N/A</v>
      </c>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79" t="s">
        <v>404</v>
      </c>
      <c r="BC22" s="265"/>
      <c r="BD22" s="265">
        <f t="shared" si="7"/>
        <v>0</v>
      </c>
      <c r="BE22" s="265">
        <f t="shared" si="14"/>
        <v>7</v>
      </c>
      <c r="BF22" s="265" t="s">
        <v>452</v>
      </c>
      <c r="BG22" s="265">
        <v>-1.53</v>
      </c>
      <c r="BH22" s="265">
        <v>1.53</v>
      </c>
      <c r="BI22" s="265">
        <v>0</v>
      </c>
      <c r="BJ22" s="265">
        <v>0</v>
      </c>
      <c r="BK22" s="265">
        <v>0</v>
      </c>
      <c r="BL22" s="265">
        <f t="shared" si="8"/>
        <v>0</v>
      </c>
      <c r="BM22" s="265">
        <f t="shared" si="9"/>
        <v>0</v>
      </c>
      <c r="BN22" s="265">
        <f t="shared" si="10"/>
        <v>0</v>
      </c>
      <c r="BO22" s="265">
        <f t="shared" si="11"/>
        <v>0</v>
      </c>
      <c r="BP22" s="265">
        <f t="shared" si="12"/>
        <v>0</v>
      </c>
      <c r="BQ22" s="265">
        <f t="shared" si="13"/>
        <v>0</v>
      </c>
    </row>
    <row r="23" spans="1:69">
      <c r="A23" s="1"/>
      <c r="B23" s="265"/>
      <c r="C23" s="277"/>
      <c r="D23" s="265"/>
      <c r="E23" s="265"/>
      <c r="F23" s="265"/>
      <c r="G23" s="265"/>
      <c r="H23" s="265"/>
      <c r="I23" s="265"/>
      <c r="J23" s="265"/>
      <c r="K23" s="280" t="e">
        <f t="shared" si="19"/>
        <v>#N/A</v>
      </c>
      <c r="L23" s="265" t="e">
        <f t="shared" si="20"/>
        <v>#N/A</v>
      </c>
      <c r="M23" s="265"/>
      <c r="N23" s="280" t="e">
        <f t="shared" si="15"/>
        <v>#N/A</v>
      </c>
      <c r="O23" s="280" t="e">
        <f t="shared" si="16"/>
        <v>#N/A</v>
      </c>
      <c r="P23" s="281" t="e">
        <f t="shared" si="17"/>
        <v>#N/A</v>
      </c>
      <c r="Q23" s="281" t="e">
        <f t="shared" si="18"/>
        <v>#N/A</v>
      </c>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79" t="s">
        <v>404</v>
      </c>
      <c r="BC23" s="265"/>
      <c r="BD23" s="265">
        <f t="shared" si="7"/>
        <v>0</v>
      </c>
      <c r="BE23" s="265">
        <f t="shared" si="14"/>
        <v>7</v>
      </c>
      <c r="BF23" s="265" t="s">
        <v>453</v>
      </c>
      <c r="BG23" s="265">
        <v>0.89</v>
      </c>
      <c r="BH23" s="265">
        <v>-0.89</v>
      </c>
      <c r="BI23" s="265">
        <v>0</v>
      </c>
      <c r="BJ23" s="265">
        <v>0</v>
      </c>
      <c r="BK23" s="265">
        <v>0</v>
      </c>
      <c r="BL23" s="265">
        <f t="shared" si="8"/>
        <v>0</v>
      </c>
      <c r="BM23" s="265">
        <f t="shared" si="9"/>
        <v>0</v>
      </c>
      <c r="BN23" s="265">
        <f t="shared" si="10"/>
        <v>0</v>
      </c>
      <c r="BO23" s="265">
        <f t="shared" si="11"/>
        <v>0</v>
      </c>
      <c r="BP23" s="265">
        <f t="shared" si="12"/>
        <v>0</v>
      </c>
      <c r="BQ23" s="265">
        <f t="shared" si="13"/>
        <v>0</v>
      </c>
    </row>
    <row r="24" spans="1:69">
      <c r="A24" s="1"/>
      <c r="B24" s="265"/>
      <c r="C24" s="277"/>
      <c r="D24" s="265"/>
      <c r="E24" s="265"/>
      <c r="F24" s="265"/>
      <c r="G24" s="265"/>
      <c r="H24" s="265"/>
      <c r="I24" s="265"/>
      <c r="J24" s="265"/>
      <c r="K24" s="280" t="e">
        <f t="shared" si="19"/>
        <v>#N/A</v>
      </c>
      <c r="L24" s="265" t="e">
        <f t="shared" si="20"/>
        <v>#N/A</v>
      </c>
      <c r="M24" s="265"/>
      <c r="N24" s="280" t="e">
        <f t="shared" si="15"/>
        <v>#N/A</v>
      </c>
      <c r="O24" s="280" t="e">
        <f t="shared" si="16"/>
        <v>#N/A</v>
      </c>
      <c r="P24" s="281" t="e">
        <f t="shared" si="17"/>
        <v>#N/A</v>
      </c>
      <c r="Q24" s="281" t="e">
        <f t="shared" si="18"/>
        <v>#N/A</v>
      </c>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79" t="s">
        <v>404</v>
      </c>
      <c r="BC24" s="265"/>
      <c r="BD24" s="265">
        <f t="shared" si="7"/>
        <v>0</v>
      </c>
      <c r="BE24" s="265">
        <f t="shared" si="14"/>
        <v>7</v>
      </c>
      <c r="BF24" s="265" t="s">
        <v>454</v>
      </c>
      <c r="BG24" s="265">
        <v>1.79</v>
      </c>
      <c r="BH24" s="265">
        <v>-1.79</v>
      </c>
      <c r="BI24" s="265">
        <v>1.79</v>
      </c>
      <c r="BJ24" s="265">
        <v>0</v>
      </c>
      <c r="BK24" s="265">
        <v>0</v>
      </c>
      <c r="BL24" s="265">
        <f t="shared" si="8"/>
        <v>0</v>
      </c>
      <c r="BM24" s="265">
        <f t="shared" si="9"/>
        <v>0</v>
      </c>
      <c r="BN24" s="265">
        <f t="shared" si="10"/>
        <v>0</v>
      </c>
      <c r="BO24" s="265">
        <f t="shared" si="11"/>
        <v>0</v>
      </c>
      <c r="BP24" s="265">
        <f t="shared" si="12"/>
        <v>0</v>
      </c>
      <c r="BQ24" s="265">
        <f t="shared" si="13"/>
        <v>0</v>
      </c>
    </row>
    <row r="25" spans="1:69">
      <c r="A25" s="1"/>
      <c r="B25" s="277" t="s">
        <v>455</v>
      </c>
      <c r="C25" s="277"/>
      <c r="D25" s="265"/>
      <c r="E25" s="265"/>
      <c r="F25" s="277" t="s">
        <v>456</v>
      </c>
      <c r="G25" s="265"/>
      <c r="H25" s="265"/>
      <c r="I25" s="265"/>
      <c r="J25" s="265"/>
      <c r="K25" s="280" t="e">
        <f t="shared" si="19"/>
        <v>#N/A</v>
      </c>
      <c r="L25" s="265" t="e">
        <f t="shared" si="20"/>
        <v>#N/A</v>
      </c>
      <c r="M25" s="265"/>
      <c r="N25" s="280" t="e">
        <f t="shared" si="15"/>
        <v>#N/A</v>
      </c>
      <c r="O25" s="280" t="e">
        <f t="shared" si="16"/>
        <v>#N/A</v>
      </c>
      <c r="P25" s="281" t="e">
        <f t="shared" si="17"/>
        <v>#N/A</v>
      </c>
      <c r="Q25" s="281" t="e">
        <f t="shared" si="18"/>
        <v>#N/A</v>
      </c>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79" t="s">
        <v>396</v>
      </c>
      <c r="BC25" s="265"/>
      <c r="BD25" s="265">
        <f t="shared" si="7"/>
        <v>1</v>
      </c>
      <c r="BE25" s="265">
        <f t="shared" si="14"/>
        <v>8</v>
      </c>
      <c r="BF25" s="265" t="s">
        <v>457</v>
      </c>
      <c r="BG25" s="265">
        <v>0.94</v>
      </c>
      <c r="BH25" s="265">
        <v>0</v>
      </c>
      <c r="BI25" s="265">
        <v>0</v>
      </c>
      <c r="BJ25" s="265">
        <v>0</v>
      </c>
      <c r="BK25" s="265">
        <v>0</v>
      </c>
      <c r="BL25" s="265">
        <f t="shared" si="8"/>
        <v>0</v>
      </c>
      <c r="BM25" s="265">
        <f t="shared" si="9"/>
        <v>0</v>
      </c>
      <c r="BN25" s="265">
        <f t="shared" si="10"/>
        <v>0</v>
      </c>
      <c r="BO25" s="265">
        <f t="shared" si="11"/>
        <v>0</v>
      </c>
      <c r="BP25" s="265">
        <f t="shared" si="12"/>
        <v>0</v>
      </c>
      <c r="BQ25" s="265">
        <f t="shared" si="13"/>
        <v>0</v>
      </c>
    </row>
    <row r="26" spans="1:69">
      <c r="A26" s="1"/>
      <c r="B26" s="277" t="s">
        <v>458</v>
      </c>
      <c r="C26" s="286">
        <f>10^5*((2*10^-5*ALK-T15*T11/10^(-1*PH)+10^(-1*PH)/T11)/(2*T13*T14*T11^2/10^(-2*PH)+T13*T11/10^(-1*PH))*(1+T13*T11/2/10^(-1*PH))+10^(-1*PH)/2/T11-T15*T11/2/10^(-1*PH))</f>
        <v>199.23701756972486</v>
      </c>
      <c r="D26" s="265" t="s">
        <v>14</v>
      </c>
      <c r="E26" s="265"/>
      <c r="F26" s="265" t="s">
        <v>459</v>
      </c>
      <c r="G26" s="265"/>
      <c r="H26" s="265"/>
      <c r="I26" s="265"/>
      <c r="J26" s="265"/>
      <c r="K26" s="280" t="e">
        <f t="shared" si="19"/>
        <v>#N/A</v>
      </c>
      <c r="L26" s="265" t="e">
        <f t="shared" si="20"/>
        <v>#N/A</v>
      </c>
      <c r="M26" s="265"/>
      <c r="N26" s="280" t="e">
        <f t="shared" si="15"/>
        <v>#N/A</v>
      </c>
      <c r="O26" s="280" t="e">
        <f t="shared" si="16"/>
        <v>#N/A</v>
      </c>
      <c r="P26" s="281" t="e">
        <f t="shared" si="17"/>
        <v>#N/A</v>
      </c>
      <c r="Q26" s="281" t="e">
        <f t="shared" si="18"/>
        <v>#N/A</v>
      </c>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79" t="s">
        <v>396</v>
      </c>
      <c r="BC26" s="265"/>
      <c r="BD26" s="265">
        <f t="shared" si="7"/>
        <v>1</v>
      </c>
      <c r="BE26" s="265">
        <f t="shared" si="14"/>
        <v>9</v>
      </c>
      <c r="BF26" s="265" t="s">
        <v>460</v>
      </c>
      <c r="BG26" s="265">
        <v>0.6</v>
      </c>
      <c r="BH26" s="265">
        <v>0.6</v>
      </c>
      <c r="BI26" s="265">
        <v>0</v>
      </c>
      <c r="BJ26" s="265">
        <v>0</v>
      </c>
      <c r="BK26" s="265">
        <v>0</v>
      </c>
      <c r="BL26" s="265">
        <f t="shared" si="8"/>
        <v>0</v>
      </c>
      <c r="BM26" s="265">
        <f t="shared" si="9"/>
        <v>0</v>
      </c>
      <c r="BN26" s="265">
        <f t="shared" si="10"/>
        <v>0</v>
      </c>
      <c r="BO26" s="265">
        <f t="shared" si="11"/>
        <v>0</v>
      </c>
      <c r="BP26" s="265">
        <f t="shared" si="12"/>
        <v>0</v>
      </c>
      <c r="BQ26" s="265">
        <f t="shared" si="13"/>
        <v>0</v>
      </c>
    </row>
    <row r="27" spans="1:69">
      <c r="A27" s="1"/>
      <c r="B27" s="277" t="s">
        <v>461</v>
      </c>
      <c r="C27" s="286">
        <f>5*10^9*T16/T14*10^-PH/T11/ALK</f>
        <v>449.85237836536527</v>
      </c>
      <c r="D27" s="265" t="s">
        <v>14</v>
      </c>
      <c r="E27" s="265"/>
      <c r="F27" s="277" t="s">
        <v>462</v>
      </c>
      <c r="G27" s="288" t="e">
        <f>IF(G20&lt;=0,"N/A",Q42)</f>
        <v>#N/A</v>
      </c>
      <c r="H27" s="265" t="s">
        <v>14</v>
      </c>
      <c r="I27" s="265"/>
      <c r="J27" s="265"/>
      <c r="K27" s="280" t="e">
        <f t="shared" si="19"/>
        <v>#N/A</v>
      </c>
      <c r="L27" s="265" t="e">
        <f t="shared" si="20"/>
        <v>#N/A</v>
      </c>
      <c r="M27" s="265"/>
      <c r="N27" s="280" t="e">
        <f t="shared" si="15"/>
        <v>#N/A</v>
      </c>
      <c r="O27" s="280" t="e">
        <f t="shared" si="16"/>
        <v>#N/A</v>
      </c>
      <c r="P27" s="281" t="e">
        <f t="shared" si="17"/>
        <v>#N/A</v>
      </c>
      <c r="Q27" s="281" t="e">
        <f t="shared" si="18"/>
        <v>#N/A</v>
      </c>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79" t="s">
        <v>404</v>
      </c>
      <c r="BC27" s="265"/>
      <c r="BD27" s="265">
        <f t="shared" si="7"/>
        <v>0</v>
      </c>
      <c r="BE27" s="265">
        <f t="shared" si="14"/>
        <v>9</v>
      </c>
      <c r="BF27" s="265" t="s">
        <v>463</v>
      </c>
      <c r="BG27" s="265">
        <v>0.67</v>
      </c>
      <c r="BH27" s="265">
        <v>-0.67</v>
      </c>
      <c r="BI27" s="265">
        <v>0</v>
      </c>
      <c r="BJ27" s="265">
        <v>0</v>
      </c>
      <c r="BK27" s="265">
        <v>0</v>
      </c>
      <c r="BL27" s="265">
        <f t="shared" si="8"/>
        <v>0</v>
      </c>
      <c r="BM27" s="265">
        <f t="shared" si="9"/>
        <v>0</v>
      </c>
      <c r="BN27" s="265">
        <f t="shared" si="10"/>
        <v>0</v>
      </c>
      <c r="BO27" s="265">
        <f t="shared" si="11"/>
        <v>0</v>
      </c>
      <c r="BP27" s="265">
        <f t="shared" si="12"/>
        <v>0</v>
      </c>
      <c r="BQ27" s="265">
        <f t="shared" si="13"/>
        <v>0</v>
      </c>
    </row>
    <row r="28" spans="1:69">
      <c r="A28" s="1"/>
      <c r="B28" s="277" t="s">
        <v>464</v>
      </c>
      <c r="C28" s="286">
        <f>C26+ALK</f>
        <v>350.23701756972486</v>
      </c>
      <c r="D28" s="265" t="s">
        <v>14</v>
      </c>
      <c r="E28" s="265"/>
      <c r="F28" s="277" t="s">
        <v>465</v>
      </c>
      <c r="G28" s="288" t="e">
        <f>IF(G20&lt;=0,"N/A",P42)</f>
        <v>#N/A</v>
      </c>
      <c r="H28" s="265" t="s">
        <v>14</v>
      </c>
      <c r="I28" s="265"/>
      <c r="J28" s="265"/>
      <c r="K28" s="280" t="e">
        <f t="shared" si="19"/>
        <v>#N/A</v>
      </c>
      <c r="L28" s="265" t="e">
        <f t="shared" si="20"/>
        <v>#N/A</v>
      </c>
      <c r="M28" s="265"/>
      <c r="N28" s="280" t="e">
        <f t="shared" si="15"/>
        <v>#N/A</v>
      </c>
      <c r="O28" s="280" t="e">
        <f t="shared" si="16"/>
        <v>#N/A</v>
      </c>
      <c r="P28" s="281" t="e">
        <f t="shared" si="17"/>
        <v>#N/A</v>
      </c>
      <c r="Q28" s="281" t="e">
        <f t="shared" si="18"/>
        <v>#N/A</v>
      </c>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79" t="s">
        <v>466</v>
      </c>
      <c r="BC28" s="265"/>
      <c r="BD28" s="265">
        <f t="shared" si="7"/>
        <v>1</v>
      </c>
      <c r="BE28" s="265">
        <f t="shared" si="14"/>
        <v>10</v>
      </c>
      <c r="BF28" s="265" t="s">
        <v>467</v>
      </c>
      <c r="BG28" s="265">
        <v>-1.02</v>
      </c>
      <c r="BH28" s="265">
        <v>1.02</v>
      </c>
      <c r="BI28" s="265">
        <v>0</v>
      </c>
      <c r="BJ28" s="265">
        <v>0</v>
      </c>
      <c r="BK28" s="265">
        <v>0.98</v>
      </c>
      <c r="BL28" s="265">
        <f t="shared" si="8"/>
        <v>0</v>
      </c>
      <c r="BM28" s="265">
        <f t="shared" si="9"/>
        <v>0</v>
      </c>
      <c r="BN28" s="265">
        <f t="shared" si="10"/>
        <v>0</v>
      </c>
      <c r="BO28" s="265">
        <f t="shared" si="11"/>
        <v>0</v>
      </c>
      <c r="BP28" s="265">
        <f t="shared" si="12"/>
        <v>0</v>
      </c>
      <c r="BQ28" s="265">
        <f t="shared" si="13"/>
        <v>0</v>
      </c>
    </row>
    <row r="29" spans="1:69">
      <c r="A29" s="1"/>
      <c r="B29" s="265"/>
      <c r="C29" s="277"/>
      <c r="D29" s="265"/>
      <c r="E29" s="265"/>
      <c r="F29" s="277" t="s">
        <v>468</v>
      </c>
      <c r="G29" s="288" t="e">
        <f>IF(G20&lt;=0,"N/A",+C31)</f>
        <v>#N/A</v>
      </c>
      <c r="H29" s="265" t="s">
        <v>14</v>
      </c>
      <c r="I29" s="265"/>
      <c r="J29" s="265"/>
      <c r="K29" s="280" t="e">
        <f t="shared" si="19"/>
        <v>#N/A</v>
      </c>
      <c r="L29" s="265" t="e">
        <f t="shared" si="20"/>
        <v>#N/A</v>
      </c>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79" t="s">
        <v>404</v>
      </c>
      <c r="BC29" s="265"/>
      <c r="BD29" s="265">
        <f t="shared" si="7"/>
        <v>0</v>
      </c>
      <c r="BE29" s="265">
        <f t="shared" si="14"/>
        <v>10</v>
      </c>
      <c r="BF29" s="265" t="s">
        <v>469</v>
      </c>
      <c r="BG29" s="265">
        <v>-0.35</v>
      </c>
      <c r="BH29" s="265">
        <v>0.35</v>
      </c>
      <c r="BI29" s="265">
        <v>0</v>
      </c>
      <c r="BJ29" s="265">
        <v>0</v>
      </c>
      <c r="BK29" s="265">
        <v>0.33</v>
      </c>
      <c r="BL29" s="265">
        <f t="shared" si="8"/>
        <v>0</v>
      </c>
      <c r="BM29" s="265">
        <f t="shared" si="9"/>
        <v>0</v>
      </c>
      <c r="BN29" s="265">
        <f t="shared" si="10"/>
        <v>0</v>
      </c>
      <c r="BO29" s="265">
        <f t="shared" si="11"/>
        <v>0</v>
      </c>
      <c r="BP29" s="265">
        <f t="shared" si="12"/>
        <v>0</v>
      </c>
      <c r="BQ29" s="265">
        <f t="shared" si="13"/>
        <v>0</v>
      </c>
    </row>
    <row r="30" spans="1:69">
      <c r="A30" s="1"/>
      <c r="B30" s="265" t="s">
        <v>434</v>
      </c>
      <c r="C30" s="277"/>
      <c r="D30" s="265"/>
      <c r="E30" s="265"/>
      <c r="F30" s="277" t="s">
        <v>470</v>
      </c>
      <c r="G30" s="280" t="e">
        <f>IF(G20&lt;=0,"N/A",O42)</f>
        <v>#N/A</v>
      </c>
      <c r="H30" s="265"/>
      <c r="I30" s="265"/>
      <c r="J30" s="265"/>
      <c r="K30" s="280" t="e">
        <f t="shared" si="19"/>
        <v>#N/A</v>
      </c>
      <c r="L30" s="265" t="e">
        <f t="shared" si="20"/>
        <v>#N/A</v>
      </c>
      <c r="M30" s="265"/>
      <c r="N30" s="280" t="e">
        <f t="shared" ref="N30:N40" si="21">10^5*((2*10^-5*Q30-$T$15*$T$11/10^(-1*O30)+10^(-1*O30)/$T$11)/(2*$T$13*$T$14*$T$11^2/10^(-2*O30)+$T$13*$T$11/10^(-1*O30))*(1+$T$13*$T$11/2/10^(-1*O30))+10^(-1*O30)/2/$T$11-$T$15*$T$11/2/10^(-1*O30))</f>
        <v>#N/A</v>
      </c>
      <c r="O30" s="280" t="e">
        <f t="shared" ref="O30:O40" si="22">LOG10($T$16)-LOG10(P30*10^(-5))-LOG10($T$14)-LOG10(2*10^(-5)*Q30)-LOG10($T$11)</f>
        <v>#N/A</v>
      </c>
      <c r="P30" s="281" t="e">
        <f t="shared" ref="P30:P40" si="23">IF(+Q30-$C$19+$C$20&lt;=0.01,0.01,+Q30-$C$19+$C$20)</f>
        <v>#N/A</v>
      </c>
      <c r="Q30" s="281" t="e">
        <f>VLOOKUP(C31,N18:Q28,4)</f>
        <v>#N/A</v>
      </c>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79" t="s">
        <v>404</v>
      </c>
      <c r="BC30" s="265"/>
      <c r="BD30" s="265">
        <f t="shared" si="7"/>
        <v>0</v>
      </c>
      <c r="BE30" s="265">
        <f t="shared" si="14"/>
        <v>10</v>
      </c>
      <c r="BF30" s="279" t="s">
        <v>471</v>
      </c>
      <c r="BG30" s="265"/>
      <c r="BH30" s="265"/>
      <c r="BI30" s="265"/>
      <c r="BJ30" s="265"/>
      <c r="BK30" s="265"/>
      <c r="BL30" s="265">
        <f t="shared" si="8"/>
        <v>0</v>
      </c>
      <c r="BM30" s="265">
        <f t="shared" si="9"/>
        <v>0</v>
      </c>
      <c r="BN30" s="265">
        <f t="shared" si="10"/>
        <v>0</v>
      </c>
      <c r="BO30" s="265">
        <f t="shared" si="11"/>
        <v>0</v>
      </c>
      <c r="BP30" s="265">
        <f t="shared" si="12"/>
        <v>0</v>
      </c>
      <c r="BQ30" s="265">
        <f t="shared" si="13"/>
        <v>0</v>
      </c>
    </row>
    <row r="31" spans="1:69">
      <c r="A31" s="1"/>
      <c r="B31" s="277" t="s">
        <v>472</v>
      </c>
      <c r="C31" s="286" t="e">
        <f>C26+BN33</f>
        <v>#N/A</v>
      </c>
      <c r="D31" s="265" t="s">
        <v>14</v>
      </c>
      <c r="E31" s="265"/>
      <c r="F31" s="277" t="s">
        <v>473</v>
      </c>
      <c r="G31" s="288" t="e">
        <f>IF(G20&lt;=0,"N/A",G29+G27)</f>
        <v>#N/A</v>
      </c>
      <c r="H31" s="265" t="s">
        <v>14</v>
      </c>
      <c r="I31" s="265"/>
      <c r="J31" s="265"/>
      <c r="K31" s="265"/>
      <c r="L31" s="265"/>
      <c r="M31" s="265"/>
      <c r="N31" s="280" t="e">
        <f t="shared" si="21"/>
        <v>#N/A</v>
      </c>
      <c r="O31" s="280" t="e">
        <f t="shared" si="22"/>
        <v>#N/A</v>
      </c>
      <c r="P31" s="281" t="e">
        <f t="shared" si="23"/>
        <v>#N/A</v>
      </c>
      <c r="Q31" s="281" t="e">
        <f t="shared" ref="Q31:Q40" si="24">Q30+(Q$15-1)/1000</f>
        <v>#N/A</v>
      </c>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79" t="s">
        <v>404</v>
      </c>
      <c r="BC31" s="265"/>
      <c r="BD31" s="265">
        <f t="shared" si="7"/>
        <v>0</v>
      </c>
      <c r="BE31" s="265">
        <f t="shared" si="14"/>
        <v>10</v>
      </c>
      <c r="BF31" s="279" t="s">
        <v>471</v>
      </c>
      <c r="BG31" s="265"/>
      <c r="BH31" s="265"/>
      <c r="BI31" s="265"/>
      <c r="BJ31" s="265"/>
      <c r="BK31" s="265"/>
      <c r="BL31" s="265">
        <f t="shared" si="8"/>
        <v>0</v>
      </c>
      <c r="BM31" s="265">
        <f t="shared" si="9"/>
        <v>0</v>
      </c>
      <c r="BN31" s="265">
        <f t="shared" si="10"/>
        <v>0</v>
      </c>
      <c r="BO31" s="265">
        <f t="shared" si="11"/>
        <v>0</v>
      </c>
      <c r="BP31" s="265">
        <f t="shared" si="12"/>
        <v>0</v>
      </c>
      <c r="BQ31" s="265">
        <f t="shared" si="13"/>
        <v>0</v>
      </c>
    </row>
    <row r="32" spans="1:69">
      <c r="A32" s="1"/>
      <c r="B32" s="277" t="s">
        <v>474</v>
      </c>
      <c r="C32" s="286" t="e">
        <f>5*10^9*T16/T14*10^-G19/T11/C19</f>
        <v>#N/A</v>
      </c>
      <c r="D32" s="265" t="s">
        <v>14</v>
      </c>
      <c r="E32" s="265"/>
      <c r="F32" s="265"/>
      <c r="G32" s="265"/>
      <c r="H32" s="265"/>
      <c r="I32" s="265"/>
      <c r="J32" s="265"/>
      <c r="K32" s="280" t="e">
        <f t="shared" ref="K32:K42" si="25">10^5*((2*10^-5*$C$19-$T$15*$T$11/10^(-1*L32)+10^(-1*L32)/$T$11)/(2*$T$13*$T$14*$T$11^2/10^(-2*L32)+$T$13*$T$11/10^(-1*L32))*(1+$T$13*$T$11/2/10^(-1*L32))+10^(-1*L32)/2/$T$11-$T$15*$T$11/2/10^(-1*L32))</f>
        <v>#N/A</v>
      </c>
      <c r="L32" s="265" t="e">
        <f>VLOOKUP(C31,K20:L30,2)</f>
        <v>#N/A</v>
      </c>
      <c r="M32" s="265"/>
      <c r="N32" s="280" t="e">
        <f t="shared" si="21"/>
        <v>#N/A</v>
      </c>
      <c r="O32" s="280" t="e">
        <f t="shared" si="22"/>
        <v>#N/A</v>
      </c>
      <c r="P32" s="281" t="e">
        <f t="shared" si="23"/>
        <v>#N/A</v>
      </c>
      <c r="Q32" s="281" t="e">
        <f t="shared" si="24"/>
        <v>#N/A</v>
      </c>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f>SUM(BD7:BD31)</f>
        <v>10</v>
      </c>
      <c r="BE32" s="265"/>
      <c r="BF32" s="265" t="s">
        <v>475</v>
      </c>
      <c r="BG32" s="265"/>
      <c r="BH32" s="265"/>
      <c r="BI32" s="265"/>
      <c r="BJ32" s="265"/>
      <c r="BK32" s="265"/>
      <c r="BL32" s="265"/>
      <c r="BM32" s="265"/>
      <c r="BN32" s="265"/>
      <c r="BO32" s="265"/>
      <c r="BP32" s="265"/>
      <c r="BQ32" s="265"/>
    </row>
    <row r="33" spans="1:69">
      <c r="A33" s="1"/>
      <c r="B33" s="277" t="s">
        <v>476</v>
      </c>
      <c r="C33" s="287" t="e">
        <f>2*$O$16-G19</f>
        <v>#N/A</v>
      </c>
      <c r="D33" s="265"/>
      <c r="E33" s="265"/>
      <c r="F33" s="265"/>
      <c r="G33" s="265"/>
      <c r="H33" s="265"/>
      <c r="I33" s="265"/>
      <c r="J33" s="265"/>
      <c r="K33" s="280" t="e">
        <f t="shared" si="25"/>
        <v>#N/A</v>
      </c>
      <c r="L33" s="265" t="e">
        <f t="shared" ref="L33:L42" si="26">L32-0.01</f>
        <v>#N/A</v>
      </c>
      <c r="M33" s="265"/>
      <c r="N33" s="280" t="e">
        <f t="shared" si="21"/>
        <v>#N/A</v>
      </c>
      <c r="O33" s="280" t="e">
        <f t="shared" si="22"/>
        <v>#N/A</v>
      </c>
      <c r="P33" s="281" t="e">
        <f t="shared" si="23"/>
        <v>#N/A</v>
      </c>
      <c r="Q33" s="281" t="e">
        <f t="shared" si="24"/>
        <v>#N/A</v>
      </c>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t="str">
        <f>IF(BD32&gt;10,"        TOO MANY"," ")</f>
        <v xml:space="preserve"> </v>
      </c>
      <c r="BB33" s="265"/>
      <c r="BC33" s="265"/>
      <c r="BD33" s="265"/>
      <c r="BE33" s="265"/>
      <c r="BF33" s="265"/>
      <c r="BG33" s="265"/>
      <c r="BH33" s="265"/>
      <c r="BI33" s="265"/>
      <c r="BJ33" s="265"/>
      <c r="BK33" s="265"/>
      <c r="BL33" s="265"/>
      <c r="BM33" s="265" t="e">
        <f>SUM(BM7:BM31)</f>
        <v>#N/A</v>
      </c>
      <c r="BN33" s="265" t="e">
        <f>SUM(BN7:BN31)</f>
        <v>#N/A</v>
      </c>
      <c r="BO33" s="265" t="e">
        <f>SUM(BO7:BO31)</f>
        <v>#N/A</v>
      </c>
      <c r="BP33" s="265" t="e">
        <f>SUM(BP7:BP31)</f>
        <v>#N/A</v>
      </c>
      <c r="BQ33" s="265" t="e">
        <f>SUM(BQ7:BQ31)</f>
        <v>#N/A</v>
      </c>
    </row>
    <row r="34" spans="1:69">
      <c r="A34" s="1"/>
      <c r="B34" s="277" t="s">
        <v>477</v>
      </c>
      <c r="C34" s="286" t="e">
        <f>C31+C19</f>
        <v>#N/A</v>
      </c>
      <c r="D34" s="265" t="s">
        <v>14</v>
      </c>
      <c r="E34" s="265"/>
      <c r="F34" s="265" t="s">
        <v>478</v>
      </c>
      <c r="G34" s="265"/>
      <c r="H34" s="265"/>
      <c r="I34" s="265"/>
      <c r="J34" s="265"/>
      <c r="K34" s="280" t="e">
        <f t="shared" si="25"/>
        <v>#N/A</v>
      </c>
      <c r="L34" s="265" t="e">
        <f t="shared" si="26"/>
        <v>#N/A</v>
      </c>
      <c r="M34" s="265"/>
      <c r="N34" s="280" t="e">
        <f t="shared" si="21"/>
        <v>#N/A</v>
      </c>
      <c r="O34" s="280" t="e">
        <f t="shared" si="22"/>
        <v>#N/A</v>
      </c>
      <c r="P34" s="281" t="e">
        <f t="shared" si="23"/>
        <v>#N/A</v>
      </c>
      <c r="Q34" s="281" t="e">
        <f t="shared" si="24"/>
        <v>#N/A</v>
      </c>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t="s">
        <v>479</v>
      </c>
      <c r="BG34" s="265"/>
      <c r="BH34" s="265"/>
      <c r="BI34" s="265"/>
      <c r="BJ34" s="265"/>
      <c r="BK34" s="265"/>
      <c r="BL34" s="265"/>
      <c r="BM34" s="265"/>
      <c r="BN34" s="265"/>
      <c r="BO34" s="265"/>
      <c r="BP34" s="265"/>
      <c r="BQ34" s="265"/>
    </row>
    <row r="35" spans="1:69">
      <c r="A35" s="1"/>
      <c r="B35" s="277" t="s">
        <v>480</v>
      </c>
      <c r="C35" s="287" t="e">
        <f>G19+LOG10(C19*C20)</f>
        <v>#N/A</v>
      </c>
      <c r="D35" s="265"/>
      <c r="E35" s="265"/>
      <c r="F35" s="265" t="s">
        <v>481</v>
      </c>
      <c r="G35" s="265"/>
      <c r="H35" s="265"/>
      <c r="I35" s="265"/>
      <c r="J35" s="265"/>
      <c r="K35" s="280" t="e">
        <f t="shared" si="25"/>
        <v>#N/A</v>
      </c>
      <c r="L35" s="265" t="e">
        <f t="shared" si="26"/>
        <v>#N/A</v>
      </c>
      <c r="M35" s="265"/>
      <c r="N35" s="280" t="e">
        <f t="shared" si="21"/>
        <v>#N/A</v>
      </c>
      <c r="O35" s="280" t="e">
        <f t="shared" si="22"/>
        <v>#N/A</v>
      </c>
      <c r="P35" s="281" t="e">
        <f t="shared" si="23"/>
        <v>#N/A</v>
      </c>
      <c r="Q35" s="281" t="e">
        <f t="shared" si="24"/>
        <v>#N/A</v>
      </c>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row>
    <row r="36" spans="1:69">
      <c r="A36" s="1"/>
      <c r="B36" s="265"/>
      <c r="C36" s="277"/>
      <c r="D36" s="265"/>
      <c r="E36" s="265"/>
      <c r="F36" s="265" t="s">
        <v>482</v>
      </c>
      <c r="G36" s="265"/>
      <c r="H36" s="265"/>
      <c r="I36" s="265"/>
      <c r="J36" s="265"/>
      <c r="K36" s="280" t="e">
        <f t="shared" si="25"/>
        <v>#N/A</v>
      </c>
      <c r="L36" s="265" t="e">
        <f t="shared" si="26"/>
        <v>#N/A</v>
      </c>
      <c r="M36" s="265"/>
      <c r="N36" s="280" t="e">
        <f t="shared" si="21"/>
        <v>#N/A</v>
      </c>
      <c r="O36" s="280" t="e">
        <f t="shared" si="22"/>
        <v>#N/A</v>
      </c>
      <c r="P36" s="281" t="e">
        <f t="shared" si="23"/>
        <v>#N/A</v>
      </c>
      <c r="Q36" s="281" t="e">
        <f t="shared" si="24"/>
        <v>#N/A</v>
      </c>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row>
    <row r="37" spans="1:69">
      <c r="A37" s="1"/>
      <c r="B37" s="265" t="s">
        <v>483</v>
      </c>
      <c r="C37" s="277"/>
      <c r="D37" s="265"/>
      <c r="E37" s="265"/>
      <c r="F37" s="265" t="s">
        <v>484</v>
      </c>
      <c r="G37" s="265"/>
      <c r="H37" s="265"/>
      <c r="I37" s="265"/>
      <c r="J37" s="265"/>
      <c r="K37" s="280" t="e">
        <f t="shared" si="25"/>
        <v>#N/A</v>
      </c>
      <c r="L37" s="265" t="e">
        <f t="shared" si="26"/>
        <v>#N/A</v>
      </c>
      <c r="M37" s="265"/>
      <c r="N37" s="280" t="e">
        <f t="shared" si="21"/>
        <v>#N/A</v>
      </c>
      <c r="O37" s="280" t="e">
        <f t="shared" si="22"/>
        <v>#N/A</v>
      </c>
      <c r="P37" s="281" t="e">
        <f t="shared" si="23"/>
        <v>#N/A</v>
      </c>
      <c r="Q37" s="281" t="e">
        <f t="shared" si="24"/>
        <v>#N/A</v>
      </c>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row>
    <row r="38" spans="1:69">
      <c r="A38" s="1"/>
      <c r="B38" s="265" t="s">
        <v>485</v>
      </c>
      <c r="C38" s="277"/>
      <c r="D38" s="265"/>
      <c r="E38" s="265"/>
      <c r="F38" s="265"/>
      <c r="G38" s="265"/>
      <c r="H38" s="265"/>
      <c r="I38" s="265"/>
      <c r="J38" s="265"/>
      <c r="K38" s="280" t="e">
        <f t="shared" si="25"/>
        <v>#N/A</v>
      </c>
      <c r="L38" s="265" t="e">
        <f t="shared" si="26"/>
        <v>#N/A</v>
      </c>
      <c r="M38" s="265"/>
      <c r="N38" s="280" t="e">
        <f t="shared" si="21"/>
        <v>#N/A</v>
      </c>
      <c r="O38" s="280" t="e">
        <f t="shared" si="22"/>
        <v>#N/A</v>
      </c>
      <c r="P38" s="281" t="e">
        <f t="shared" si="23"/>
        <v>#N/A</v>
      </c>
      <c r="Q38" s="281" t="e">
        <f t="shared" si="24"/>
        <v>#N/A</v>
      </c>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5"/>
      <c r="BP38" s="265"/>
      <c r="BQ38" s="265"/>
    </row>
    <row r="39" spans="1:69">
      <c r="A39" s="1"/>
      <c r="B39" s="265" t="s">
        <v>486</v>
      </c>
      <c r="C39" s="277"/>
      <c r="D39" s="280" t="str">
        <f>IF(OR(OR(ISTEXT(C12)=1,ISTEXT(C13)=1),C13=0),"N/A",((C13)^-0.812*C12^2.544/G19^2.544)^-1.232)</f>
        <v>N/A</v>
      </c>
      <c r="E39" s="265" t="s">
        <v>14</v>
      </c>
      <c r="F39" s="265"/>
      <c r="G39" s="265"/>
      <c r="H39" s="265"/>
      <c r="I39" s="265"/>
      <c r="J39" s="265"/>
      <c r="K39" s="280" t="e">
        <f t="shared" si="25"/>
        <v>#N/A</v>
      </c>
      <c r="L39" s="265" t="e">
        <f t="shared" si="26"/>
        <v>#N/A</v>
      </c>
      <c r="M39" s="265"/>
      <c r="N39" s="280" t="e">
        <f t="shared" si="21"/>
        <v>#N/A</v>
      </c>
      <c r="O39" s="280" t="e">
        <f t="shared" si="22"/>
        <v>#N/A</v>
      </c>
      <c r="P39" s="281" t="e">
        <f t="shared" si="23"/>
        <v>#N/A</v>
      </c>
      <c r="Q39" s="281" t="e">
        <f t="shared" si="24"/>
        <v>#N/A</v>
      </c>
      <c r="R39" s="265"/>
      <c r="S39" s="265"/>
      <c r="T39" s="265"/>
      <c r="U39" s="265"/>
      <c r="V39" s="265"/>
      <c r="W39" s="265"/>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c r="BF39" s="265"/>
      <c r="BG39" s="265"/>
      <c r="BH39" s="265"/>
      <c r="BI39" s="265"/>
      <c r="BJ39" s="265"/>
      <c r="BK39" s="265"/>
      <c r="BL39" s="265"/>
      <c r="BM39" s="265"/>
      <c r="BN39" s="265"/>
      <c r="BO39" s="265"/>
      <c r="BP39" s="265"/>
      <c r="BQ39" s="265"/>
    </row>
    <row r="40" spans="1:69">
      <c r="A40" s="1"/>
      <c r="B40" s="265" t="s">
        <v>487</v>
      </c>
      <c r="C40" s="277"/>
      <c r="D40" s="265"/>
      <c r="E40" s="265"/>
      <c r="F40" s="265"/>
      <c r="G40" s="288" t="str">
        <f>IF(OR(OR(ISTEXT(C12)=1,ISTEXT(C15)=1),C15=0),"N/A",100*(((BL12*0.992+BL27*0.954+BL15)^0.409*(G19-2.6)^0.715)/((C15)^0.409*(C12-2.6)^0.715)-1))</f>
        <v>N/A</v>
      </c>
      <c r="H40" s="265" t="s">
        <v>15</v>
      </c>
      <c r="I40" s="265"/>
      <c r="J40" s="265"/>
      <c r="K40" s="280" t="e">
        <f t="shared" si="25"/>
        <v>#N/A</v>
      </c>
      <c r="L40" s="265" t="e">
        <f t="shared" si="26"/>
        <v>#N/A</v>
      </c>
      <c r="M40" s="265"/>
      <c r="N40" s="280" t="e">
        <f t="shared" si="21"/>
        <v>#N/A</v>
      </c>
      <c r="O40" s="280" t="e">
        <f t="shared" si="22"/>
        <v>#N/A</v>
      </c>
      <c r="P40" s="281" t="e">
        <f t="shared" si="23"/>
        <v>#N/A</v>
      </c>
      <c r="Q40" s="281" t="e">
        <f t="shared" si="24"/>
        <v>#N/A</v>
      </c>
      <c r="R40" s="265"/>
      <c r="S40" s="265"/>
      <c r="T40" s="265"/>
      <c r="U40" s="265"/>
      <c r="V40" s="265"/>
      <c r="W40" s="265"/>
      <c r="X40" s="265"/>
      <c r="Y40" s="265"/>
      <c r="Z40" s="265"/>
      <c r="AA40" s="265"/>
      <c r="AB40" s="265"/>
      <c r="AC40" s="265"/>
      <c r="AD40" s="265"/>
      <c r="AE40" s="265"/>
      <c r="AF40" s="265"/>
      <c r="AG40" s="265"/>
      <c r="AH40" s="265"/>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65"/>
      <c r="BF40" s="265"/>
      <c r="BG40" s="265"/>
      <c r="BH40" s="265"/>
      <c r="BI40" s="265"/>
      <c r="BJ40" s="265"/>
      <c r="BK40" s="265"/>
      <c r="BL40" s="265"/>
      <c r="BM40" s="265"/>
      <c r="BN40" s="265"/>
      <c r="BO40" s="265"/>
      <c r="BP40" s="265"/>
      <c r="BQ40" s="265"/>
    </row>
    <row r="41" spans="1:69">
      <c r="A41" s="1"/>
      <c r="B41" s="265"/>
      <c r="C41" s="277"/>
      <c r="D41" s="265"/>
      <c r="E41" s="265"/>
      <c r="F41" s="265"/>
      <c r="G41" s="265"/>
      <c r="H41" s="265"/>
      <c r="I41" s="265"/>
      <c r="J41" s="265"/>
      <c r="K41" s="280" t="e">
        <f t="shared" si="25"/>
        <v>#N/A</v>
      </c>
      <c r="L41" s="265" t="e">
        <f t="shared" si="26"/>
        <v>#N/A</v>
      </c>
      <c r="M41" s="265"/>
      <c r="N41" s="265"/>
      <c r="O41" s="265"/>
      <c r="P41" s="265"/>
      <c r="Q41" s="265"/>
      <c r="R41" s="265"/>
      <c r="S41" s="265"/>
      <c r="T41" s="265"/>
      <c r="U41" s="265"/>
      <c r="V41" s="265"/>
      <c r="W41" s="265"/>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65"/>
      <c r="BF41" s="265"/>
      <c r="BG41" s="265"/>
      <c r="BH41" s="265"/>
      <c r="BI41" s="265"/>
      <c r="BJ41" s="265"/>
      <c r="BK41" s="265"/>
      <c r="BL41" s="265"/>
      <c r="BM41" s="265"/>
      <c r="BN41" s="265"/>
      <c r="BO41" s="265"/>
      <c r="BP41" s="265"/>
      <c r="BQ41" s="265"/>
    </row>
    <row r="42" spans="1:69">
      <c r="A42" s="1"/>
      <c r="B42" s="265" t="s">
        <v>488</v>
      </c>
      <c r="C42" s="277"/>
      <c r="D42" s="265"/>
      <c r="E42" s="265"/>
      <c r="F42" s="265"/>
      <c r="G42" s="265"/>
      <c r="H42" s="265"/>
      <c r="I42" s="265"/>
      <c r="J42" s="265"/>
      <c r="K42" s="280" t="e">
        <f t="shared" si="25"/>
        <v>#N/A</v>
      </c>
      <c r="L42" s="265" t="e">
        <f t="shared" si="26"/>
        <v>#N/A</v>
      </c>
      <c r="M42" s="265"/>
      <c r="N42" s="265"/>
      <c r="O42" s="280" t="e">
        <f>LOG10($T$16)-LOG10(P42*10^(-5))-LOG10($T$14)-LOG10(2*10^(-5)*Q42)-LOG10($T$11)</f>
        <v>#N/A</v>
      </c>
      <c r="P42" s="281" t="e">
        <f>Q42-$C$19+$C$20</f>
        <v>#N/A</v>
      </c>
      <c r="Q42" s="281" t="e">
        <f>VLOOKUP(C31,N30:Q40,4)</f>
        <v>#N/A</v>
      </c>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c r="BF42" s="265"/>
      <c r="BG42" s="265"/>
      <c r="BH42" s="265"/>
      <c r="BI42" s="265"/>
      <c r="BJ42" s="265"/>
      <c r="BK42" s="265"/>
      <c r="BL42" s="265"/>
      <c r="BM42" s="265"/>
      <c r="BN42" s="265"/>
      <c r="BO42" s="265"/>
      <c r="BP42" s="265"/>
      <c r="BQ42" s="265"/>
    </row>
    <row r="43" spans="1:69">
      <c r="A43" s="1"/>
      <c r="B43" s="265"/>
      <c r="C43" s="277"/>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c r="BF43" s="265"/>
      <c r="BG43" s="265"/>
      <c r="BH43" s="265"/>
      <c r="BI43" s="265"/>
      <c r="BJ43" s="265"/>
      <c r="BK43" s="265"/>
      <c r="BL43" s="265"/>
      <c r="BM43" s="265"/>
      <c r="BN43" s="265"/>
      <c r="BO43" s="265"/>
      <c r="BP43" s="265"/>
      <c r="BQ43" s="265"/>
    </row>
    <row r="44" spans="1:69">
      <c r="A44" s="1"/>
      <c r="B44" s="265"/>
      <c r="C44" s="277"/>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c r="BF44" s="265"/>
      <c r="BG44" s="265"/>
      <c r="BH44" s="265"/>
      <c r="BI44" s="265"/>
      <c r="BJ44" s="265"/>
      <c r="BK44" s="265"/>
      <c r="BL44" s="265"/>
      <c r="BM44" s="265"/>
      <c r="BN44" s="265"/>
      <c r="BO44" s="265"/>
      <c r="BP44" s="265"/>
      <c r="BQ44" s="265"/>
    </row>
    <row r="45" spans="1:69">
      <c r="A45" s="1"/>
      <c r="B45" s="265"/>
      <c r="C45" s="277"/>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65"/>
      <c r="BF45" s="265"/>
      <c r="BG45" s="265"/>
      <c r="BH45" s="265"/>
      <c r="BI45" s="265"/>
      <c r="BJ45" s="265"/>
      <c r="BK45" s="265"/>
      <c r="BL45" s="265"/>
      <c r="BM45" s="265"/>
      <c r="BN45" s="265"/>
      <c r="BO45" s="265"/>
      <c r="BP45" s="265"/>
      <c r="BQ45" s="265"/>
    </row>
    <row r="46" spans="1:69">
      <c r="A46" s="1"/>
      <c r="B46" s="265"/>
      <c r="C46" s="277"/>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65"/>
      <c r="BF46" s="265"/>
      <c r="BG46" s="265"/>
      <c r="BH46" s="265"/>
      <c r="BI46" s="265"/>
      <c r="BJ46" s="265"/>
      <c r="BK46" s="265"/>
      <c r="BL46" s="265"/>
      <c r="BM46" s="265"/>
      <c r="BN46" s="265"/>
      <c r="BO46" s="265"/>
      <c r="BP46" s="265"/>
      <c r="BQ46" s="265"/>
    </row>
    <row r="47" spans="1:69">
      <c r="A47" s="1"/>
      <c r="B47" s="265"/>
      <c r="C47" s="277"/>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65"/>
      <c r="BF47" s="265"/>
      <c r="BG47" s="265"/>
      <c r="BH47" s="265"/>
      <c r="BI47" s="265"/>
      <c r="BJ47" s="265"/>
      <c r="BK47" s="265"/>
      <c r="BL47" s="265"/>
      <c r="BM47" s="265"/>
      <c r="BN47" s="265"/>
      <c r="BO47" s="265"/>
      <c r="BP47" s="265"/>
      <c r="BQ47" s="265"/>
    </row>
    <row r="48" spans="1:69">
      <c r="A48" s="1"/>
      <c r="B48" s="265"/>
      <c r="C48" s="277"/>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65"/>
      <c r="BF48" s="265"/>
      <c r="BG48" s="265"/>
      <c r="BH48" s="265"/>
      <c r="BI48" s="265"/>
      <c r="BJ48" s="265"/>
      <c r="BK48" s="265"/>
      <c r="BL48" s="265"/>
      <c r="BM48" s="265"/>
      <c r="BN48" s="265"/>
      <c r="BO48" s="265"/>
      <c r="BP48" s="265"/>
      <c r="BQ48" s="265"/>
    </row>
    <row r="49" spans="1:69">
      <c r="A49" s="1"/>
      <c r="B49" s="265"/>
      <c r="C49" s="277"/>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65"/>
      <c r="BB49" s="265"/>
      <c r="BC49" s="265"/>
      <c r="BD49" s="265"/>
      <c r="BE49" s="265"/>
      <c r="BF49" s="265"/>
      <c r="BG49" s="265"/>
      <c r="BH49" s="265"/>
      <c r="BI49" s="265"/>
      <c r="BJ49" s="265"/>
      <c r="BK49" s="265"/>
      <c r="BL49" s="265"/>
      <c r="BM49" s="265"/>
      <c r="BN49" s="265"/>
      <c r="BO49" s="265"/>
      <c r="BP49" s="265"/>
      <c r="BQ49" s="265"/>
    </row>
    <row r="50" spans="1:69">
      <c r="A50" s="1"/>
      <c r="B50" s="265"/>
      <c r="C50" s="277"/>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65"/>
      <c r="BB50" s="265"/>
      <c r="BC50" s="265"/>
      <c r="BD50" s="265"/>
      <c r="BE50" s="265"/>
      <c r="BF50" s="265"/>
      <c r="BG50" s="265"/>
      <c r="BH50" s="265"/>
      <c r="BI50" s="265"/>
      <c r="BJ50" s="265"/>
      <c r="BK50" s="265"/>
      <c r="BL50" s="265"/>
      <c r="BM50" s="265"/>
      <c r="BN50" s="265"/>
      <c r="BO50" s="265"/>
      <c r="BP50" s="265"/>
      <c r="BQ50" s="265"/>
    </row>
    <row r="51" spans="1:69">
      <c r="A51" s="1"/>
      <c r="B51" s="265"/>
      <c r="C51" s="277"/>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265"/>
      <c r="BD51" s="265"/>
      <c r="BE51" s="265"/>
      <c r="BF51" s="265"/>
      <c r="BG51" s="265"/>
      <c r="BH51" s="265"/>
      <c r="BI51" s="265"/>
      <c r="BJ51" s="265"/>
      <c r="BK51" s="265"/>
      <c r="BL51" s="265"/>
      <c r="BM51" s="265"/>
      <c r="BN51" s="265"/>
      <c r="BO51" s="265"/>
      <c r="BP51" s="265"/>
      <c r="BQ51" s="265"/>
    </row>
    <row r="52" spans="1:69">
      <c r="A52" s="1"/>
      <c r="B52" s="265"/>
      <c r="C52" s="277"/>
      <c r="D52" s="265"/>
      <c r="E52" s="265"/>
      <c r="F52" s="265"/>
      <c r="G52" s="265"/>
      <c r="H52" s="265"/>
      <c r="I52" s="265"/>
      <c r="J52" s="265"/>
      <c r="K52" s="265"/>
      <c r="L52" s="265"/>
      <c r="M52" s="265"/>
      <c r="N52" s="265"/>
      <c r="O52" s="265"/>
      <c r="P52" s="265"/>
      <c r="Q52" s="265"/>
      <c r="R52" s="265"/>
      <c r="S52" s="265"/>
      <c r="T52" s="265"/>
      <c r="U52" s="265"/>
      <c r="V52" s="265"/>
      <c r="W52" s="265"/>
      <c r="X52" s="265"/>
      <c r="Y52" s="265"/>
      <c r="Z52" s="265"/>
      <c r="AA52" s="265"/>
      <c r="AB52" s="265"/>
      <c r="AC52" s="265"/>
      <c r="AD52" s="265"/>
      <c r="AE52" s="265"/>
      <c r="AF52" s="265"/>
      <c r="AG52" s="265"/>
      <c r="AH52" s="265"/>
      <c r="AI52" s="265"/>
      <c r="AJ52" s="265"/>
      <c r="AK52" s="265"/>
      <c r="AL52" s="265"/>
      <c r="AM52" s="265"/>
      <c r="AN52" s="265"/>
      <c r="AO52" s="265"/>
      <c r="AP52" s="265"/>
      <c r="AQ52" s="265"/>
      <c r="AR52" s="265"/>
      <c r="AS52" s="265"/>
      <c r="AT52" s="265"/>
      <c r="AU52" s="265"/>
      <c r="AV52" s="265"/>
      <c r="AW52" s="265"/>
      <c r="AX52" s="265"/>
      <c r="AY52" s="265"/>
      <c r="AZ52" s="265"/>
      <c r="BA52" s="265"/>
      <c r="BB52" s="265"/>
      <c r="BC52" s="265"/>
      <c r="BD52" s="265"/>
      <c r="BE52" s="265"/>
      <c r="BF52" s="265"/>
      <c r="BG52" s="265"/>
      <c r="BH52" s="265"/>
      <c r="BI52" s="265"/>
      <c r="BJ52" s="265"/>
      <c r="BK52" s="265"/>
      <c r="BL52" s="265"/>
      <c r="BM52" s="265"/>
      <c r="BN52" s="265"/>
      <c r="BO52" s="265"/>
      <c r="BP52" s="265"/>
      <c r="BQ52" s="265"/>
    </row>
    <row r="53" spans="1:69">
      <c r="A53" s="1"/>
      <c r="B53" s="265"/>
      <c r="C53" s="277"/>
      <c r="D53" s="265"/>
      <c r="E53" s="265"/>
      <c r="F53" s="265"/>
      <c r="G53" s="265"/>
      <c r="H53" s="265"/>
      <c r="I53" s="265"/>
      <c r="J53" s="265"/>
      <c r="K53" s="265"/>
      <c r="L53" s="265"/>
      <c r="M53" s="265"/>
      <c r="N53" s="265"/>
      <c r="O53" s="265"/>
      <c r="P53" s="265"/>
      <c r="Q53" s="265"/>
      <c r="R53" s="265"/>
      <c r="S53" s="265"/>
      <c r="T53" s="265"/>
      <c r="U53" s="265"/>
      <c r="V53" s="265"/>
      <c r="W53" s="265"/>
      <c r="X53" s="265"/>
      <c r="Y53" s="265"/>
      <c r="Z53" s="265"/>
      <c r="AA53" s="265"/>
      <c r="AB53" s="265"/>
      <c r="AC53" s="265"/>
      <c r="AD53" s="265"/>
      <c r="AE53" s="265"/>
      <c r="AF53" s="265"/>
      <c r="AG53" s="265"/>
      <c r="AH53" s="265"/>
      <c r="AI53" s="265"/>
      <c r="AJ53" s="265"/>
      <c r="AK53" s="265"/>
      <c r="AL53" s="265"/>
      <c r="AM53" s="265"/>
      <c r="AN53" s="265"/>
      <c r="AO53" s="265"/>
      <c r="AP53" s="265"/>
      <c r="AQ53" s="265"/>
      <c r="AR53" s="265"/>
      <c r="AS53" s="265"/>
      <c r="AT53" s="265"/>
      <c r="AU53" s="265"/>
      <c r="AV53" s="265"/>
      <c r="AW53" s="265"/>
      <c r="AX53" s="265"/>
      <c r="AY53" s="265"/>
      <c r="AZ53" s="265"/>
      <c r="BA53" s="265"/>
      <c r="BB53" s="265"/>
      <c r="BC53" s="265"/>
      <c r="BD53" s="265"/>
      <c r="BE53" s="265"/>
      <c r="BF53" s="265"/>
      <c r="BG53" s="265"/>
      <c r="BH53" s="265"/>
      <c r="BI53" s="265"/>
      <c r="BJ53" s="265"/>
      <c r="BK53" s="265"/>
      <c r="BL53" s="265"/>
      <c r="BM53" s="265"/>
      <c r="BN53" s="265"/>
      <c r="BO53" s="265"/>
      <c r="BP53" s="265"/>
      <c r="BQ53" s="265"/>
    </row>
    <row r="54" spans="1:69">
      <c r="A54" s="1"/>
      <c r="B54" s="265"/>
      <c r="C54" s="277"/>
      <c r="D54" s="265"/>
      <c r="E54" s="265"/>
      <c r="F54" s="265"/>
      <c r="G54" s="265"/>
      <c r="H54" s="265"/>
      <c r="I54" s="265"/>
      <c r="J54" s="265"/>
      <c r="K54" s="265"/>
      <c r="L54" s="265"/>
      <c r="M54" s="265"/>
      <c r="N54" s="265"/>
      <c r="O54" s="265"/>
      <c r="P54" s="265"/>
      <c r="Q54" s="265"/>
      <c r="R54" s="265"/>
      <c r="S54" s="265"/>
      <c r="T54" s="265"/>
      <c r="U54" s="265"/>
      <c r="V54" s="265"/>
      <c r="W54" s="265"/>
      <c r="X54" s="265"/>
      <c r="Y54" s="265"/>
      <c r="Z54" s="265"/>
      <c r="AA54" s="265"/>
      <c r="AB54" s="265"/>
      <c r="AC54" s="265"/>
      <c r="AD54" s="265"/>
      <c r="AE54" s="265"/>
      <c r="AF54" s="265"/>
      <c r="AG54" s="265"/>
      <c r="AH54" s="265"/>
      <c r="AI54" s="265"/>
      <c r="AJ54" s="265"/>
      <c r="AK54" s="265"/>
      <c r="AL54" s="265"/>
      <c r="AM54" s="265"/>
      <c r="AN54" s="265"/>
      <c r="AO54" s="265"/>
      <c r="AP54" s="265"/>
      <c r="AQ54" s="265"/>
      <c r="AR54" s="265"/>
      <c r="AS54" s="265"/>
      <c r="AT54" s="265"/>
      <c r="AU54" s="265"/>
      <c r="AV54" s="265"/>
      <c r="AW54" s="265"/>
      <c r="AX54" s="265"/>
      <c r="AY54" s="265"/>
      <c r="AZ54" s="265"/>
      <c r="BA54" s="265"/>
      <c r="BB54" s="265"/>
      <c r="BC54" s="265"/>
      <c r="BD54" s="265"/>
      <c r="BE54" s="265"/>
      <c r="BF54" s="265"/>
      <c r="BG54" s="265"/>
      <c r="BH54" s="265"/>
      <c r="BI54" s="265"/>
      <c r="BJ54" s="265"/>
      <c r="BK54" s="265"/>
      <c r="BL54" s="265"/>
      <c r="BM54" s="265"/>
      <c r="BN54" s="265"/>
      <c r="BO54" s="265"/>
      <c r="BP54" s="265"/>
      <c r="BQ54" s="265"/>
    </row>
    <row r="55" spans="1:69">
      <c r="A55" s="1"/>
      <c r="B55" s="265"/>
      <c r="C55" s="277"/>
      <c r="D55" s="265"/>
      <c r="E55" s="265"/>
      <c r="F55" s="265"/>
      <c r="G55" s="265"/>
      <c r="H55" s="265"/>
      <c r="I55" s="265"/>
      <c r="J55" s="265"/>
      <c r="K55" s="265"/>
      <c r="L55" s="265"/>
      <c r="M55" s="265"/>
      <c r="N55" s="265"/>
      <c r="O55" s="265"/>
      <c r="P55" s="265"/>
      <c r="Q55" s="265"/>
      <c r="R55" s="265"/>
      <c r="S55" s="265"/>
      <c r="T55" s="265"/>
      <c r="U55" s="265"/>
      <c r="V55" s="265"/>
      <c r="W55" s="265"/>
      <c r="X55" s="265"/>
      <c r="Y55" s="265"/>
      <c r="Z55" s="265"/>
      <c r="AA55" s="265"/>
      <c r="AB55" s="265"/>
      <c r="AC55" s="265"/>
      <c r="AD55" s="265"/>
      <c r="AE55" s="265"/>
      <c r="AF55" s="265"/>
      <c r="AG55" s="265"/>
      <c r="AH55" s="265"/>
      <c r="AI55" s="265"/>
      <c r="AJ55" s="265"/>
      <c r="AK55" s="265"/>
      <c r="AL55" s="265"/>
      <c r="AM55" s="265"/>
      <c r="AN55" s="265"/>
      <c r="AO55" s="265"/>
      <c r="AP55" s="265"/>
      <c r="AQ55" s="265"/>
      <c r="AR55" s="265"/>
      <c r="AS55" s="265"/>
      <c r="AT55" s="265"/>
      <c r="AU55" s="265"/>
      <c r="AV55" s="265"/>
      <c r="AW55" s="265"/>
      <c r="AX55" s="265"/>
      <c r="AY55" s="265"/>
      <c r="AZ55" s="265"/>
      <c r="BA55" s="265"/>
      <c r="BB55" s="265"/>
      <c r="BC55" s="265"/>
      <c r="BD55" s="265"/>
      <c r="BE55" s="265"/>
      <c r="BF55" s="265"/>
      <c r="BG55" s="265"/>
      <c r="BH55" s="265"/>
      <c r="BI55" s="265"/>
      <c r="BJ55" s="265"/>
      <c r="BK55" s="265"/>
      <c r="BL55" s="265"/>
      <c r="BM55" s="265"/>
      <c r="BN55" s="265"/>
      <c r="BO55" s="265"/>
      <c r="BP55" s="265"/>
      <c r="BQ55" s="265"/>
    </row>
    <row r="56" spans="1:69">
      <c r="A56" s="1"/>
      <c r="B56" s="265"/>
      <c r="C56" s="277"/>
      <c r="D56" s="265"/>
      <c r="E56" s="265"/>
      <c r="F56" s="265"/>
      <c r="G56" s="265"/>
      <c r="H56" s="265"/>
      <c r="I56" s="265"/>
      <c r="J56" s="265"/>
      <c r="K56" s="265"/>
      <c r="L56" s="265"/>
      <c r="M56" s="265"/>
      <c r="N56" s="265"/>
      <c r="O56" s="265"/>
      <c r="P56" s="265"/>
      <c r="Q56" s="265"/>
      <c r="R56" s="265"/>
      <c r="S56" s="265"/>
      <c r="T56" s="265"/>
      <c r="U56" s="265"/>
      <c r="V56" s="265"/>
      <c r="W56" s="265"/>
      <c r="X56" s="265"/>
      <c r="Y56" s="265"/>
      <c r="Z56" s="265"/>
      <c r="AA56" s="265"/>
      <c r="AB56" s="265"/>
      <c r="AC56" s="265"/>
      <c r="AD56" s="265"/>
      <c r="AE56" s="265"/>
      <c r="AF56" s="265"/>
      <c r="AG56" s="265"/>
      <c r="AH56" s="265"/>
      <c r="AI56" s="265"/>
      <c r="AJ56" s="265"/>
      <c r="AK56" s="265"/>
      <c r="AL56" s="265"/>
      <c r="AM56" s="265"/>
      <c r="AN56" s="265"/>
      <c r="AO56" s="265"/>
      <c r="AP56" s="265"/>
      <c r="AQ56" s="265"/>
      <c r="AR56" s="265"/>
      <c r="AS56" s="265"/>
      <c r="AT56" s="265"/>
      <c r="AU56" s="265"/>
      <c r="AV56" s="265"/>
      <c r="AW56" s="265"/>
      <c r="AX56" s="265"/>
      <c r="AY56" s="265"/>
      <c r="AZ56" s="265"/>
      <c r="BA56" s="265"/>
      <c r="BB56" s="265"/>
      <c r="BC56" s="265"/>
      <c r="BD56" s="265"/>
      <c r="BE56" s="265"/>
      <c r="BF56" s="265"/>
      <c r="BG56" s="265"/>
      <c r="BH56" s="265"/>
      <c r="BI56" s="265"/>
      <c r="BJ56" s="265"/>
      <c r="BK56" s="265"/>
      <c r="BL56" s="265"/>
      <c r="BM56" s="265"/>
      <c r="BN56" s="265"/>
      <c r="BO56" s="265"/>
      <c r="BP56" s="265"/>
      <c r="BQ56" s="265"/>
    </row>
    <row r="57" spans="1:69">
      <c r="A57" s="1"/>
      <c r="B57" s="265"/>
      <c r="C57" s="277"/>
      <c r="D57" s="265"/>
      <c r="E57" s="265"/>
      <c r="F57" s="265"/>
      <c r="G57" s="265"/>
      <c r="H57" s="265"/>
      <c r="I57" s="265"/>
      <c r="J57" s="265"/>
      <c r="K57" s="265"/>
      <c r="L57" s="265"/>
      <c r="M57" s="265"/>
      <c r="N57" s="265"/>
      <c r="O57" s="265"/>
      <c r="P57" s="265"/>
      <c r="Q57" s="265"/>
      <c r="R57" s="265"/>
      <c r="S57" s="265"/>
      <c r="T57" s="265"/>
      <c r="U57" s="265"/>
      <c r="V57" s="265"/>
      <c r="W57" s="265"/>
      <c r="X57" s="265"/>
      <c r="Y57" s="265"/>
      <c r="Z57" s="265"/>
      <c r="AA57" s="265"/>
      <c r="AB57" s="265"/>
      <c r="AC57" s="265"/>
      <c r="AD57" s="265"/>
      <c r="AE57" s="265"/>
      <c r="AF57" s="265"/>
      <c r="AG57" s="265"/>
      <c r="AH57" s="265"/>
      <c r="AI57" s="265"/>
      <c r="AJ57" s="265"/>
      <c r="AK57" s="265"/>
      <c r="AL57" s="265"/>
      <c r="AM57" s="265"/>
      <c r="AN57" s="265"/>
      <c r="AO57" s="265"/>
      <c r="AP57" s="265"/>
      <c r="AQ57" s="265"/>
      <c r="AR57" s="265"/>
      <c r="AS57" s="265"/>
      <c r="AT57" s="265"/>
      <c r="AU57" s="265"/>
      <c r="AV57" s="265"/>
      <c r="AW57" s="265"/>
      <c r="AX57" s="265"/>
      <c r="AY57" s="265"/>
      <c r="AZ57" s="265"/>
      <c r="BA57" s="265"/>
      <c r="BB57" s="265"/>
      <c r="BC57" s="265"/>
      <c r="BD57" s="265"/>
      <c r="BE57" s="265"/>
      <c r="BF57" s="265"/>
      <c r="BG57" s="265"/>
      <c r="BH57" s="265"/>
      <c r="BI57" s="265"/>
      <c r="BJ57" s="265"/>
      <c r="BK57" s="265"/>
      <c r="BL57" s="265"/>
      <c r="BM57" s="265"/>
      <c r="BN57" s="265"/>
      <c r="BO57" s="265"/>
      <c r="BP57" s="265"/>
      <c r="BQ57" s="265"/>
    </row>
    <row r="58" spans="1:69">
      <c r="A58" s="1"/>
      <c r="B58" s="265"/>
      <c r="C58" s="277"/>
      <c r="D58" s="265"/>
      <c r="E58" s="265"/>
      <c r="F58" s="265"/>
      <c r="G58" s="265"/>
      <c r="H58" s="265"/>
      <c r="I58" s="265"/>
      <c r="J58" s="265"/>
      <c r="K58" s="265"/>
      <c r="L58" s="265"/>
      <c r="M58" s="265"/>
      <c r="N58" s="265"/>
      <c r="O58" s="265"/>
      <c r="P58" s="265"/>
      <c r="Q58" s="265"/>
      <c r="R58" s="265"/>
      <c r="S58" s="265"/>
      <c r="T58" s="265"/>
      <c r="U58" s="265"/>
      <c r="V58" s="265"/>
      <c r="W58" s="265"/>
      <c r="X58" s="265"/>
      <c r="Y58" s="265"/>
      <c r="Z58" s="265"/>
      <c r="AA58" s="265"/>
      <c r="AB58" s="265"/>
      <c r="AC58" s="265"/>
      <c r="AD58" s="265"/>
      <c r="AE58" s="265"/>
      <c r="AF58" s="265"/>
      <c r="AG58" s="265"/>
      <c r="AH58" s="265"/>
      <c r="AI58" s="265"/>
      <c r="AJ58" s="265"/>
      <c r="AK58" s="265"/>
      <c r="AL58" s="265"/>
      <c r="AM58" s="265"/>
      <c r="AN58" s="265"/>
      <c r="AO58" s="265"/>
      <c r="AP58" s="265"/>
      <c r="AQ58" s="265"/>
      <c r="AR58" s="265"/>
      <c r="AS58" s="265"/>
      <c r="AT58" s="265"/>
      <c r="AU58" s="265"/>
      <c r="AV58" s="265"/>
      <c r="AW58" s="265"/>
      <c r="AX58" s="265"/>
      <c r="AY58" s="265"/>
      <c r="AZ58" s="265"/>
      <c r="BA58" s="265"/>
      <c r="BB58" s="265"/>
      <c r="BC58" s="265"/>
      <c r="BD58" s="265"/>
      <c r="BE58" s="265"/>
      <c r="BF58" s="265"/>
      <c r="BG58" s="265"/>
      <c r="BH58" s="265"/>
      <c r="BI58" s="265"/>
      <c r="BJ58" s="265"/>
      <c r="BK58" s="265"/>
      <c r="BL58" s="265"/>
      <c r="BM58" s="265"/>
      <c r="BN58" s="265"/>
      <c r="BO58" s="265"/>
      <c r="BP58" s="265"/>
      <c r="BQ58" s="265"/>
    </row>
    <row r="59" spans="1:69">
      <c r="A59" s="1"/>
      <c r="B59" s="265"/>
      <c r="C59" s="277"/>
      <c r="D59" s="265"/>
      <c r="E59" s="265"/>
      <c r="F59" s="265"/>
      <c r="G59" s="265"/>
      <c r="H59" s="265"/>
      <c r="I59" s="265"/>
      <c r="J59" s="265"/>
      <c r="K59" s="265"/>
      <c r="L59" s="26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c r="BF59" s="265"/>
      <c r="BG59" s="265"/>
      <c r="BH59" s="265"/>
      <c r="BI59" s="265"/>
      <c r="BJ59" s="265"/>
      <c r="BK59" s="265"/>
      <c r="BL59" s="265"/>
      <c r="BM59" s="265"/>
      <c r="BN59" s="265"/>
      <c r="BO59" s="265"/>
      <c r="BP59" s="265"/>
      <c r="BQ59" s="265"/>
    </row>
    <row r="60" spans="1:69">
      <c r="A60" s="1"/>
      <c r="B60" s="265"/>
      <c r="C60" s="277"/>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c r="AE60" s="265"/>
      <c r="AF60" s="265"/>
      <c r="AG60" s="265"/>
      <c r="AH60" s="265"/>
      <c r="AI60" s="265"/>
      <c r="AJ60" s="265"/>
      <c r="AK60" s="265"/>
      <c r="AL60" s="265"/>
      <c r="AM60" s="265"/>
      <c r="AN60" s="265"/>
      <c r="AO60" s="265"/>
      <c r="AP60" s="265"/>
      <c r="AQ60" s="265"/>
      <c r="AR60" s="265"/>
      <c r="AS60" s="265"/>
      <c r="AT60" s="265"/>
      <c r="AU60" s="265"/>
      <c r="AV60" s="265"/>
      <c r="AW60" s="265"/>
      <c r="AX60" s="265"/>
      <c r="AY60" s="265"/>
      <c r="AZ60" s="265"/>
      <c r="BA60" s="265"/>
      <c r="BB60" s="265"/>
      <c r="BC60" s="265"/>
      <c r="BD60" s="265"/>
      <c r="BE60" s="265"/>
      <c r="BF60" s="265"/>
      <c r="BG60" s="265"/>
      <c r="BH60" s="265"/>
      <c r="BI60" s="265"/>
      <c r="BJ60" s="265"/>
      <c r="BK60" s="265"/>
      <c r="BL60" s="265"/>
      <c r="BM60" s="265"/>
      <c r="BN60" s="265"/>
      <c r="BO60" s="265"/>
      <c r="BP60" s="265"/>
      <c r="BQ60" s="265"/>
    </row>
    <row r="61" spans="1:69">
      <c r="A61" s="1"/>
      <c r="B61" s="265"/>
      <c r="C61" s="277"/>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65"/>
      <c r="AR61" s="265"/>
      <c r="AS61" s="265"/>
      <c r="AT61" s="265"/>
      <c r="AU61" s="265"/>
      <c r="AV61" s="265"/>
      <c r="AW61" s="265"/>
      <c r="AX61" s="265"/>
      <c r="AY61" s="265"/>
      <c r="AZ61" s="265"/>
      <c r="BA61" s="265"/>
      <c r="BB61" s="265"/>
      <c r="BC61" s="265"/>
      <c r="BD61" s="265"/>
      <c r="BE61" s="265"/>
      <c r="BF61" s="265"/>
      <c r="BG61" s="265"/>
      <c r="BH61" s="265"/>
      <c r="BI61" s="265"/>
      <c r="BJ61" s="265"/>
      <c r="BK61" s="265"/>
      <c r="BL61" s="265"/>
      <c r="BM61" s="265"/>
      <c r="BN61" s="265"/>
      <c r="BO61" s="265"/>
      <c r="BP61" s="265"/>
      <c r="BQ61" s="265"/>
    </row>
    <row r="62" spans="1:69">
      <c r="A62" s="1"/>
      <c r="B62" s="265"/>
      <c r="C62" s="277"/>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c r="AE62" s="265"/>
      <c r="AF62" s="265"/>
      <c r="AG62" s="265"/>
      <c r="AH62" s="265"/>
      <c r="AI62" s="265"/>
      <c r="AJ62" s="265"/>
      <c r="AK62" s="265"/>
      <c r="AL62" s="265"/>
      <c r="AM62" s="265"/>
      <c r="AN62" s="265"/>
      <c r="AO62" s="265"/>
      <c r="AP62" s="265"/>
      <c r="AQ62" s="265"/>
      <c r="AR62" s="265"/>
      <c r="AS62" s="265"/>
      <c r="AT62" s="265"/>
      <c r="AU62" s="265"/>
      <c r="AV62" s="265"/>
      <c r="AW62" s="265"/>
      <c r="AX62" s="265"/>
      <c r="AY62" s="265"/>
      <c r="AZ62" s="265"/>
      <c r="BA62" s="265"/>
      <c r="BB62" s="265"/>
      <c r="BC62" s="265"/>
      <c r="BD62" s="265"/>
      <c r="BE62" s="265"/>
      <c r="BF62" s="265"/>
      <c r="BG62" s="265"/>
      <c r="BH62" s="265"/>
      <c r="BI62" s="265"/>
      <c r="BJ62" s="265"/>
      <c r="BK62" s="265"/>
      <c r="BL62" s="265"/>
      <c r="BM62" s="265"/>
      <c r="BN62" s="265"/>
      <c r="BO62" s="265"/>
      <c r="BP62" s="265"/>
      <c r="BQ62" s="265"/>
    </row>
    <row r="63" spans="1:69">
      <c r="A63" s="1"/>
      <c r="B63" s="265"/>
      <c r="C63" s="277"/>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c r="AE63" s="265"/>
      <c r="AF63" s="265"/>
      <c r="AG63" s="265"/>
      <c r="AH63" s="265"/>
      <c r="AI63" s="265"/>
      <c r="AJ63" s="265"/>
      <c r="AK63" s="265"/>
      <c r="AL63" s="265"/>
      <c r="AM63" s="265"/>
      <c r="AN63" s="265"/>
      <c r="AO63" s="265"/>
      <c r="AP63" s="265"/>
      <c r="AQ63" s="265"/>
      <c r="AR63" s="265"/>
      <c r="AS63" s="265"/>
      <c r="AT63" s="265"/>
      <c r="AU63" s="265"/>
      <c r="AV63" s="265"/>
      <c r="AW63" s="265"/>
      <c r="AX63" s="265"/>
      <c r="AY63" s="265"/>
      <c r="AZ63" s="265"/>
      <c r="BA63" s="265"/>
      <c r="BB63" s="265"/>
      <c r="BC63" s="265"/>
      <c r="BD63" s="265"/>
      <c r="BE63" s="265"/>
      <c r="BF63" s="265"/>
      <c r="BG63" s="265"/>
      <c r="BH63" s="265"/>
      <c r="BI63" s="265"/>
      <c r="BJ63" s="265"/>
      <c r="BK63" s="265"/>
      <c r="BL63" s="265"/>
      <c r="BM63" s="265"/>
      <c r="BN63" s="265"/>
      <c r="BO63" s="265"/>
      <c r="BP63" s="265"/>
      <c r="BQ63" s="265"/>
    </row>
    <row r="64" spans="1:69">
      <c r="A64" s="1"/>
      <c r="B64" s="265"/>
      <c r="C64" s="277"/>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5"/>
      <c r="BF64" s="265"/>
      <c r="BG64" s="265"/>
      <c r="BH64" s="265"/>
      <c r="BI64" s="265"/>
      <c r="BJ64" s="265"/>
      <c r="BK64" s="265"/>
      <c r="BL64" s="265"/>
      <c r="BM64" s="265"/>
      <c r="BN64" s="265"/>
      <c r="BO64" s="265"/>
      <c r="BP64" s="265"/>
      <c r="BQ64" s="265"/>
    </row>
    <row r="65" spans="1:69">
      <c r="A65" s="1"/>
      <c r="B65" s="265"/>
      <c r="C65" s="277"/>
      <c r="D65" s="265"/>
      <c r="E65" s="265"/>
      <c r="F65" s="265"/>
      <c r="G65" s="265"/>
      <c r="H65" s="265"/>
      <c r="I65" s="265"/>
      <c r="J65" s="265"/>
      <c r="K65" s="265"/>
      <c r="L65" s="265"/>
      <c r="M65" s="265"/>
      <c r="N65" s="265"/>
      <c r="O65" s="265"/>
      <c r="P65" s="265"/>
      <c r="Q65" s="265"/>
      <c r="R65" s="265"/>
      <c r="S65" s="265"/>
      <c r="T65" s="265"/>
      <c r="U65" s="265"/>
      <c r="V65" s="265"/>
      <c r="W65" s="265"/>
      <c r="X65" s="265"/>
      <c r="Y65" s="265"/>
      <c r="Z65" s="265"/>
      <c r="AA65" s="265"/>
      <c r="AB65" s="265"/>
      <c r="AC65" s="265"/>
      <c r="AD65" s="265"/>
      <c r="AE65" s="265"/>
      <c r="AF65" s="265"/>
      <c r="AG65" s="265"/>
      <c r="AH65" s="265"/>
      <c r="AI65" s="265"/>
      <c r="AJ65" s="265"/>
      <c r="AK65" s="265"/>
      <c r="AL65" s="265"/>
      <c r="AM65" s="265"/>
      <c r="AN65" s="265"/>
      <c r="AO65" s="265"/>
      <c r="AP65" s="265"/>
      <c r="AQ65" s="265"/>
      <c r="AR65" s="265"/>
      <c r="AS65" s="265"/>
      <c r="AT65" s="265"/>
      <c r="AU65" s="265"/>
      <c r="AV65" s="265"/>
      <c r="AW65" s="265"/>
      <c r="AX65" s="265"/>
      <c r="AY65" s="265"/>
      <c r="AZ65" s="265"/>
      <c r="BA65" s="265"/>
      <c r="BB65" s="265"/>
      <c r="BC65" s="265"/>
      <c r="BD65" s="265"/>
      <c r="BE65" s="265"/>
      <c r="BF65" s="265"/>
      <c r="BG65" s="265"/>
      <c r="BH65" s="265"/>
      <c r="BI65" s="265"/>
      <c r="BJ65" s="265"/>
      <c r="BK65" s="265"/>
      <c r="BL65" s="265"/>
      <c r="BM65" s="265"/>
      <c r="BN65" s="265"/>
      <c r="BO65" s="265"/>
      <c r="BP65" s="265"/>
      <c r="BQ65" s="265"/>
    </row>
    <row r="66" spans="1:69">
      <c r="A66" s="1"/>
      <c r="B66" s="265"/>
      <c r="C66" s="277"/>
      <c r="D66" s="265"/>
      <c r="E66" s="265"/>
      <c r="F66" s="265"/>
      <c r="G66" s="265"/>
      <c r="H66" s="265"/>
      <c r="I66" s="265"/>
      <c r="J66" s="265"/>
      <c r="K66" s="265"/>
      <c r="L66" s="265"/>
      <c r="M66" s="265"/>
      <c r="N66" s="265"/>
      <c r="O66" s="265"/>
      <c r="P66" s="265"/>
      <c r="Q66" s="265"/>
      <c r="R66" s="265"/>
      <c r="S66" s="265"/>
      <c r="T66" s="265"/>
      <c r="U66" s="265"/>
      <c r="V66" s="265"/>
      <c r="W66" s="265"/>
      <c r="X66" s="265"/>
      <c r="Y66" s="265"/>
      <c r="Z66" s="265"/>
      <c r="AA66" s="265"/>
      <c r="AB66" s="265"/>
      <c r="AC66" s="265"/>
      <c r="AD66" s="265"/>
      <c r="AE66" s="265"/>
      <c r="AF66" s="265"/>
      <c r="AG66" s="265"/>
      <c r="AH66" s="265"/>
      <c r="AI66" s="265"/>
      <c r="AJ66" s="265"/>
      <c r="AK66" s="265"/>
      <c r="AL66" s="265"/>
      <c r="AM66" s="265"/>
      <c r="AN66" s="265"/>
      <c r="AO66" s="265"/>
      <c r="AP66" s="265"/>
      <c r="AQ66" s="265"/>
      <c r="AR66" s="265"/>
      <c r="AS66" s="265"/>
      <c r="AT66" s="265"/>
      <c r="AU66" s="265"/>
      <c r="AV66" s="265"/>
      <c r="AW66" s="265"/>
      <c r="AX66" s="265"/>
      <c r="AY66" s="265"/>
      <c r="AZ66" s="265"/>
      <c r="BA66" s="265"/>
      <c r="BB66" s="265"/>
      <c r="BC66" s="265"/>
      <c r="BD66" s="265"/>
      <c r="BE66" s="265"/>
      <c r="BF66" s="265"/>
      <c r="BG66" s="265"/>
      <c r="BH66" s="265"/>
      <c r="BI66" s="265"/>
      <c r="BJ66" s="265"/>
      <c r="BK66" s="265"/>
      <c r="BL66" s="265"/>
      <c r="BM66" s="265"/>
      <c r="BN66" s="265"/>
      <c r="BO66" s="265"/>
      <c r="BP66" s="265"/>
      <c r="BQ66" s="265"/>
    </row>
    <row r="67" spans="1:69">
      <c r="A67" s="1"/>
      <c r="B67" s="265"/>
      <c r="C67" s="277"/>
      <c r="D67" s="265"/>
      <c r="E67" s="265"/>
      <c r="F67" s="265"/>
      <c r="G67" s="265"/>
      <c r="H67" s="265"/>
      <c r="I67" s="265"/>
      <c r="J67" s="265"/>
      <c r="K67" s="265"/>
      <c r="L67" s="265"/>
      <c r="M67" s="265"/>
      <c r="N67" s="265"/>
      <c r="O67" s="265"/>
      <c r="P67" s="265"/>
      <c r="Q67" s="265"/>
      <c r="R67" s="265"/>
      <c r="S67" s="265"/>
      <c r="T67" s="265"/>
      <c r="U67" s="265"/>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AZ67" s="265"/>
      <c r="BA67" s="265"/>
      <c r="BB67" s="265"/>
      <c r="BC67" s="265"/>
      <c r="BD67" s="265"/>
      <c r="BE67" s="265"/>
      <c r="BF67" s="265"/>
      <c r="BG67" s="265"/>
      <c r="BH67" s="265"/>
      <c r="BI67" s="265"/>
      <c r="BJ67" s="265"/>
      <c r="BK67" s="265"/>
      <c r="BL67" s="265"/>
      <c r="BM67" s="265"/>
      <c r="BN67" s="265"/>
      <c r="BO67" s="265"/>
      <c r="BP67" s="265"/>
      <c r="BQ67" s="265"/>
    </row>
    <row r="68" spans="1:69">
      <c r="A68" s="1"/>
      <c r="B68" s="265"/>
      <c r="C68" s="277"/>
      <c r="D68" s="265"/>
      <c r="E68" s="265"/>
      <c r="F68" s="265"/>
      <c r="G68" s="265"/>
      <c r="H68" s="265"/>
      <c r="I68" s="265"/>
      <c r="J68" s="265"/>
      <c r="K68" s="265"/>
      <c r="L68" s="265"/>
      <c r="M68" s="265"/>
      <c r="N68" s="265"/>
      <c r="O68" s="265"/>
      <c r="P68" s="265"/>
      <c r="Q68" s="265"/>
      <c r="R68" s="265"/>
      <c r="S68" s="265"/>
      <c r="T68" s="265"/>
      <c r="U68" s="265"/>
      <c r="V68" s="265"/>
      <c r="W68" s="265"/>
      <c r="X68" s="265"/>
      <c r="Y68" s="265"/>
      <c r="Z68" s="265"/>
      <c r="AA68" s="265"/>
      <c r="AB68" s="265"/>
      <c r="AC68" s="265"/>
      <c r="AD68" s="265"/>
      <c r="AE68" s="265"/>
      <c r="AF68" s="265"/>
      <c r="AG68" s="265"/>
      <c r="AH68" s="265"/>
      <c r="AI68" s="265"/>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5"/>
      <c r="BF68" s="265"/>
      <c r="BG68" s="265"/>
      <c r="BH68" s="265"/>
      <c r="BI68" s="265"/>
      <c r="BJ68" s="265"/>
      <c r="BK68" s="265"/>
      <c r="BL68" s="265"/>
      <c r="BM68" s="265"/>
      <c r="BN68" s="265"/>
      <c r="BO68" s="265"/>
      <c r="BP68" s="265"/>
      <c r="BQ68" s="265"/>
    </row>
    <row r="69" spans="1:69">
      <c r="A69" s="1"/>
      <c r="B69" s="265"/>
      <c r="C69" s="277"/>
      <c r="D69" s="265"/>
      <c r="E69" s="265"/>
      <c r="F69" s="265"/>
      <c r="G69" s="265"/>
      <c r="H69" s="265"/>
      <c r="I69" s="265"/>
      <c r="J69" s="265"/>
      <c r="K69" s="265"/>
      <c r="L69" s="265"/>
      <c r="M69" s="265"/>
      <c r="N69" s="265"/>
      <c r="O69" s="265"/>
      <c r="P69" s="265"/>
      <c r="Q69" s="265"/>
      <c r="R69" s="265"/>
      <c r="S69" s="265"/>
      <c r="T69" s="265"/>
      <c r="U69" s="265"/>
      <c r="V69" s="265"/>
      <c r="W69" s="265"/>
      <c r="X69" s="265"/>
      <c r="Y69" s="265"/>
      <c r="Z69" s="265"/>
      <c r="AA69" s="265"/>
      <c r="AB69" s="265"/>
      <c r="AC69" s="265"/>
      <c r="AD69" s="265"/>
      <c r="AE69" s="265"/>
      <c r="AF69" s="265"/>
      <c r="AG69" s="265"/>
      <c r="AH69" s="265"/>
      <c r="AI69" s="265"/>
      <c r="AJ69" s="265"/>
      <c r="AK69" s="265"/>
      <c r="AL69" s="265"/>
      <c r="AM69" s="265"/>
      <c r="AN69" s="265"/>
      <c r="AO69" s="265"/>
      <c r="AP69" s="265"/>
      <c r="AQ69" s="265"/>
      <c r="AR69" s="265"/>
      <c r="AS69" s="265"/>
      <c r="AT69" s="265"/>
      <c r="AU69" s="265"/>
      <c r="AV69" s="265"/>
      <c r="AW69" s="265"/>
      <c r="AX69" s="265"/>
      <c r="AY69" s="265"/>
      <c r="AZ69" s="265"/>
      <c r="BA69" s="265"/>
      <c r="BB69" s="265"/>
      <c r="BC69" s="265"/>
      <c r="BD69" s="265"/>
      <c r="BE69" s="265"/>
      <c r="BF69" s="265"/>
      <c r="BG69" s="265"/>
      <c r="BH69" s="265"/>
      <c r="BI69" s="265"/>
      <c r="BJ69" s="265"/>
      <c r="BK69" s="265"/>
      <c r="BL69" s="265"/>
      <c r="BM69" s="265"/>
      <c r="BN69" s="265"/>
      <c r="BO69" s="265"/>
      <c r="BP69" s="265"/>
      <c r="BQ69" s="265"/>
    </row>
    <row r="70" spans="1:69">
      <c r="A70" s="1"/>
      <c r="B70" s="265"/>
      <c r="C70" s="277"/>
      <c r="D70" s="265"/>
      <c r="E70" s="265"/>
      <c r="F70" s="265"/>
      <c r="G70" s="265"/>
      <c r="H70" s="265"/>
      <c r="I70" s="265"/>
      <c r="J70" s="265"/>
      <c r="K70" s="265"/>
      <c r="L70" s="265"/>
      <c r="M70" s="265"/>
      <c r="N70" s="265"/>
      <c r="O70" s="265"/>
      <c r="P70" s="265"/>
      <c r="Q70" s="265"/>
      <c r="R70" s="265"/>
      <c r="S70" s="265"/>
      <c r="T70" s="265"/>
      <c r="U70" s="265"/>
      <c r="V70" s="265"/>
      <c r="W70" s="265"/>
      <c r="X70" s="265"/>
      <c r="Y70" s="265"/>
      <c r="Z70" s="265"/>
      <c r="AA70" s="265"/>
      <c r="AB70" s="265"/>
      <c r="AC70" s="265"/>
      <c r="AD70" s="265"/>
      <c r="AE70" s="265"/>
      <c r="AF70" s="265"/>
      <c r="AG70" s="265"/>
      <c r="AH70" s="265"/>
      <c r="AI70" s="265"/>
      <c r="AJ70" s="265"/>
      <c r="AK70" s="265"/>
      <c r="AL70" s="265"/>
      <c r="AM70" s="265"/>
      <c r="AN70" s="265"/>
      <c r="AO70" s="265"/>
      <c r="AP70" s="265"/>
      <c r="AQ70" s="265"/>
      <c r="AR70" s="265"/>
      <c r="AS70" s="265"/>
      <c r="AT70" s="265"/>
      <c r="AU70" s="265"/>
      <c r="AV70" s="265"/>
      <c r="AW70" s="265"/>
      <c r="AX70" s="265"/>
      <c r="AY70" s="265"/>
      <c r="AZ70" s="265"/>
      <c r="BA70" s="265"/>
      <c r="BB70" s="265"/>
      <c r="BC70" s="265"/>
      <c r="BD70" s="265"/>
      <c r="BE70" s="265"/>
      <c r="BF70" s="265"/>
      <c r="BG70" s="265"/>
      <c r="BH70" s="265"/>
      <c r="BI70" s="265"/>
      <c r="BJ70" s="265"/>
      <c r="BK70" s="265"/>
      <c r="BL70" s="265"/>
      <c r="BM70" s="265"/>
      <c r="BN70" s="265"/>
      <c r="BO70" s="265"/>
      <c r="BP70" s="265"/>
      <c r="BQ70" s="265"/>
    </row>
    <row r="71" spans="1:69">
      <c r="A71" s="1"/>
      <c r="B71" s="265"/>
      <c r="C71" s="277"/>
      <c r="D71" s="265"/>
      <c r="E71" s="265"/>
      <c r="F71" s="265"/>
      <c r="G71" s="265"/>
      <c r="H71" s="265"/>
      <c r="I71" s="265"/>
      <c r="J71" s="265"/>
      <c r="K71" s="265"/>
      <c r="L71" s="265"/>
      <c r="M71" s="265"/>
      <c r="N71" s="265"/>
      <c r="O71" s="265"/>
      <c r="P71" s="265"/>
      <c r="Q71" s="265"/>
      <c r="R71" s="265"/>
      <c r="S71" s="265"/>
      <c r="T71" s="265"/>
      <c r="U71" s="265"/>
      <c r="V71" s="265"/>
      <c r="W71" s="265"/>
      <c r="X71" s="265"/>
      <c r="Y71" s="265"/>
      <c r="Z71" s="265"/>
      <c r="AA71" s="265"/>
      <c r="AB71" s="265"/>
      <c r="AC71" s="265"/>
      <c r="AD71" s="265"/>
      <c r="AE71" s="265"/>
      <c r="AF71" s="265"/>
      <c r="AG71" s="265"/>
      <c r="AH71" s="265"/>
      <c r="AI71" s="265"/>
      <c r="AJ71" s="265"/>
      <c r="AK71" s="265"/>
      <c r="AL71" s="265"/>
      <c r="AM71" s="265"/>
      <c r="AN71" s="265"/>
      <c r="AO71" s="265"/>
      <c r="AP71" s="265"/>
      <c r="AQ71" s="265"/>
      <c r="AR71" s="265"/>
      <c r="AS71" s="265"/>
      <c r="AT71" s="265"/>
      <c r="AU71" s="265"/>
      <c r="AV71" s="265"/>
      <c r="AW71" s="265"/>
      <c r="AX71" s="265"/>
      <c r="AY71" s="265"/>
      <c r="AZ71" s="265"/>
      <c r="BA71" s="265"/>
      <c r="BB71" s="265"/>
      <c r="BC71" s="265"/>
      <c r="BD71" s="265"/>
      <c r="BE71" s="265"/>
      <c r="BF71" s="265"/>
      <c r="BG71" s="265"/>
      <c r="BH71" s="265"/>
      <c r="BI71" s="265"/>
      <c r="BJ71" s="265"/>
      <c r="BK71" s="265"/>
      <c r="BL71" s="265"/>
      <c r="BM71" s="265"/>
      <c r="BN71" s="265"/>
      <c r="BO71" s="265"/>
      <c r="BP71" s="265"/>
      <c r="BQ71" s="265"/>
    </row>
    <row r="72" spans="1:69">
      <c r="A72" s="1"/>
      <c r="B72" s="265"/>
      <c r="C72" s="277"/>
      <c r="D72" s="265"/>
      <c r="E72" s="265"/>
      <c r="F72" s="265"/>
      <c r="G72" s="265"/>
      <c r="H72" s="265"/>
      <c r="I72" s="265"/>
      <c r="J72" s="265"/>
      <c r="K72" s="265"/>
      <c r="L72" s="265"/>
      <c r="M72" s="265"/>
      <c r="N72" s="265"/>
      <c r="O72" s="265"/>
      <c r="P72" s="265"/>
      <c r="Q72" s="265"/>
      <c r="R72" s="265"/>
      <c r="S72" s="265"/>
      <c r="T72" s="265"/>
      <c r="U72" s="265"/>
      <c r="V72" s="265"/>
      <c r="W72" s="265"/>
      <c r="X72" s="265"/>
      <c r="Y72" s="265"/>
      <c r="Z72" s="265"/>
      <c r="AA72" s="265"/>
      <c r="AB72" s="265"/>
      <c r="AC72" s="265"/>
      <c r="AD72" s="265"/>
      <c r="AE72" s="265"/>
      <c r="AF72" s="265"/>
      <c r="AG72" s="265"/>
      <c r="AH72" s="265"/>
      <c r="AI72" s="265"/>
      <c r="AJ72" s="265"/>
      <c r="AK72" s="265"/>
      <c r="AL72" s="265"/>
      <c r="AM72" s="265"/>
      <c r="AN72" s="265"/>
      <c r="AO72" s="265"/>
      <c r="AP72" s="265"/>
      <c r="AQ72" s="265"/>
      <c r="AR72" s="265"/>
      <c r="AS72" s="265"/>
      <c r="AT72" s="265"/>
      <c r="AU72" s="265"/>
      <c r="AV72" s="265"/>
      <c r="AW72" s="265"/>
      <c r="AX72" s="265"/>
      <c r="AY72" s="265"/>
      <c r="AZ72" s="265"/>
      <c r="BA72" s="265"/>
      <c r="BB72" s="265"/>
      <c r="BC72" s="265"/>
      <c r="BD72" s="265"/>
      <c r="BE72" s="265"/>
      <c r="BF72" s="265"/>
      <c r="BG72" s="265"/>
      <c r="BH72" s="265"/>
      <c r="BI72" s="265"/>
      <c r="BJ72" s="265"/>
      <c r="BK72" s="265"/>
      <c r="BL72" s="265"/>
      <c r="BM72" s="265"/>
      <c r="BN72" s="265"/>
      <c r="BO72" s="265"/>
      <c r="BP72" s="265"/>
      <c r="BQ72" s="265"/>
    </row>
    <row r="73" spans="1:69">
      <c r="A73" s="1"/>
      <c r="B73" s="265"/>
      <c r="C73" s="277"/>
      <c r="D73" s="265"/>
      <c r="E73" s="265"/>
      <c r="F73" s="265"/>
      <c r="G73" s="265"/>
      <c r="H73" s="265"/>
      <c r="I73" s="265"/>
      <c r="J73" s="265"/>
      <c r="K73" s="265"/>
      <c r="L73" s="265"/>
      <c r="M73" s="265"/>
      <c r="N73" s="265"/>
      <c r="O73" s="265"/>
      <c r="P73" s="265"/>
      <c r="Q73" s="265"/>
      <c r="R73" s="265"/>
      <c r="S73" s="265"/>
      <c r="T73" s="265"/>
      <c r="U73" s="265"/>
      <c r="V73" s="265"/>
      <c r="W73" s="265"/>
      <c r="X73" s="265"/>
      <c r="Y73" s="265"/>
      <c r="Z73" s="265"/>
      <c r="AA73" s="265"/>
      <c r="AB73" s="265"/>
      <c r="AC73" s="265"/>
      <c r="AD73" s="265"/>
      <c r="AE73" s="265"/>
      <c r="AF73" s="265"/>
      <c r="AG73" s="265"/>
      <c r="AH73" s="265"/>
      <c r="AI73" s="265"/>
      <c r="AJ73" s="265"/>
      <c r="AK73" s="265"/>
      <c r="AL73" s="265"/>
      <c r="AM73" s="265"/>
      <c r="AN73" s="265"/>
      <c r="AO73" s="265"/>
      <c r="AP73" s="265"/>
      <c r="AQ73" s="265"/>
      <c r="AR73" s="265"/>
      <c r="AS73" s="265"/>
      <c r="AT73" s="265"/>
      <c r="AU73" s="265"/>
      <c r="AV73" s="265"/>
      <c r="AW73" s="265"/>
      <c r="AX73" s="265"/>
      <c r="AY73" s="265"/>
      <c r="AZ73" s="265"/>
      <c r="BA73" s="265"/>
      <c r="BB73" s="265"/>
      <c r="BC73" s="265"/>
      <c r="BD73" s="265"/>
      <c r="BE73" s="265"/>
      <c r="BF73" s="265"/>
      <c r="BG73" s="265"/>
      <c r="BH73" s="265"/>
      <c r="BI73" s="265"/>
      <c r="BJ73" s="265"/>
      <c r="BK73" s="265"/>
      <c r="BL73" s="265"/>
      <c r="BM73" s="265"/>
      <c r="BN73" s="265"/>
      <c r="BO73" s="265"/>
      <c r="BP73" s="265"/>
      <c r="BQ73" s="265"/>
    </row>
    <row r="74" spans="1:69">
      <c r="A74" s="1"/>
      <c r="B74" s="265"/>
      <c r="C74" s="277"/>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5"/>
      <c r="AZ74" s="265"/>
      <c r="BA74" s="265"/>
      <c r="BB74" s="265"/>
      <c r="BC74" s="265"/>
      <c r="BD74" s="265"/>
      <c r="BE74" s="265"/>
      <c r="BF74" s="265"/>
      <c r="BG74" s="265"/>
      <c r="BH74" s="265"/>
      <c r="BI74" s="265"/>
      <c r="BJ74" s="265"/>
      <c r="BK74" s="265"/>
      <c r="BL74" s="265"/>
      <c r="BM74" s="265"/>
      <c r="BN74" s="265"/>
      <c r="BO74" s="265"/>
      <c r="BP74" s="265"/>
      <c r="BQ74" s="265"/>
    </row>
    <row r="75" spans="1:69">
      <c r="A75" s="1"/>
      <c r="B75" s="265"/>
      <c r="C75" s="277"/>
      <c r="D75" s="265"/>
      <c r="E75" s="265"/>
      <c r="F75" s="265"/>
      <c r="G75" s="265"/>
      <c r="H75" s="265"/>
      <c r="I75" s="265"/>
      <c r="J75" s="265"/>
      <c r="K75" s="265"/>
      <c r="L75" s="265"/>
      <c r="M75" s="265"/>
      <c r="N75" s="265"/>
      <c r="O75" s="265"/>
      <c r="P75" s="265"/>
      <c r="Q75" s="265"/>
      <c r="R75" s="265"/>
      <c r="S75" s="265"/>
      <c r="T75" s="265"/>
      <c r="U75" s="265"/>
      <c r="V75" s="265"/>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65"/>
      <c r="BA75" s="265"/>
      <c r="BB75" s="265"/>
      <c r="BC75" s="265"/>
      <c r="BD75" s="265"/>
      <c r="BE75" s="265"/>
      <c r="BF75" s="265"/>
      <c r="BG75" s="265"/>
      <c r="BH75" s="265"/>
      <c r="BI75" s="265"/>
      <c r="BJ75" s="265"/>
      <c r="BK75" s="265"/>
      <c r="BL75" s="265"/>
      <c r="BM75" s="265"/>
      <c r="BN75" s="265"/>
      <c r="BO75" s="265"/>
      <c r="BP75" s="265"/>
      <c r="BQ75" s="265"/>
    </row>
    <row r="76" spans="1:69">
      <c r="A76" s="1"/>
      <c r="B76" s="265"/>
      <c r="C76" s="277"/>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5"/>
      <c r="BA76" s="265"/>
      <c r="BB76" s="265"/>
      <c r="BC76" s="265"/>
      <c r="BD76" s="265"/>
      <c r="BE76" s="265"/>
      <c r="BF76" s="265"/>
      <c r="BG76" s="265"/>
      <c r="BH76" s="265"/>
      <c r="BI76" s="265"/>
      <c r="BJ76" s="265"/>
      <c r="BK76" s="265"/>
      <c r="BL76" s="265"/>
      <c r="BM76" s="265"/>
      <c r="BN76" s="265"/>
      <c r="BO76" s="265"/>
      <c r="BP76" s="265"/>
      <c r="BQ76" s="265"/>
    </row>
    <row r="77" spans="1:69">
      <c r="A77" s="1"/>
      <c r="B77" s="265"/>
      <c r="C77" s="277"/>
      <c r="D77" s="265"/>
      <c r="E77" s="265"/>
      <c r="F77" s="265"/>
      <c r="G77" s="265"/>
      <c r="H77" s="265"/>
      <c r="I77" s="265"/>
      <c r="J77" s="265"/>
      <c r="K77" s="265"/>
      <c r="L77" s="265"/>
      <c r="M77" s="265"/>
      <c r="N77" s="265"/>
      <c r="O77" s="265"/>
      <c r="P77" s="265"/>
      <c r="Q77" s="265"/>
      <c r="R77" s="265"/>
      <c r="S77" s="265"/>
      <c r="T77" s="265"/>
      <c r="U77" s="265"/>
      <c r="V77" s="265"/>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5"/>
      <c r="AT77" s="265"/>
      <c r="AU77" s="265"/>
      <c r="AV77" s="265"/>
      <c r="AW77" s="265"/>
      <c r="AX77" s="265"/>
      <c r="AY77" s="265"/>
      <c r="AZ77" s="265"/>
      <c r="BA77" s="265"/>
      <c r="BB77" s="265"/>
      <c r="BC77" s="265"/>
      <c r="BD77" s="265"/>
      <c r="BE77" s="265"/>
      <c r="BF77" s="265"/>
      <c r="BG77" s="265"/>
      <c r="BH77" s="265"/>
      <c r="BI77" s="265"/>
      <c r="BJ77" s="265"/>
      <c r="BK77" s="265"/>
      <c r="BL77" s="265"/>
      <c r="BM77" s="265"/>
      <c r="BN77" s="265"/>
      <c r="BO77" s="265"/>
      <c r="BP77" s="265"/>
      <c r="BQ77" s="265"/>
    </row>
    <row r="78" spans="1:69">
      <c r="A78" s="1"/>
      <c r="B78" s="265"/>
      <c r="C78" s="277"/>
      <c r="D78" s="265"/>
      <c r="E78" s="265"/>
      <c r="F78" s="265"/>
      <c r="G78" s="265"/>
      <c r="H78" s="265"/>
      <c r="I78" s="265"/>
      <c r="J78" s="265"/>
      <c r="K78" s="265"/>
      <c r="L78" s="265"/>
      <c r="M78" s="265"/>
      <c r="N78" s="265"/>
      <c r="O78" s="265"/>
      <c r="P78" s="265"/>
      <c r="Q78" s="265"/>
      <c r="R78" s="265"/>
      <c r="S78" s="265"/>
      <c r="T78" s="265"/>
      <c r="U78" s="265"/>
      <c r="V78" s="265"/>
      <c r="W78" s="265"/>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5"/>
      <c r="AT78" s="265"/>
      <c r="AU78" s="265"/>
      <c r="AV78" s="265"/>
      <c r="AW78" s="265"/>
      <c r="AX78" s="265"/>
      <c r="AY78" s="265"/>
      <c r="AZ78" s="265"/>
      <c r="BA78" s="265"/>
      <c r="BB78" s="265"/>
      <c r="BC78" s="265"/>
      <c r="BD78" s="265"/>
      <c r="BE78" s="265"/>
      <c r="BF78" s="265"/>
      <c r="BG78" s="265"/>
      <c r="BH78" s="265"/>
      <c r="BI78" s="265"/>
      <c r="BJ78" s="265"/>
      <c r="BK78" s="265"/>
      <c r="BL78" s="265"/>
      <c r="BM78" s="265"/>
      <c r="BN78" s="265"/>
      <c r="BO78" s="265"/>
      <c r="BP78" s="265"/>
      <c r="BQ78" s="265"/>
    </row>
    <row r="79" spans="1:69">
      <c r="A79" s="1"/>
      <c r="B79" s="265"/>
      <c r="C79" s="277"/>
      <c r="D79" s="265"/>
      <c r="E79" s="265"/>
      <c r="F79" s="265"/>
      <c r="G79" s="265"/>
      <c r="H79" s="265"/>
      <c r="I79" s="265"/>
      <c r="J79" s="265"/>
      <c r="K79" s="265"/>
      <c r="L79" s="265"/>
      <c r="M79" s="265"/>
      <c r="N79" s="265"/>
      <c r="O79" s="265"/>
      <c r="P79" s="265"/>
      <c r="Q79" s="265"/>
      <c r="R79" s="265"/>
      <c r="S79" s="265"/>
      <c r="T79" s="265"/>
      <c r="U79" s="265"/>
      <c r="V79" s="265"/>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5"/>
      <c r="AT79" s="265"/>
      <c r="AU79" s="265"/>
      <c r="AV79" s="265"/>
      <c r="AW79" s="265"/>
      <c r="AX79" s="265"/>
      <c r="AY79" s="265"/>
      <c r="AZ79" s="265"/>
      <c r="BA79" s="265"/>
      <c r="BB79" s="265"/>
      <c r="BC79" s="265"/>
      <c r="BD79" s="265"/>
      <c r="BE79" s="265"/>
      <c r="BF79" s="265"/>
      <c r="BG79" s="265"/>
      <c r="BH79" s="265"/>
      <c r="BI79" s="265"/>
      <c r="BJ79" s="265"/>
      <c r="BK79" s="265"/>
      <c r="BL79" s="265"/>
      <c r="BM79" s="265"/>
      <c r="BN79" s="265"/>
      <c r="BO79" s="265"/>
      <c r="BP79" s="265"/>
      <c r="BQ79" s="265"/>
    </row>
    <row r="80" spans="1:69">
      <c r="A80" s="1"/>
      <c r="B80" s="265"/>
      <c r="C80" s="277"/>
      <c r="D80" s="265"/>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5"/>
      <c r="BA80" s="265"/>
      <c r="BB80" s="265"/>
      <c r="BC80" s="265"/>
      <c r="BD80" s="265"/>
      <c r="BE80" s="265"/>
      <c r="BF80" s="265"/>
      <c r="BG80" s="265"/>
      <c r="BH80" s="265"/>
      <c r="BI80" s="265"/>
      <c r="BJ80" s="265"/>
      <c r="BK80" s="265"/>
      <c r="BL80" s="265"/>
      <c r="BM80" s="265"/>
      <c r="BN80" s="265"/>
      <c r="BO80" s="265"/>
      <c r="BP80" s="265"/>
      <c r="BQ80" s="265"/>
    </row>
    <row r="81" spans="1:69">
      <c r="A81" s="1"/>
      <c r="B81" s="265"/>
      <c r="C81" s="277"/>
      <c r="D81" s="265"/>
      <c r="E81" s="265"/>
      <c r="F81" s="265"/>
      <c r="G81" s="265"/>
      <c r="H81" s="265"/>
      <c r="I81" s="265"/>
      <c r="J81" s="265"/>
      <c r="K81" s="265"/>
      <c r="L81" s="265"/>
      <c r="M81" s="265"/>
      <c r="N81" s="265"/>
      <c r="O81" s="265"/>
      <c r="P81" s="265"/>
      <c r="Q81" s="265"/>
      <c r="R81" s="265"/>
      <c r="S81" s="265"/>
      <c r="T81" s="265"/>
      <c r="U81" s="265"/>
      <c r="V81" s="265"/>
      <c r="W81" s="265"/>
      <c r="X81" s="265"/>
      <c r="Y81" s="265"/>
      <c r="Z81" s="265"/>
      <c r="AA81" s="265"/>
      <c r="AB81" s="265"/>
      <c r="AC81" s="265"/>
      <c r="AD81" s="265"/>
      <c r="AE81" s="265"/>
      <c r="AF81" s="265"/>
      <c r="AG81" s="265"/>
      <c r="AH81" s="265"/>
      <c r="AI81" s="265"/>
      <c r="AJ81" s="265"/>
      <c r="AK81" s="265"/>
      <c r="AL81" s="265"/>
      <c r="AM81" s="265"/>
      <c r="AN81" s="265"/>
      <c r="AO81" s="265"/>
      <c r="AP81" s="265"/>
      <c r="AQ81" s="265"/>
      <c r="AR81" s="265"/>
      <c r="AS81" s="265"/>
      <c r="AT81" s="265"/>
      <c r="AU81" s="265"/>
      <c r="AV81" s="265"/>
      <c r="AW81" s="265"/>
      <c r="AX81" s="265"/>
      <c r="AY81" s="265"/>
      <c r="AZ81" s="265"/>
      <c r="BA81" s="265"/>
      <c r="BB81" s="265"/>
      <c r="BC81" s="265"/>
      <c r="BD81" s="265"/>
      <c r="BE81" s="265"/>
      <c r="BF81" s="265"/>
      <c r="BG81" s="265"/>
      <c r="BH81" s="265"/>
      <c r="BI81" s="265"/>
      <c r="BJ81" s="265"/>
      <c r="BK81" s="265"/>
      <c r="BL81" s="265"/>
      <c r="BM81" s="265"/>
      <c r="BN81" s="265"/>
      <c r="BO81" s="265"/>
      <c r="BP81" s="265"/>
      <c r="BQ81" s="265"/>
    </row>
    <row r="82" spans="1:69">
      <c r="A82" s="1"/>
      <c r="B82" s="265"/>
      <c r="C82" s="277"/>
      <c r="D82" s="265"/>
      <c r="E82" s="265"/>
      <c r="F82" s="265"/>
      <c r="G82" s="265"/>
      <c r="H82" s="265"/>
      <c r="I82" s="265"/>
      <c r="J82" s="265"/>
      <c r="K82" s="265"/>
      <c r="L82" s="265"/>
      <c r="M82" s="265"/>
      <c r="N82" s="265"/>
      <c r="O82" s="265"/>
      <c r="P82" s="265"/>
      <c r="Q82" s="265"/>
      <c r="R82" s="265"/>
      <c r="S82" s="265"/>
      <c r="T82" s="265"/>
      <c r="U82" s="265"/>
      <c r="V82" s="265"/>
      <c r="W82" s="265"/>
      <c r="X82" s="265"/>
      <c r="Y82" s="265"/>
      <c r="Z82" s="265"/>
      <c r="AA82" s="265"/>
      <c r="AB82" s="265"/>
      <c r="AC82" s="265"/>
      <c r="AD82" s="265"/>
      <c r="AE82" s="265"/>
      <c r="AF82" s="265"/>
      <c r="AG82" s="265"/>
      <c r="AH82" s="265"/>
      <c r="AI82" s="265"/>
      <c r="AJ82" s="265"/>
      <c r="AK82" s="265"/>
      <c r="AL82" s="265"/>
      <c r="AM82" s="265"/>
      <c r="AN82" s="265"/>
      <c r="AO82" s="265"/>
      <c r="AP82" s="265"/>
      <c r="AQ82" s="265"/>
      <c r="AR82" s="265"/>
      <c r="AS82" s="265"/>
      <c r="AT82" s="265"/>
      <c r="AU82" s="265"/>
      <c r="AV82" s="265"/>
      <c r="AW82" s="265"/>
      <c r="AX82" s="265"/>
      <c r="AY82" s="265"/>
      <c r="AZ82" s="265"/>
      <c r="BA82" s="265"/>
      <c r="BB82" s="265"/>
      <c r="BC82" s="265"/>
      <c r="BD82" s="265"/>
      <c r="BE82" s="265"/>
      <c r="BF82" s="265"/>
      <c r="BG82" s="265"/>
      <c r="BH82" s="265"/>
      <c r="BI82" s="265"/>
      <c r="BJ82" s="265"/>
      <c r="BK82" s="265"/>
      <c r="BL82" s="265"/>
      <c r="BM82" s="265"/>
      <c r="BN82" s="265"/>
      <c r="BO82" s="265"/>
      <c r="BP82" s="265"/>
      <c r="BQ82" s="265"/>
    </row>
    <row r="83" spans="1:69">
      <c r="A83" s="1"/>
      <c r="B83" s="265"/>
      <c r="C83" s="277"/>
      <c r="D83" s="265"/>
      <c r="E83" s="265"/>
      <c r="F83" s="265"/>
      <c r="G83" s="265"/>
      <c r="H83" s="265"/>
      <c r="I83" s="265"/>
      <c r="J83" s="265"/>
      <c r="K83" s="265"/>
      <c r="L83" s="265"/>
      <c r="M83" s="265"/>
      <c r="N83" s="265"/>
      <c r="O83" s="265"/>
      <c r="P83" s="265"/>
      <c r="Q83" s="265"/>
      <c r="R83" s="265"/>
      <c r="S83" s="265"/>
      <c r="T83" s="265"/>
      <c r="U83" s="265"/>
      <c r="V83" s="265"/>
      <c r="W83" s="265"/>
      <c r="X83" s="265"/>
      <c r="Y83" s="265"/>
      <c r="Z83" s="265"/>
      <c r="AA83" s="265"/>
      <c r="AB83" s="265"/>
      <c r="AC83" s="265"/>
      <c r="AD83" s="265"/>
      <c r="AE83" s="265"/>
      <c r="AF83" s="265"/>
      <c r="AG83" s="265"/>
      <c r="AH83" s="265"/>
      <c r="AI83" s="265"/>
      <c r="AJ83" s="265"/>
      <c r="AK83" s="265"/>
      <c r="AL83" s="265"/>
      <c r="AM83" s="265"/>
      <c r="AN83" s="265"/>
      <c r="AO83" s="265"/>
      <c r="AP83" s="265"/>
      <c r="AQ83" s="265"/>
      <c r="AR83" s="265"/>
      <c r="AS83" s="265"/>
      <c r="AT83" s="265"/>
      <c r="AU83" s="265"/>
      <c r="AV83" s="265"/>
      <c r="AW83" s="265"/>
      <c r="AX83" s="265"/>
      <c r="AY83" s="265"/>
      <c r="AZ83" s="265"/>
      <c r="BA83" s="265"/>
      <c r="BB83" s="265"/>
      <c r="BC83" s="265"/>
      <c r="BD83" s="265"/>
      <c r="BE83" s="265"/>
      <c r="BF83" s="265"/>
      <c r="BG83" s="265"/>
      <c r="BH83" s="265"/>
      <c r="BI83" s="265"/>
      <c r="BJ83" s="265"/>
      <c r="BK83" s="265"/>
      <c r="BL83" s="265"/>
      <c r="BM83" s="265"/>
      <c r="BN83" s="265"/>
      <c r="BO83" s="265"/>
      <c r="BP83" s="265"/>
      <c r="BQ83" s="265"/>
    </row>
    <row r="84" spans="1:69">
      <c r="A84" s="1"/>
      <c r="B84" s="265"/>
      <c r="C84" s="277"/>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5"/>
      <c r="BA84" s="265"/>
      <c r="BB84" s="265"/>
      <c r="BC84" s="265"/>
      <c r="BD84" s="265"/>
      <c r="BE84" s="265"/>
      <c r="BF84" s="265"/>
      <c r="BG84" s="265"/>
      <c r="BH84" s="265"/>
      <c r="BI84" s="265"/>
      <c r="BJ84" s="265"/>
      <c r="BK84" s="265"/>
      <c r="BL84" s="265"/>
      <c r="BM84" s="265"/>
      <c r="BN84" s="265"/>
      <c r="BO84" s="265"/>
      <c r="BP84" s="265"/>
      <c r="BQ84" s="265"/>
    </row>
    <row r="85" spans="1:69">
      <c r="A85" s="1"/>
      <c r="B85" s="265"/>
      <c r="C85" s="277"/>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5"/>
      <c r="AW85" s="265"/>
      <c r="AX85" s="265"/>
      <c r="AY85" s="265"/>
      <c r="AZ85" s="265"/>
      <c r="BA85" s="265"/>
      <c r="BB85" s="265"/>
      <c r="BC85" s="265"/>
      <c r="BD85" s="265"/>
      <c r="BE85" s="265"/>
      <c r="BF85" s="265"/>
      <c r="BG85" s="265"/>
      <c r="BH85" s="265"/>
      <c r="BI85" s="265"/>
      <c r="BJ85" s="265"/>
      <c r="BK85" s="265"/>
      <c r="BL85" s="265"/>
      <c r="BM85" s="265"/>
      <c r="BN85" s="265"/>
      <c r="BO85" s="265"/>
      <c r="BP85" s="265"/>
      <c r="BQ85" s="265"/>
    </row>
    <row r="86" spans="1:69">
      <c r="A86" s="1"/>
      <c r="B86" s="265"/>
      <c r="C86" s="277"/>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5"/>
      <c r="AT86" s="265"/>
      <c r="AU86" s="265"/>
      <c r="AV86" s="265"/>
      <c r="AW86" s="265"/>
      <c r="AX86" s="265"/>
      <c r="AY86" s="265"/>
      <c r="AZ86" s="265"/>
      <c r="BA86" s="265"/>
      <c r="BB86" s="265"/>
      <c r="BC86" s="265"/>
      <c r="BD86" s="265"/>
      <c r="BE86" s="265"/>
      <c r="BF86" s="265"/>
      <c r="BG86" s="265"/>
      <c r="BH86" s="265"/>
      <c r="BI86" s="265"/>
      <c r="BJ86" s="265"/>
      <c r="BK86" s="265"/>
      <c r="BL86" s="265"/>
      <c r="BM86" s="265"/>
      <c r="BN86" s="265"/>
      <c r="BO86" s="265"/>
      <c r="BP86" s="265"/>
      <c r="BQ86" s="265"/>
    </row>
    <row r="87" spans="1:69">
      <c r="A87" s="1"/>
      <c r="B87" s="265"/>
      <c r="C87" s="277"/>
      <c r="D87" s="265"/>
      <c r="E87" s="265"/>
      <c r="F87" s="265"/>
      <c r="G87" s="265"/>
      <c r="H87" s="265"/>
      <c r="I87" s="265"/>
      <c r="J87" s="265"/>
      <c r="K87" s="265"/>
      <c r="L87" s="265"/>
      <c r="M87" s="265"/>
      <c r="N87" s="265"/>
      <c r="O87" s="265"/>
      <c r="P87" s="265"/>
      <c r="Q87" s="265"/>
      <c r="R87" s="265"/>
      <c r="S87" s="265"/>
      <c r="T87" s="265"/>
      <c r="U87" s="265"/>
      <c r="V87" s="265"/>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5"/>
      <c r="AT87" s="265"/>
      <c r="AU87" s="265"/>
      <c r="AV87" s="265"/>
      <c r="AW87" s="265"/>
      <c r="AX87" s="265"/>
      <c r="AY87" s="265"/>
      <c r="AZ87" s="265"/>
      <c r="BA87" s="265"/>
      <c r="BB87" s="265"/>
      <c r="BC87" s="265"/>
      <c r="BD87" s="265"/>
      <c r="BE87" s="265"/>
      <c r="BF87" s="265"/>
      <c r="BG87" s="265"/>
      <c r="BH87" s="265"/>
      <c r="BI87" s="265"/>
      <c r="BJ87" s="265"/>
      <c r="BK87" s="265"/>
      <c r="BL87" s="265"/>
      <c r="BM87" s="265"/>
      <c r="BN87" s="265"/>
      <c r="BO87" s="265"/>
      <c r="BP87" s="265"/>
      <c r="BQ87" s="265"/>
    </row>
    <row r="88" spans="1:69">
      <c r="A88" s="1"/>
      <c r="B88" s="265"/>
      <c r="C88" s="277"/>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5"/>
      <c r="AZ88" s="265"/>
      <c r="BA88" s="265"/>
      <c r="BB88" s="265"/>
      <c r="BC88" s="265"/>
      <c r="BD88" s="265"/>
      <c r="BE88" s="265"/>
      <c r="BF88" s="265"/>
      <c r="BG88" s="265"/>
      <c r="BH88" s="265"/>
      <c r="BI88" s="265"/>
      <c r="BJ88" s="265"/>
      <c r="BK88" s="265"/>
      <c r="BL88" s="265"/>
      <c r="BM88" s="265"/>
      <c r="BN88" s="265"/>
      <c r="BO88" s="265"/>
      <c r="BP88" s="265"/>
      <c r="BQ88" s="265"/>
    </row>
    <row r="89" spans="1:69">
      <c r="A89" s="1"/>
      <c r="B89" s="265"/>
      <c r="C89" s="277"/>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65"/>
      <c r="BA89" s="265"/>
      <c r="BB89" s="265"/>
      <c r="BC89" s="265"/>
      <c r="BD89" s="265"/>
      <c r="BE89" s="265"/>
      <c r="BF89" s="265"/>
      <c r="BG89" s="265"/>
      <c r="BH89" s="265"/>
      <c r="BI89" s="265"/>
      <c r="BJ89" s="265"/>
      <c r="BK89" s="265"/>
      <c r="BL89" s="265"/>
      <c r="BM89" s="265"/>
      <c r="BN89" s="265"/>
      <c r="BO89" s="265"/>
      <c r="BP89" s="265"/>
      <c r="BQ89" s="265"/>
    </row>
    <row r="90" spans="1:69">
      <c r="A90" s="1"/>
      <c r="B90" s="265"/>
      <c r="C90" s="277"/>
      <c r="D90" s="265"/>
      <c r="E90" s="265"/>
      <c r="F90" s="265"/>
      <c r="G90" s="265"/>
      <c r="H90" s="265"/>
      <c r="I90" s="265"/>
      <c r="J90" s="265"/>
      <c r="K90" s="265"/>
      <c r="L90" s="265"/>
      <c r="M90" s="265"/>
      <c r="N90" s="265"/>
      <c r="O90" s="265"/>
      <c r="P90" s="265"/>
      <c r="Q90" s="265"/>
      <c r="R90" s="265"/>
      <c r="S90" s="265"/>
      <c r="T90" s="265"/>
      <c r="U90" s="265"/>
      <c r="V90" s="265"/>
      <c r="W90" s="265"/>
      <c r="X90" s="265"/>
      <c r="Y90" s="265"/>
      <c r="Z90" s="265"/>
      <c r="AA90" s="265"/>
      <c r="AB90" s="265"/>
      <c r="AC90" s="265"/>
      <c r="AD90" s="265"/>
      <c r="AE90" s="265"/>
      <c r="AF90" s="265"/>
      <c r="AG90" s="265"/>
      <c r="AH90" s="265"/>
      <c r="AI90" s="265"/>
      <c r="AJ90" s="265"/>
      <c r="AK90" s="265"/>
      <c r="AL90" s="265"/>
      <c r="AM90" s="265"/>
      <c r="AN90" s="265"/>
      <c r="AO90" s="265"/>
      <c r="AP90" s="265"/>
      <c r="AQ90" s="265"/>
      <c r="AR90" s="265"/>
      <c r="AS90" s="265"/>
      <c r="AT90" s="265"/>
      <c r="AU90" s="265"/>
      <c r="AV90" s="265"/>
      <c r="AW90" s="265"/>
      <c r="AX90" s="265"/>
      <c r="AY90" s="265"/>
      <c r="AZ90" s="265"/>
      <c r="BA90" s="265"/>
      <c r="BB90" s="265"/>
      <c r="BC90" s="265"/>
      <c r="BD90" s="265"/>
      <c r="BE90" s="265"/>
      <c r="BF90" s="265"/>
      <c r="BG90" s="265"/>
      <c r="BH90" s="265"/>
      <c r="BI90" s="265"/>
      <c r="BJ90" s="265"/>
      <c r="BK90" s="265"/>
      <c r="BL90" s="265"/>
      <c r="BM90" s="265"/>
      <c r="BN90" s="265"/>
      <c r="BO90" s="265"/>
      <c r="BP90" s="265"/>
      <c r="BQ90" s="265"/>
    </row>
    <row r="91" spans="1:69">
      <c r="A91" s="1"/>
      <c r="B91" s="265"/>
      <c r="C91" s="277"/>
      <c r="D91" s="265"/>
      <c r="E91" s="265"/>
      <c r="F91" s="265"/>
      <c r="G91" s="265"/>
      <c r="H91" s="265"/>
      <c r="I91" s="265"/>
      <c r="J91" s="265"/>
      <c r="K91" s="265"/>
      <c r="L91" s="265"/>
      <c r="M91" s="265"/>
      <c r="N91" s="265"/>
      <c r="O91" s="265"/>
      <c r="P91" s="265"/>
      <c r="Q91" s="265"/>
      <c r="R91" s="265"/>
      <c r="S91" s="265"/>
      <c r="T91" s="265"/>
      <c r="U91" s="265"/>
      <c r="V91" s="265"/>
      <c r="W91" s="265"/>
      <c r="X91" s="265"/>
      <c r="Y91" s="265"/>
      <c r="Z91" s="265"/>
      <c r="AA91" s="265"/>
      <c r="AB91" s="265"/>
      <c r="AC91" s="265"/>
      <c r="AD91" s="265"/>
      <c r="AE91" s="265"/>
      <c r="AF91" s="265"/>
      <c r="AG91" s="265"/>
      <c r="AH91" s="265"/>
      <c r="AI91" s="265"/>
      <c r="AJ91" s="265"/>
      <c r="AK91" s="265"/>
      <c r="AL91" s="265"/>
      <c r="AM91" s="265"/>
      <c r="AN91" s="265"/>
      <c r="AO91" s="265"/>
      <c r="AP91" s="265"/>
      <c r="AQ91" s="265"/>
      <c r="AR91" s="265"/>
      <c r="AS91" s="265"/>
      <c r="AT91" s="265"/>
      <c r="AU91" s="265"/>
      <c r="AV91" s="265"/>
      <c r="AW91" s="265"/>
      <c r="AX91" s="265"/>
      <c r="AY91" s="265"/>
      <c r="AZ91" s="265"/>
      <c r="BA91" s="265"/>
      <c r="BB91" s="265"/>
      <c r="BC91" s="265"/>
      <c r="BD91" s="265"/>
      <c r="BE91" s="265"/>
      <c r="BF91" s="265"/>
      <c r="BG91" s="265"/>
      <c r="BH91" s="265"/>
      <c r="BI91" s="265"/>
      <c r="BJ91" s="265"/>
      <c r="BK91" s="265"/>
      <c r="BL91" s="265"/>
      <c r="BM91" s="265"/>
      <c r="BN91" s="265"/>
      <c r="BO91" s="265"/>
      <c r="BP91" s="265"/>
      <c r="BQ91" s="265"/>
    </row>
    <row r="92" spans="1:69">
      <c r="A92" s="1"/>
      <c r="B92" s="265"/>
      <c r="C92" s="277"/>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c r="AE92" s="265"/>
      <c r="AF92" s="265"/>
      <c r="AG92" s="265"/>
      <c r="AH92" s="265"/>
      <c r="AI92" s="265"/>
      <c r="AJ92" s="265"/>
      <c r="AK92" s="265"/>
      <c r="AL92" s="265"/>
      <c r="AM92" s="265"/>
      <c r="AN92" s="265"/>
      <c r="AO92" s="265"/>
      <c r="AP92" s="265"/>
      <c r="AQ92" s="265"/>
      <c r="AR92" s="265"/>
      <c r="AS92" s="265"/>
      <c r="AT92" s="265"/>
      <c r="AU92" s="265"/>
      <c r="AV92" s="265"/>
      <c r="AW92" s="265"/>
      <c r="AX92" s="265"/>
      <c r="AY92" s="265"/>
      <c r="AZ92" s="265"/>
      <c r="BA92" s="265"/>
      <c r="BB92" s="265"/>
      <c r="BC92" s="265"/>
      <c r="BD92" s="265"/>
      <c r="BE92" s="265"/>
      <c r="BF92" s="265"/>
      <c r="BG92" s="265"/>
      <c r="BH92" s="265"/>
      <c r="BI92" s="265"/>
      <c r="BJ92" s="265"/>
      <c r="BK92" s="265"/>
      <c r="BL92" s="265"/>
      <c r="BM92" s="265"/>
      <c r="BN92" s="265"/>
      <c r="BO92" s="265"/>
      <c r="BP92" s="265"/>
      <c r="BQ92" s="265"/>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145"/>
  <sheetViews>
    <sheetView zoomScale="87" zoomScaleNormal="87" workbookViewId="0">
      <selection activeCell="B6" sqref="B6"/>
    </sheetView>
  </sheetViews>
  <sheetFormatPr baseColWidth="10" defaultColWidth="8.7109375" defaultRowHeight="16"/>
  <cols>
    <col min="1" max="1" width="12.7109375" style="134" customWidth="1"/>
    <col min="2" max="2" width="86.7109375" style="134" customWidth="1"/>
    <col min="3" max="3" width="12.7109375" style="134" customWidth="1"/>
    <col min="4" max="256" width="9.7109375" style="134" customWidth="1"/>
  </cols>
  <sheetData>
    <row r="1" spans="1:55">
      <c r="A1" s="1" t="s">
        <v>489</v>
      </c>
      <c r="B1" s="294">
        <v>0</v>
      </c>
      <c r="C1" s="289"/>
      <c r="D1" s="1"/>
    </row>
    <row r="2" spans="1:55">
      <c r="A2" s="1"/>
      <c r="B2" s="1"/>
      <c r="C2" s="289"/>
      <c r="D2" s="1"/>
    </row>
    <row r="3" spans="1:55" ht="34">
      <c r="A3" s="299" t="s">
        <v>490</v>
      </c>
      <c r="B3" s="301">
        <f>COUNTA(WEEK)</f>
        <v>52</v>
      </c>
      <c r="C3" s="289"/>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row>
    <row r="4" spans="1:55">
      <c r="A4" s="1"/>
      <c r="B4" s="1"/>
      <c r="C4" s="289"/>
      <c r="D4" s="1"/>
    </row>
    <row r="5" spans="1:55">
      <c r="A5" s="1" t="s">
        <v>491</v>
      </c>
      <c r="B5" s="294" t="s">
        <v>492</v>
      </c>
      <c r="C5" s="289"/>
      <c r="D5" s="1"/>
    </row>
    <row r="6" spans="1:55">
      <c r="A6" s="1"/>
      <c r="B6" s="290">
        <v>36892</v>
      </c>
      <c r="C6" s="289"/>
      <c r="D6" s="1"/>
    </row>
    <row r="7" spans="1:55">
      <c r="A7" s="1"/>
      <c r="B7" s="290">
        <v>36899</v>
      </c>
      <c r="C7" s="289"/>
      <c r="D7" s="1"/>
    </row>
    <row r="8" spans="1:55">
      <c r="A8" s="1"/>
      <c r="B8" s="290">
        <v>36906</v>
      </c>
      <c r="C8" s="289"/>
      <c r="D8" s="1"/>
    </row>
    <row r="9" spans="1:55">
      <c r="A9" s="1"/>
      <c r="B9" s="290">
        <v>36913</v>
      </c>
      <c r="C9" s="289"/>
      <c r="D9" s="1"/>
    </row>
    <row r="10" spans="1:55">
      <c r="A10" s="1"/>
      <c r="B10" s="290">
        <v>36920</v>
      </c>
      <c r="C10" s="289"/>
      <c r="D10" s="1"/>
    </row>
    <row r="11" spans="1:55">
      <c r="A11" s="1"/>
      <c r="B11" s="290">
        <v>36927</v>
      </c>
      <c r="C11" s="289"/>
      <c r="D11" s="1"/>
    </row>
    <row r="12" spans="1:55">
      <c r="A12" s="1"/>
      <c r="B12" s="290">
        <v>36934</v>
      </c>
      <c r="C12" s="289"/>
      <c r="D12" s="1"/>
    </row>
    <row r="13" spans="1:55">
      <c r="A13" s="1"/>
      <c r="B13" s="290">
        <v>36941</v>
      </c>
      <c r="C13" s="289"/>
      <c r="D13" s="1"/>
    </row>
    <row r="14" spans="1:55">
      <c r="A14" s="1"/>
      <c r="B14" s="290">
        <v>36948</v>
      </c>
      <c r="C14" s="289"/>
      <c r="D14" s="1"/>
    </row>
    <row r="15" spans="1:55">
      <c r="A15" s="1"/>
      <c r="B15" s="290">
        <v>36955</v>
      </c>
      <c r="C15" s="289"/>
      <c r="D15" s="1"/>
    </row>
    <row r="16" spans="1:55">
      <c r="A16" s="1"/>
      <c r="B16" s="290">
        <v>36962</v>
      </c>
      <c r="C16" s="289"/>
      <c r="D16" s="1"/>
    </row>
    <row r="17" spans="1:4">
      <c r="A17" s="1"/>
      <c r="B17" s="290">
        <v>36969</v>
      </c>
      <c r="C17" s="289"/>
      <c r="D17" s="1"/>
    </row>
    <row r="18" spans="1:4">
      <c r="A18" s="1"/>
      <c r="B18" s="290">
        <v>36976</v>
      </c>
      <c r="C18" s="289"/>
      <c r="D18" s="1"/>
    </row>
    <row r="19" spans="1:4">
      <c r="A19" s="1"/>
      <c r="B19" s="290">
        <v>36983</v>
      </c>
      <c r="C19" s="289"/>
      <c r="D19" s="1"/>
    </row>
    <row r="20" spans="1:4">
      <c r="A20" s="1"/>
      <c r="B20" s="290">
        <v>36990</v>
      </c>
      <c r="C20" s="289"/>
      <c r="D20" s="1"/>
    </row>
    <row r="21" spans="1:4">
      <c r="A21" s="1"/>
      <c r="B21" s="290">
        <v>36997</v>
      </c>
      <c r="C21" s="289"/>
      <c r="D21" s="1"/>
    </row>
    <row r="22" spans="1:4">
      <c r="A22" s="1"/>
      <c r="B22" s="290">
        <v>37004</v>
      </c>
      <c r="C22" s="289"/>
      <c r="D22" s="1"/>
    </row>
    <row r="23" spans="1:4">
      <c r="A23" s="1"/>
      <c r="B23" s="290">
        <v>37011</v>
      </c>
      <c r="C23" s="289"/>
      <c r="D23" s="1"/>
    </row>
    <row r="24" spans="1:4">
      <c r="A24" s="1"/>
      <c r="B24" s="290">
        <v>37018</v>
      </c>
      <c r="C24" s="289"/>
      <c r="D24" s="1"/>
    </row>
    <row r="25" spans="1:4">
      <c r="A25" s="1"/>
      <c r="B25" s="290">
        <v>37025</v>
      </c>
      <c r="C25" s="289"/>
      <c r="D25" s="1"/>
    </row>
    <row r="26" spans="1:4">
      <c r="A26" s="1"/>
      <c r="B26" s="290">
        <v>37032</v>
      </c>
      <c r="C26" s="289"/>
      <c r="D26" s="1"/>
    </row>
    <row r="27" spans="1:4">
      <c r="A27" s="1"/>
      <c r="B27" s="290">
        <v>37039</v>
      </c>
      <c r="C27" s="289"/>
      <c r="D27" s="1"/>
    </row>
    <row r="28" spans="1:4">
      <c r="A28" s="1"/>
      <c r="B28" s="290">
        <v>37046</v>
      </c>
      <c r="C28" s="289"/>
      <c r="D28" s="1"/>
    </row>
    <row r="29" spans="1:4">
      <c r="A29" s="1"/>
      <c r="B29" s="290">
        <v>37053</v>
      </c>
      <c r="C29" s="289"/>
      <c r="D29" s="1"/>
    </row>
    <row r="30" spans="1:4">
      <c r="A30" s="1"/>
      <c r="B30" s="290">
        <v>37060</v>
      </c>
      <c r="C30" s="289"/>
      <c r="D30" s="1"/>
    </row>
    <row r="31" spans="1:4">
      <c r="A31" s="1"/>
      <c r="B31" s="290">
        <v>37067</v>
      </c>
      <c r="C31" s="289"/>
      <c r="D31" s="1"/>
    </row>
    <row r="32" spans="1:4">
      <c r="A32" s="1"/>
      <c r="B32" s="290">
        <v>37074</v>
      </c>
      <c r="C32" s="289"/>
      <c r="D32" s="1"/>
    </row>
    <row r="33" spans="1:4">
      <c r="A33" s="1"/>
      <c r="B33" s="290">
        <v>37081</v>
      </c>
      <c r="C33" s="289"/>
      <c r="D33" s="1"/>
    </row>
    <row r="34" spans="1:4">
      <c r="A34" s="1"/>
      <c r="B34" s="290">
        <v>37088</v>
      </c>
      <c r="C34" s="289"/>
      <c r="D34" s="1"/>
    </row>
    <row r="35" spans="1:4">
      <c r="A35" s="1"/>
      <c r="B35" s="290">
        <v>37095</v>
      </c>
      <c r="C35" s="289"/>
      <c r="D35" s="1"/>
    </row>
    <row r="36" spans="1:4">
      <c r="A36" s="1"/>
      <c r="B36" s="290">
        <v>37102</v>
      </c>
      <c r="C36" s="289"/>
      <c r="D36" s="1"/>
    </row>
    <row r="37" spans="1:4">
      <c r="A37" s="1"/>
      <c r="B37" s="290">
        <v>37109</v>
      </c>
      <c r="C37" s="289"/>
      <c r="D37" s="1"/>
    </row>
    <row r="38" spans="1:4">
      <c r="A38" s="1"/>
      <c r="B38" s="290">
        <v>37116</v>
      </c>
      <c r="C38" s="289"/>
      <c r="D38" s="1"/>
    </row>
    <row r="39" spans="1:4">
      <c r="A39" s="1"/>
      <c r="B39" s="290">
        <v>37123</v>
      </c>
      <c r="C39" s="289"/>
      <c r="D39" s="1" t="s">
        <v>493</v>
      </c>
    </row>
    <row r="40" spans="1:4">
      <c r="A40" s="1"/>
      <c r="B40" s="290">
        <v>37130</v>
      </c>
      <c r="C40" s="289"/>
      <c r="D40" s="1"/>
    </row>
    <row r="41" spans="1:4">
      <c r="A41" s="1"/>
      <c r="B41" s="290">
        <v>37137</v>
      </c>
      <c r="C41" s="289"/>
      <c r="D41" s="1"/>
    </row>
    <row r="42" spans="1:4">
      <c r="A42" s="1"/>
      <c r="B42" s="290">
        <v>37144</v>
      </c>
      <c r="C42" s="289"/>
      <c r="D42" s="1"/>
    </row>
    <row r="43" spans="1:4">
      <c r="A43" s="1"/>
      <c r="B43" s="290">
        <v>37151</v>
      </c>
      <c r="C43" s="289"/>
      <c r="D43" s="1"/>
    </row>
    <row r="44" spans="1:4">
      <c r="A44" s="1"/>
      <c r="B44" s="290">
        <v>37158</v>
      </c>
      <c r="C44" s="289"/>
      <c r="D44" s="1"/>
    </row>
    <row r="45" spans="1:4">
      <c r="A45" s="1"/>
      <c r="B45" s="290">
        <v>37165</v>
      </c>
      <c r="C45" s="289"/>
      <c r="D45" s="1"/>
    </row>
    <row r="46" spans="1:4">
      <c r="A46" s="1"/>
      <c r="B46" s="290">
        <v>37172</v>
      </c>
      <c r="C46" s="289"/>
      <c r="D46" s="1"/>
    </row>
    <row r="47" spans="1:4">
      <c r="A47" s="1"/>
      <c r="B47" s="290">
        <v>37179</v>
      </c>
      <c r="C47" s="289"/>
      <c r="D47" s="1"/>
    </row>
    <row r="48" spans="1:4">
      <c r="A48" s="1"/>
      <c r="B48" s="290">
        <v>37186</v>
      </c>
      <c r="C48" s="289"/>
      <c r="D48" s="1"/>
    </row>
    <row r="49" spans="1:4">
      <c r="A49" s="1"/>
      <c r="B49" s="290">
        <v>37193</v>
      </c>
      <c r="C49" s="289"/>
      <c r="D49" s="1"/>
    </row>
    <row r="50" spans="1:4">
      <c r="A50" s="1"/>
      <c r="B50" s="290">
        <v>37200</v>
      </c>
      <c r="C50" s="289"/>
      <c r="D50" s="1"/>
    </row>
    <row r="51" spans="1:4">
      <c r="A51" s="1"/>
      <c r="B51" s="290">
        <v>37207</v>
      </c>
      <c r="C51" s="289"/>
      <c r="D51" s="1"/>
    </row>
    <row r="52" spans="1:4">
      <c r="A52" s="1"/>
      <c r="B52" s="290">
        <v>37214</v>
      </c>
      <c r="C52" s="289"/>
      <c r="D52" s="1"/>
    </row>
    <row r="53" spans="1:4">
      <c r="A53" s="1"/>
      <c r="B53" s="290">
        <v>37221</v>
      </c>
      <c r="C53" s="289"/>
      <c r="D53" s="1"/>
    </row>
    <row r="54" spans="1:4">
      <c r="A54" s="1"/>
      <c r="B54" s="290">
        <v>37228</v>
      </c>
      <c r="C54" s="289"/>
      <c r="D54" s="1"/>
    </row>
    <row r="55" spans="1:4">
      <c r="A55" s="1"/>
      <c r="B55" s="290">
        <v>37235</v>
      </c>
      <c r="C55" s="289"/>
      <c r="D55" s="1"/>
    </row>
    <row r="56" spans="1:4">
      <c r="A56" s="1"/>
      <c r="B56" s="290">
        <v>37242</v>
      </c>
      <c r="C56" s="289"/>
      <c r="D56" s="1"/>
    </row>
    <row r="57" spans="1:4">
      <c r="A57" s="1"/>
      <c r="B57" s="290">
        <v>37249</v>
      </c>
      <c r="C57" s="1" t="s">
        <v>494</v>
      </c>
      <c r="D57" s="1"/>
    </row>
    <row r="58" spans="1:4">
      <c r="A58" s="1"/>
      <c r="B58" s="1"/>
      <c r="C58" s="289"/>
      <c r="D58" s="1"/>
    </row>
    <row r="59" spans="1:4">
      <c r="A59" s="294" t="s">
        <v>495</v>
      </c>
      <c r="B59" s="1" t="s">
        <v>494</v>
      </c>
      <c r="C59" s="289"/>
      <c r="D59" s="1"/>
    </row>
    <row r="60" spans="1:4">
      <c r="A60" s="1"/>
      <c r="B60" s="1" t="s">
        <v>496</v>
      </c>
      <c r="C60" s="289"/>
      <c r="D60" s="1"/>
    </row>
    <row r="61" spans="1:4">
      <c r="A61" s="1"/>
      <c r="B61" s="1" t="s">
        <v>497</v>
      </c>
      <c r="C61" s="289"/>
      <c r="D61" s="1"/>
    </row>
    <row r="62" spans="1:4">
      <c r="A62" s="1"/>
      <c r="B62" s="1" t="s">
        <v>498</v>
      </c>
      <c r="C62" s="289"/>
      <c r="D62" s="1"/>
    </row>
    <row r="63" spans="1:4">
      <c r="A63" s="1"/>
      <c r="B63" s="1" t="s">
        <v>499</v>
      </c>
      <c r="C63" s="289"/>
      <c r="D63" s="1"/>
    </row>
    <row r="64" spans="1:4">
      <c r="A64" s="1"/>
      <c r="B64" s="1" t="s">
        <v>500</v>
      </c>
      <c r="C64" s="289"/>
      <c r="D64" s="1"/>
    </row>
    <row r="65" spans="1:4">
      <c r="A65" s="1"/>
      <c r="B65" s="1" t="s">
        <v>501</v>
      </c>
      <c r="C65" s="289"/>
      <c r="D65" s="1"/>
    </row>
    <row r="66" spans="1:4">
      <c r="A66" s="1"/>
      <c r="B66" s="1" t="s">
        <v>502</v>
      </c>
      <c r="C66" s="289"/>
      <c r="D66" s="1"/>
    </row>
    <row r="67" spans="1:4">
      <c r="A67" s="1" t="s">
        <v>503</v>
      </c>
      <c r="B67" s="1" t="s">
        <v>504</v>
      </c>
      <c r="C67" s="289" t="s">
        <v>505</v>
      </c>
      <c r="D67" s="1"/>
    </row>
    <row r="68" spans="1:4">
      <c r="A68" s="1"/>
      <c r="B68" s="1" t="s">
        <v>506</v>
      </c>
      <c r="C68" s="289" t="s">
        <v>507</v>
      </c>
      <c r="D68" s="1"/>
    </row>
    <row r="69" spans="1:4">
      <c r="A69" s="1"/>
      <c r="B69" s="1" t="s">
        <v>508</v>
      </c>
      <c r="C69" s="289" t="s">
        <v>509</v>
      </c>
      <c r="D69" s="1"/>
    </row>
    <row r="70" spans="1:4">
      <c r="A70" s="1"/>
      <c r="B70" s="1" t="s">
        <v>510</v>
      </c>
      <c r="C70" s="289" t="s">
        <v>511</v>
      </c>
      <c r="D70" s="1"/>
    </row>
    <row r="71" spans="1:4">
      <c r="A71" s="1"/>
      <c r="B71" s="1" t="s">
        <v>512</v>
      </c>
      <c r="C71" s="289" t="s">
        <v>513</v>
      </c>
      <c r="D71" s="1"/>
    </row>
    <row r="72" spans="1:4">
      <c r="A72" s="1"/>
      <c r="B72" s="1" t="s">
        <v>514</v>
      </c>
      <c r="C72" s="289" t="s">
        <v>515</v>
      </c>
      <c r="D72" s="1"/>
    </row>
    <row r="73" spans="1:4">
      <c r="A73" s="1"/>
      <c r="B73" s="1" t="s">
        <v>516</v>
      </c>
      <c r="C73" s="289" t="s">
        <v>517</v>
      </c>
      <c r="D73" s="1"/>
    </row>
    <row r="74" spans="1:4">
      <c r="A74" s="1"/>
      <c r="B74" s="1" t="s">
        <v>518</v>
      </c>
      <c r="C74" s="289"/>
      <c r="D74" s="1"/>
    </row>
    <row r="75" spans="1:4">
      <c r="A75" s="1"/>
      <c r="B75" s="1" t="s">
        <v>519</v>
      </c>
      <c r="C75" s="289" t="s">
        <v>520</v>
      </c>
      <c r="D75" s="1"/>
    </row>
    <row r="76" spans="1:4">
      <c r="A76" s="1"/>
      <c r="B76" s="1" t="s">
        <v>521</v>
      </c>
      <c r="C76" s="289"/>
      <c r="D76" s="1"/>
    </row>
    <row r="77" spans="1:4">
      <c r="A77" s="1" t="s">
        <v>522</v>
      </c>
      <c r="B77" s="1" t="s">
        <v>523</v>
      </c>
      <c r="C77" s="289"/>
      <c r="D77" s="1"/>
    </row>
    <row r="78" spans="1:4">
      <c r="A78" s="1"/>
      <c r="B78" s="1" t="s">
        <v>504</v>
      </c>
      <c r="C78" s="289" t="s">
        <v>505</v>
      </c>
      <c r="D78" s="1"/>
    </row>
    <row r="79" spans="1:4">
      <c r="A79" s="1"/>
      <c r="B79" s="1" t="s">
        <v>524</v>
      </c>
      <c r="C79" s="289" t="s">
        <v>507</v>
      </c>
      <c r="D79" s="1"/>
    </row>
    <row r="80" spans="1:4">
      <c r="A80" s="1"/>
      <c r="B80" s="1" t="s">
        <v>525</v>
      </c>
      <c r="C80" s="289" t="s">
        <v>509</v>
      </c>
      <c r="D80" s="1"/>
    </row>
    <row r="81" spans="1:4">
      <c r="A81" s="1"/>
      <c r="B81" s="1" t="s">
        <v>526</v>
      </c>
      <c r="C81" s="289" t="s">
        <v>511</v>
      </c>
      <c r="D81" s="1"/>
    </row>
    <row r="82" spans="1:4">
      <c r="A82" s="1"/>
      <c r="B82" s="1" t="s">
        <v>527</v>
      </c>
      <c r="C82" s="289" t="s">
        <v>513</v>
      </c>
      <c r="D82" s="1"/>
    </row>
    <row r="83" spans="1:4">
      <c r="A83" s="1"/>
      <c r="B83" s="1" t="s">
        <v>528</v>
      </c>
      <c r="C83" s="289" t="s">
        <v>515</v>
      </c>
      <c r="D83" s="1"/>
    </row>
    <row r="84" spans="1:4">
      <c r="A84" s="1"/>
      <c r="B84" s="1" t="s">
        <v>529</v>
      </c>
      <c r="C84" s="289" t="s">
        <v>517</v>
      </c>
      <c r="D84" s="1"/>
    </row>
    <row r="85" spans="1:4">
      <c r="A85" s="1"/>
      <c r="B85" s="1" t="s">
        <v>530</v>
      </c>
      <c r="C85" s="289"/>
      <c r="D85" s="1"/>
    </row>
    <row r="86" spans="1:4">
      <c r="A86" s="1"/>
      <c r="B86" s="1" t="s">
        <v>519</v>
      </c>
      <c r="C86" s="289" t="s">
        <v>520</v>
      </c>
      <c r="D86" s="1"/>
    </row>
    <row r="87" spans="1:4">
      <c r="A87" s="1"/>
      <c r="B87" s="1" t="s">
        <v>531</v>
      </c>
      <c r="C87" s="289"/>
      <c r="D87" s="1"/>
    </row>
    <row r="88" spans="1:4">
      <c r="A88" s="1"/>
      <c r="B88" s="1" t="s">
        <v>532</v>
      </c>
      <c r="C88" s="289"/>
      <c r="D88" s="1"/>
    </row>
    <row r="89" spans="1:4">
      <c r="A89" s="1"/>
      <c r="B89" s="1"/>
      <c r="C89" s="289"/>
      <c r="D89" s="1"/>
    </row>
    <row r="90" spans="1:4">
      <c r="A90" s="1" t="s">
        <v>533</v>
      </c>
      <c r="B90" s="1" t="s">
        <v>534</v>
      </c>
      <c r="C90" s="289"/>
      <c r="D90" s="1"/>
    </row>
    <row r="91" spans="1:4">
      <c r="A91" s="1"/>
      <c r="B91" s="1" t="s">
        <v>535</v>
      </c>
      <c r="C91" s="289"/>
      <c r="D91" s="1"/>
    </row>
    <row r="92" spans="1:4">
      <c r="A92" s="1"/>
      <c r="B92" s="1"/>
      <c r="C92" s="289"/>
      <c r="D92" s="1"/>
    </row>
    <row r="93" spans="1:4">
      <c r="A93" s="294" t="s">
        <v>536</v>
      </c>
      <c r="B93" s="1" t="s">
        <v>537</v>
      </c>
      <c r="C93" s="289"/>
      <c r="D93" s="1"/>
    </row>
    <row r="94" spans="1:4">
      <c r="A94" s="1"/>
      <c r="B94" s="1"/>
      <c r="C94" s="289"/>
      <c r="D94" s="1"/>
    </row>
    <row r="95" spans="1:4">
      <c r="A95" s="294" t="s">
        <v>538</v>
      </c>
      <c r="B95" s="1" t="s">
        <v>539</v>
      </c>
      <c r="C95" s="289"/>
      <c r="D95" s="1"/>
    </row>
    <row r="96" spans="1:4">
      <c r="A96" s="1"/>
      <c r="B96" s="1"/>
      <c r="C96" s="289"/>
      <c r="D96" s="1"/>
    </row>
    <row r="97" spans="1:4">
      <c r="A97" s="1"/>
      <c r="B97" s="1"/>
      <c r="C97" s="289"/>
      <c r="D97" s="1"/>
    </row>
    <row r="98" spans="1:4">
      <c r="A98" s="1"/>
      <c r="B98" s="1"/>
      <c r="C98" s="289"/>
      <c r="D98" s="1"/>
    </row>
    <row r="99" spans="1:4">
      <c r="A99" s="1"/>
      <c r="B99" s="1"/>
      <c r="C99" s="289"/>
      <c r="D99" s="1"/>
    </row>
    <row r="100" spans="1:4">
      <c r="A100" s="1"/>
      <c r="B100" s="1"/>
      <c r="C100" s="289"/>
      <c r="D100" s="1"/>
    </row>
    <row r="101" spans="1:4">
      <c r="A101" s="1"/>
      <c r="B101" s="1"/>
      <c r="C101" s="289"/>
      <c r="D101" s="1"/>
    </row>
    <row r="102" spans="1:4">
      <c r="A102" s="1"/>
      <c r="B102" s="1"/>
      <c r="C102" s="289"/>
      <c r="D102" s="1"/>
    </row>
    <row r="103" spans="1:4">
      <c r="A103" s="1"/>
      <c r="B103" s="1"/>
      <c r="C103" s="289"/>
      <c r="D103" s="1"/>
    </row>
    <row r="104" spans="1:4">
      <c r="A104" s="1"/>
      <c r="B104" s="1"/>
      <c r="C104" s="289"/>
      <c r="D104" s="1"/>
    </row>
    <row r="105" spans="1:4">
      <c r="A105" s="1"/>
      <c r="B105" s="1"/>
      <c r="C105" s="289"/>
      <c r="D105" s="1"/>
    </row>
    <row r="106" spans="1:4">
      <c r="A106" s="1"/>
      <c r="B106" s="1"/>
      <c r="C106" s="289"/>
      <c r="D106" s="1"/>
    </row>
    <row r="107" spans="1:4">
      <c r="A107" s="1"/>
      <c r="B107" s="1"/>
      <c r="C107" s="289"/>
      <c r="D107" s="1"/>
    </row>
    <row r="108" spans="1:4">
      <c r="A108" s="1"/>
      <c r="B108" s="1"/>
      <c r="C108" s="289"/>
      <c r="D108" s="1"/>
    </row>
    <row r="109" spans="1:4">
      <c r="A109" s="1"/>
      <c r="B109" s="1"/>
      <c r="C109" s="289"/>
      <c r="D109" s="1"/>
    </row>
    <row r="110" spans="1:4">
      <c r="A110" s="1"/>
      <c r="B110" s="1"/>
      <c r="C110" s="289"/>
      <c r="D110" s="1"/>
    </row>
    <row r="111" spans="1:4">
      <c r="A111" s="1"/>
      <c r="B111" s="1"/>
      <c r="C111" s="289"/>
      <c r="D111" s="1"/>
    </row>
    <row r="112" spans="1:4">
      <c r="A112" s="1"/>
      <c r="B112" s="1"/>
      <c r="C112" s="289"/>
      <c r="D112" s="1"/>
    </row>
    <row r="113" spans="1:4">
      <c r="A113" s="1"/>
      <c r="B113" s="1"/>
      <c r="C113" s="289"/>
      <c r="D113" s="1"/>
    </row>
    <row r="114" spans="1:4">
      <c r="A114" s="1"/>
      <c r="B114" s="1"/>
      <c r="C114" s="289"/>
      <c r="D114" s="1"/>
    </row>
    <row r="115" spans="1:4">
      <c r="A115" s="1"/>
      <c r="B115" s="1"/>
      <c r="C115" s="289"/>
      <c r="D115" s="1"/>
    </row>
    <row r="116" spans="1:4">
      <c r="A116" s="1"/>
      <c r="B116" s="1"/>
      <c r="C116" s="289"/>
      <c r="D116" s="1"/>
    </row>
    <row r="117" spans="1:4">
      <c r="A117" s="1"/>
      <c r="B117" s="1"/>
      <c r="C117" s="289"/>
      <c r="D117" s="1"/>
    </row>
    <row r="118" spans="1:4">
      <c r="A118" s="1"/>
      <c r="B118" s="1"/>
      <c r="C118" s="289"/>
      <c r="D118" s="1"/>
    </row>
    <row r="119" spans="1:4">
      <c r="A119" s="1"/>
      <c r="B119" s="1"/>
      <c r="C119" s="289"/>
      <c r="D119" s="1"/>
    </row>
    <row r="120" spans="1:4">
      <c r="A120" s="1"/>
      <c r="B120" s="1"/>
      <c r="C120" s="289"/>
      <c r="D120" s="1"/>
    </row>
    <row r="121" spans="1:4">
      <c r="A121" s="1"/>
      <c r="B121" s="1"/>
      <c r="C121" s="289"/>
      <c r="D121" s="1"/>
    </row>
    <row r="122" spans="1:4">
      <c r="A122" s="1"/>
      <c r="B122" s="1"/>
      <c r="C122" s="289"/>
      <c r="D122" s="1"/>
    </row>
    <row r="123" spans="1:4">
      <c r="A123" s="1"/>
      <c r="B123" s="1"/>
      <c r="C123" s="289"/>
      <c r="D123" s="1"/>
    </row>
    <row r="124" spans="1:4">
      <c r="A124" s="1"/>
      <c r="B124" s="1"/>
      <c r="C124" s="289"/>
      <c r="D124" s="1"/>
    </row>
    <row r="125" spans="1:4">
      <c r="A125" s="1"/>
      <c r="B125" s="1"/>
      <c r="C125" s="289"/>
      <c r="D125" s="1"/>
    </row>
    <row r="126" spans="1:4">
      <c r="A126" s="1"/>
      <c r="B126" s="1"/>
      <c r="C126" s="289"/>
      <c r="D126" s="1"/>
    </row>
    <row r="127" spans="1:4">
      <c r="A127" s="1"/>
      <c r="B127" s="1"/>
      <c r="C127" s="289"/>
      <c r="D127" s="1"/>
    </row>
    <row r="128" spans="1:4">
      <c r="A128" s="1"/>
      <c r="B128" s="1"/>
      <c r="C128" s="289"/>
      <c r="D128" s="1"/>
    </row>
    <row r="129" spans="1:4">
      <c r="A129" s="1"/>
      <c r="B129" s="1"/>
      <c r="C129" s="289"/>
      <c r="D129" s="1"/>
    </row>
    <row r="130" spans="1:4">
      <c r="A130" s="1"/>
      <c r="B130" s="1"/>
      <c r="C130" s="289"/>
      <c r="D130" s="1"/>
    </row>
    <row r="131" spans="1:4">
      <c r="A131" s="1"/>
      <c r="B131" s="1"/>
      <c r="C131" s="289"/>
      <c r="D131" s="1"/>
    </row>
    <row r="132" spans="1:4">
      <c r="A132" s="1"/>
      <c r="B132" s="1"/>
      <c r="C132" s="289"/>
      <c r="D132" s="1"/>
    </row>
    <row r="133" spans="1:4">
      <c r="A133" s="1"/>
      <c r="B133" s="1"/>
      <c r="C133" s="289"/>
      <c r="D133" s="1"/>
    </row>
    <row r="134" spans="1:4">
      <c r="A134" s="1"/>
      <c r="B134" s="1"/>
      <c r="C134" s="289"/>
      <c r="D134" s="1"/>
    </row>
    <row r="135" spans="1:4">
      <c r="A135" s="1"/>
      <c r="B135" s="1"/>
      <c r="C135" s="289"/>
      <c r="D135" s="1"/>
    </row>
    <row r="136" spans="1:4">
      <c r="A136" s="1"/>
      <c r="B136" s="1"/>
      <c r="C136" s="289"/>
      <c r="D136" s="1"/>
    </row>
    <row r="137" spans="1:4">
      <c r="A137" s="1"/>
      <c r="B137" s="1"/>
      <c r="C137" s="289"/>
      <c r="D137" s="1"/>
    </row>
    <row r="138" spans="1:4">
      <c r="A138" s="1"/>
      <c r="B138" s="1"/>
      <c r="C138" s="289"/>
      <c r="D138" s="1"/>
    </row>
    <row r="139" spans="1:4">
      <c r="A139" s="1"/>
      <c r="B139" s="1"/>
      <c r="C139" s="289"/>
      <c r="D139" s="1"/>
    </row>
    <row r="140" spans="1:4">
      <c r="A140" s="1"/>
      <c r="B140" s="1"/>
      <c r="C140" s="289"/>
      <c r="D140" s="1"/>
    </row>
    <row r="141" spans="1:4">
      <c r="A141" s="1"/>
      <c r="B141" s="1"/>
      <c r="C141" s="289"/>
      <c r="D141" s="1"/>
    </row>
    <row r="142" spans="1:4">
      <c r="A142" s="1"/>
      <c r="B142" s="1"/>
      <c r="C142" s="289"/>
      <c r="D142" s="1"/>
    </row>
    <row r="143" spans="1:4">
      <c r="A143" s="1"/>
      <c r="B143" s="1"/>
      <c r="C143" s="289"/>
      <c r="D143" s="1"/>
    </row>
    <row r="144" spans="1:4">
      <c r="A144" s="1"/>
      <c r="B144" s="1"/>
      <c r="C144" s="289"/>
      <c r="D144" s="1"/>
    </row>
    <row r="145" spans="1:4">
      <c r="A145" s="1"/>
      <c r="B145" s="1"/>
      <c r="C145" s="289"/>
      <c r="D145" s="1"/>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295"/>
  <sheetViews>
    <sheetView zoomScale="87" zoomScaleNormal="87" workbookViewId="0">
      <selection activeCell="A3" sqref="A3"/>
    </sheetView>
  </sheetViews>
  <sheetFormatPr baseColWidth="10" defaultColWidth="8.7109375" defaultRowHeight="16"/>
  <cols>
    <col min="1" max="1" width="14.7109375" style="144" customWidth="1"/>
    <col min="2" max="2" width="16.7109375" style="144" customWidth="1"/>
    <col min="3" max="256" width="9.7109375" style="144" customWidth="1"/>
  </cols>
  <sheetData>
    <row r="1" spans="1:2" ht="34">
      <c r="A1" s="155" t="s">
        <v>540</v>
      </c>
      <c r="B1" s="155" t="s">
        <v>541</v>
      </c>
    </row>
    <row r="2" spans="1:2">
      <c r="A2" s="430"/>
      <c r="B2" s="423" t="s">
        <v>542</v>
      </c>
    </row>
    <row r="3" spans="1:2">
      <c r="A3" s="291">
        <v>0</v>
      </c>
      <c r="B3" s="292">
        <v>14.64</v>
      </c>
    </row>
    <row r="4" spans="1:2">
      <c r="A4" s="291">
        <v>0.1</v>
      </c>
      <c r="B4" s="292">
        <v>14.6</v>
      </c>
    </row>
    <row r="5" spans="1:2">
      <c r="A5" s="291">
        <v>0.2</v>
      </c>
      <c r="B5" s="292">
        <v>14.55</v>
      </c>
    </row>
    <row r="6" spans="1:2">
      <c r="A6" s="291">
        <v>0.3</v>
      </c>
      <c r="B6" s="292">
        <v>14.51</v>
      </c>
    </row>
    <row r="7" spans="1:2">
      <c r="A7" s="291">
        <v>0.4</v>
      </c>
      <c r="B7" s="292">
        <v>14.47</v>
      </c>
    </row>
    <row r="8" spans="1:2">
      <c r="A8" s="291">
        <v>0.5</v>
      </c>
      <c r="B8" s="292">
        <v>14.43</v>
      </c>
    </row>
    <row r="9" spans="1:2">
      <c r="A9" s="291">
        <v>0.6</v>
      </c>
      <c r="B9" s="292">
        <v>14.39</v>
      </c>
    </row>
    <row r="10" spans="1:2">
      <c r="A10" s="291">
        <v>0.7</v>
      </c>
      <c r="B10" s="292">
        <v>14.35</v>
      </c>
    </row>
    <row r="11" spans="1:2">
      <c r="A11" s="291">
        <v>0.8</v>
      </c>
      <c r="B11" s="292">
        <v>14.31</v>
      </c>
    </row>
    <row r="12" spans="1:2">
      <c r="A12" s="291">
        <v>0.9</v>
      </c>
      <c r="B12" s="292">
        <v>14.27</v>
      </c>
    </row>
    <row r="13" spans="1:2">
      <c r="A13" s="291">
        <v>1</v>
      </c>
      <c r="B13" s="292">
        <v>14.23</v>
      </c>
    </row>
    <row r="14" spans="1:2">
      <c r="A14" s="291">
        <v>1.1000000000000001</v>
      </c>
      <c r="B14" s="292">
        <v>14.19</v>
      </c>
    </row>
    <row r="15" spans="1:2">
      <c r="A15" s="291">
        <v>1.2</v>
      </c>
      <c r="B15" s="292">
        <v>14.15</v>
      </c>
    </row>
    <row r="16" spans="1:2">
      <c r="A16" s="291">
        <v>1.3</v>
      </c>
      <c r="B16" s="292">
        <v>14.1</v>
      </c>
    </row>
    <row r="17" spans="1:2">
      <c r="A17" s="291">
        <v>1.4</v>
      </c>
      <c r="B17" s="292">
        <v>14.06</v>
      </c>
    </row>
    <row r="18" spans="1:2">
      <c r="A18" s="291">
        <v>1.5</v>
      </c>
      <c r="B18" s="292">
        <v>14.03</v>
      </c>
    </row>
    <row r="19" spans="1:2">
      <c r="A19" s="291">
        <v>1.6</v>
      </c>
      <c r="B19" s="292">
        <v>13.99</v>
      </c>
    </row>
    <row r="20" spans="1:2">
      <c r="A20" s="291">
        <v>1.7</v>
      </c>
      <c r="B20" s="292">
        <v>13.95</v>
      </c>
    </row>
    <row r="21" spans="1:2">
      <c r="A21" s="291">
        <v>1.8</v>
      </c>
      <c r="B21" s="292">
        <v>19.91</v>
      </c>
    </row>
    <row r="22" spans="1:2">
      <c r="A22" s="291">
        <v>1.9</v>
      </c>
      <c r="B22" s="292">
        <v>13.87</v>
      </c>
    </row>
    <row r="23" spans="1:2">
      <c r="A23" s="291">
        <v>2</v>
      </c>
      <c r="B23" s="292">
        <v>13.83</v>
      </c>
    </row>
    <row r="24" spans="1:2">
      <c r="A24" s="291">
        <v>2.1</v>
      </c>
      <c r="B24" s="292">
        <v>13.79</v>
      </c>
    </row>
    <row r="25" spans="1:2">
      <c r="A25" s="291">
        <v>2.2000000000000002</v>
      </c>
      <c r="B25" s="292">
        <v>13.75</v>
      </c>
    </row>
    <row r="26" spans="1:2">
      <c r="A26" s="291">
        <v>2.2999999999999998</v>
      </c>
      <c r="B26" s="292">
        <v>13.71</v>
      </c>
    </row>
    <row r="27" spans="1:2">
      <c r="A27" s="291">
        <v>2.4</v>
      </c>
      <c r="B27" s="292">
        <v>13.68</v>
      </c>
    </row>
    <row r="28" spans="1:2">
      <c r="A28" s="291">
        <v>2.5</v>
      </c>
      <c r="B28" s="292">
        <v>13.64</v>
      </c>
    </row>
    <row r="29" spans="1:2">
      <c r="A29" s="291">
        <v>2.6</v>
      </c>
      <c r="B29" s="292">
        <v>13.6</v>
      </c>
    </row>
    <row r="30" spans="1:2">
      <c r="A30" s="291">
        <v>2.7</v>
      </c>
      <c r="B30" s="292">
        <v>13.56</v>
      </c>
    </row>
    <row r="31" spans="1:2">
      <c r="A31" s="291">
        <v>2.8</v>
      </c>
      <c r="B31" s="292">
        <v>13.52</v>
      </c>
    </row>
    <row r="32" spans="1:2">
      <c r="A32" s="291">
        <v>2.9</v>
      </c>
      <c r="B32" s="292">
        <v>13.49</v>
      </c>
    </row>
    <row r="33" spans="1:2">
      <c r="A33" s="291">
        <v>3</v>
      </c>
      <c r="B33" s="292">
        <v>13.45</v>
      </c>
    </row>
    <row r="34" spans="1:2">
      <c r="A34" s="291">
        <v>3.1</v>
      </c>
      <c r="B34" s="292">
        <v>13.41</v>
      </c>
    </row>
    <row r="35" spans="1:2">
      <c r="A35" s="291">
        <v>3.2</v>
      </c>
      <c r="B35" s="292">
        <v>13.38</v>
      </c>
    </row>
    <row r="36" spans="1:2">
      <c r="A36" s="291">
        <v>3.3</v>
      </c>
      <c r="B36" s="292">
        <v>13.34</v>
      </c>
    </row>
    <row r="37" spans="1:2">
      <c r="A37" s="291">
        <v>3.4</v>
      </c>
      <c r="B37" s="292">
        <v>13.3</v>
      </c>
    </row>
    <row r="38" spans="1:2">
      <c r="A38" s="291">
        <v>3.5</v>
      </c>
      <c r="B38" s="292">
        <v>13.27</v>
      </c>
    </row>
    <row r="39" spans="1:2">
      <c r="A39" s="291">
        <v>3.6</v>
      </c>
      <c r="B39" s="292">
        <v>13.23</v>
      </c>
    </row>
    <row r="40" spans="1:2">
      <c r="A40" s="291">
        <v>3.7</v>
      </c>
      <c r="B40" s="292">
        <v>13.2</v>
      </c>
    </row>
    <row r="41" spans="1:2">
      <c r="A41" s="291">
        <v>3.8</v>
      </c>
      <c r="B41" s="292">
        <v>13.16</v>
      </c>
    </row>
    <row r="42" spans="1:2">
      <c r="A42" s="291">
        <v>3.9</v>
      </c>
      <c r="B42" s="292">
        <v>13.12</v>
      </c>
    </row>
    <row r="43" spans="1:2">
      <c r="A43" s="291">
        <v>4</v>
      </c>
      <c r="B43" s="292">
        <v>13.09</v>
      </c>
    </row>
    <row r="44" spans="1:2">
      <c r="A44" s="291">
        <v>4.0999999999999996</v>
      </c>
      <c r="B44" s="292">
        <v>13.05</v>
      </c>
    </row>
    <row r="45" spans="1:2">
      <c r="A45" s="291">
        <v>4.2</v>
      </c>
      <c r="B45" s="292" t="s">
        <v>543</v>
      </c>
    </row>
    <row r="46" spans="1:2">
      <c r="A46" s="291">
        <v>4.3</v>
      </c>
      <c r="B46" s="292">
        <v>12.98</v>
      </c>
    </row>
    <row r="47" spans="1:2">
      <c r="A47" s="291">
        <v>4.4000000000000004</v>
      </c>
      <c r="B47" s="292">
        <v>12.95</v>
      </c>
    </row>
    <row r="48" spans="1:2">
      <c r="A48" s="291">
        <v>4.5</v>
      </c>
      <c r="B48" s="292">
        <v>12.92</v>
      </c>
    </row>
    <row r="49" spans="1:2">
      <c r="A49" s="291">
        <v>4.5999999999999996</v>
      </c>
      <c r="B49" s="292">
        <v>12.88</v>
      </c>
    </row>
    <row r="50" spans="1:2">
      <c r="A50" s="291">
        <v>4.7</v>
      </c>
      <c r="B50" s="292">
        <v>12.85</v>
      </c>
    </row>
    <row r="51" spans="1:2">
      <c r="A51" s="291">
        <v>4.8</v>
      </c>
      <c r="B51" s="292">
        <v>12.81</v>
      </c>
    </row>
    <row r="52" spans="1:2">
      <c r="A52" s="291">
        <v>4.9000000000000004</v>
      </c>
      <c r="B52" s="292">
        <v>12.78</v>
      </c>
    </row>
    <row r="53" spans="1:2">
      <c r="A53" s="291">
        <v>5</v>
      </c>
      <c r="B53" s="292">
        <v>12.75</v>
      </c>
    </row>
    <row r="54" spans="1:2">
      <c r="A54" s="291">
        <v>5.0999999999999996</v>
      </c>
      <c r="B54" s="292">
        <v>12.71</v>
      </c>
    </row>
    <row r="55" spans="1:2">
      <c r="A55" s="291">
        <v>5.2</v>
      </c>
      <c r="B55" s="292">
        <v>12.68</v>
      </c>
    </row>
    <row r="56" spans="1:2">
      <c r="A56" s="291">
        <v>5.3</v>
      </c>
      <c r="B56" s="292">
        <v>12.65</v>
      </c>
    </row>
    <row r="57" spans="1:2">
      <c r="A57" s="291">
        <v>5.4</v>
      </c>
      <c r="B57" s="292">
        <v>12.61</v>
      </c>
    </row>
    <row r="58" spans="1:2">
      <c r="A58" s="291">
        <v>5.5</v>
      </c>
      <c r="B58" s="292">
        <v>12.58</v>
      </c>
    </row>
    <row r="59" spans="1:2">
      <c r="A59" s="291">
        <v>5.6</v>
      </c>
      <c r="B59" s="292">
        <v>12.55</v>
      </c>
    </row>
    <row r="60" spans="1:2">
      <c r="A60" s="291">
        <v>5.7</v>
      </c>
      <c r="B60" s="292">
        <v>12.52</v>
      </c>
    </row>
    <row r="61" spans="1:2">
      <c r="A61" s="291">
        <v>5.8</v>
      </c>
      <c r="B61" s="292">
        <v>12.48</v>
      </c>
    </row>
    <row r="62" spans="1:2">
      <c r="A62" s="291">
        <v>5.9</v>
      </c>
      <c r="B62" s="292">
        <v>12.45</v>
      </c>
    </row>
    <row r="63" spans="1:2">
      <c r="A63" s="291">
        <v>6</v>
      </c>
      <c r="B63" s="292">
        <v>12.42</v>
      </c>
    </row>
    <row r="64" spans="1:2">
      <c r="A64" s="291">
        <v>6.1</v>
      </c>
      <c r="B64" s="292">
        <v>12.39</v>
      </c>
    </row>
    <row r="65" spans="1:2">
      <c r="A65" s="291">
        <v>6.2</v>
      </c>
      <c r="B65" s="292">
        <v>12.36</v>
      </c>
    </row>
    <row r="66" spans="1:2">
      <c r="A66" s="291">
        <v>6.3</v>
      </c>
      <c r="B66" s="292">
        <v>12.32</v>
      </c>
    </row>
    <row r="67" spans="1:2">
      <c r="A67" s="291">
        <v>6.4</v>
      </c>
      <c r="B67" s="292">
        <v>12.29</v>
      </c>
    </row>
    <row r="68" spans="1:2">
      <c r="A68" s="291">
        <v>6.5</v>
      </c>
      <c r="B68" s="292">
        <v>12.26</v>
      </c>
    </row>
    <row r="69" spans="1:2">
      <c r="A69" s="291">
        <v>6.6</v>
      </c>
      <c r="B69" s="292">
        <v>12.23</v>
      </c>
    </row>
    <row r="70" spans="1:2">
      <c r="A70" s="291">
        <v>6.7</v>
      </c>
      <c r="B70" s="292">
        <v>12.2</v>
      </c>
    </row>
    <row r="71" spans="1:2">
      <c r="A71" s="291">
        <v>6.8</v>
      </c>
      <c r="B71" s="292">
        <v>12.17</v>
      </c>
    </row>
    <row r="72" spans="1:2">
      <c r="A72" s="291">
        <v>6.9</v>
      </c>
      <c r="B72" s="292">
        <v>12.14</v>
      </c>
    </row>
    <row r="73" spans="1:2">
      <c r="A73" s="291">
        <v>7</v>
      </c>
      <c r="B73" s="292">
        <v>12.11</v>
      </c>
    </row>
    <row r="74" spans="1:2">
      <c r="A74" s="291">
        <v>7.1</v>
      </c>
      <c r="B74" s="292">
        <v>12.08</v>
      </c>
    </row>
    <row r="75" spans="1:2">
      <c r="A75" s="291">
        <v>7.2</v>
      </c>
      <c r="B75" s="292">
        <v>12.05</v>
      </c>
    </row>
    <row r="76" spans="1:2">
      <c r="A76" s="291">
        <v>7.3</v>
      </c>
      <c r="B76" s="292">
        <v>12.02</v>
      </c>
    </row>
    <row r="77" spans="1:2">
      <c r="A77" s="291">
        <v>7.4</v>
      </c>
      <c r="B77" s="292">
        <v>11.99</v>
      </c>
    </row>
    <row r="78" spans="1:2">
      <c r="A78" s="291">
        <v>7.5</v>
      </c>
      <c r="B78" s="292">
        <v>11.96</v>
      </c>
    </row>
    <row r="79" spans="1:2">
      <c r="A79" s="291">
        <v>7.6</v>
      </c>
      <c r="B79" s="292">
        <v>11.93</v>
      </c>
    </row>
    <row r="80" spans="1:2">
      <c r="A80" s="291">
        <v>7.7</v>
      </c>
      <c r="B80" s="292">
        <v>11.9</v>
      </c>
    </row>
    <row r="81" spans="1:2">
      <c r="A81" s="291">
        <v>7.8</v>
      </c>
      <c r="B81" s="292">
        <v>11.87</v>
      </c>
    </row>
    <row r="82" spans="1:2">
      <c r="A82" s="291">
        <v>7.9</v>
      </c>
      <c r="B82" s="292">
        <v>11.84</v>
      </c>
    </row>
    <row r="83" spans="1:2">
      <c r="A83" s="291">
        <v>8</v>
      </c>
      <c r="B83" s="292">
        <v>11.81</v>
      </c>
    </row>
    <row r="84" spans="1:2">
      <c r="A84" s="291">
        <v>8.1</v>
      </c>
      <c r="B84" s="292">
        <v>11.78</v>
      </c>
    </row>
    <row r="85" spans="1:2">
      <c r="A85" s="291">
        <v>8.1999999999999993</v>
      </c>
      <c r="B85" s="292">
        <v>11.75</v>
      </c>
    </row>
    <row r="86" spans="1:2">
      <c r="A86" s="291">
        <v>8.3000000000000007</v>
      </c>
      <c r="B86" s="292">
        <v>11.72</v>
      </c>
    </row>
    <row r="87" spans="1:2">
      <c r="A87" s="291">
        <v>8.4</v>
      </c>
      <c r="B87" s="292">
        <v>11.69</v>
      </c>
    </row>
    <row r="88" spans="1:2">
      <c r="A88" s="291">
        <v>8.5</v>
      </c>
      <c r="B88" s="292">
        <v>11.67</v>
      </c>
    </row>
    <row r="89" spans="1:2">
      <c r="A89" s="291">
        <v>8.6</v>
      </c>
      <c r="B89" s="292">
        <v>11.64</v>
      </c>
    </row>
    <row r="90" spans="1:2">
      <c r="A90" s="291">
        <v>8.6999999999999993</v>
      </c>
      <c r="B90" s="292">
        <v>11.61</v>
      </c>
    </row>
    <row r="91" spans="1:2">
      <c r="A91" s="291">
        <v>8.8000000000000007</v>
      </c>
      <c r="B91" s="292">
        <v>11.58</v>
      </c>
    </row>
    <row r="92" spans="1:2">
      <c r="A92" s="291">
        <v>8.9</v>
      </c>
      <c r="B92" s="292">
        <v>11.55</v>
      </c>
    </row>
    <row r="93" spans="1:2">
      <c r="A93" s="291">
        <v>9</v>
      </c>
      <c r="B93" s="292">
        <v>11.53</v>
      </c>
    </row>
    <row r="94" spans="1:2">
      <c r="A94" s="291">
        <v>9.1</v>
      </c>
      <c r="B94" s="292">
        <v>11.5</v>
      </c>
    </row>
    <row r="95" spans="1:2">
      <c r="A95" s="291">
        <v>9.1999999999999993</v>
      </c>
      <c r="B95" s="292">
        <v>11.47</v>
      </c>
    </row>
    <row r="96" spans="1:2">
      <c r="A96" s="291">
        <v>9.3000000000000007</v>
      </c>
      <c r="B96" s="292">
        <v>11.44</v>
      </c>
    </row>
    <row r="97" spans="1:2">
      <c r="A97" s="291">
        <v>9.4</v>
      </c>
      <c r="B97" s="292">
        <v>11.42</v>
      </c>
    </row>
    <row r="98" spans="1:2">
      <c r="A98" s="291">
        <v>9.5</v>
      </c>
      <c r="B98" s="292">
        <v>11.39</v>
      </c>
    </row>
    <row r="99" spans="1:2">
      <c r="A99" s="291">
        <v>9.6</v>
      </c>
      <c r="B99" s="292">
        <v>11.36</v>
      </c>
    </row>
    <row r="100" spans="1:2">
      <c r="A100" s="291">
        <v>9.6999999999999993</v>
      </c>
      <c r="B100" s="292">
        <v>11.33</v>
      </c>
    </row>
    <row r="101" spans="1:2">
      <c r="A101" s="291">
        <v>9.8000000000000007</v>
      </c>
      <c r="B101" s="292">
        <v>11.31</v>
      </c>
    </row>
    <row r="102" spans="1:2">
      <c r="A102" s="291">
        <v>9.9</v>
      </c>
      <c r="B102" s="292">
        <v>11.28</v>
      </c>
    </row>
    <row r="103" spans="1:2">
      <c r="A103" s="291">
        <v>10</v>
      </c>
      <c r="B103" s="292">
        <v>11.25</v>
      </c>
    </row>
    <row r="104" spans="1:2">
      <c r="A104" s="291">
        <v>10.1</v>
      </c>
      <c r="B104" s="292">
        <v>11.23</v>
      </c>
    </row>
    <row r="105" spans="1:2">
      <c r="A105" s="291">
        <v>10.199999999999999</v>
      </c>
      <c r="B105" s="292">
        <v>11.2</v>
      </c>
    </row>
    <row r="106" spans="1:2">
      <c r="A106" s="291">
        <v>10.3</v>
      </c>
      <c r="B106" s="292">
        <v>11.18</v>
      </c>
    </row>
    <row r="107" spans="1:2">
      <c r="A107" s="291">
        <v>10.4</v>
      </c>
      <c r="B107" s="292">
        <v>11.15</v>
      </c>
    </row>
    <row r="108" spans="1:2">
      <c r="A108" s="291">
        <v>10.5</v>
      </c>
      <c r="B108" s="292">
        <v>11.12</v>
      </c>
    </row>
    <row r="109" spans="1:2">
      <c r="A109" s="291">
        <v>10.6</v>
      </c>
      <c r="B109" s="292">
        <v>11.1</v>
      </c>
    </row>
    <row r="110" spans="1:2">
      <c r="A110" s="291">
        <v>10.7</v>
      </c>
      <c r="B110" s="292">
        <v>11.07</v>
      </c>
    </row>
    <row r="111" spans="1:2">
      <c r="A111" s="291">
        <v>10.8</v>
      </c>
      <c r="B111" s="292">
        <v>11.05</v>
      </c>
    </row>
    <row r="112" spans="1:2">
      <c r="A112" s="291">
        <v>10.9</v>
      </c>
      <c r="B112" s="292">
        <v>11.02</v>
      </c>
    </row>
    <row r="113" spans="1:2">
      <c r="A113" s="291">
        <v>11</v>
      </c>
      <c r="B113" s="292">
        <v>10.99</v>
      </c>
    </row>
    <row r="114" spans="1:2">
      <c r="A114" s="291">
        <v>12</v>
      </c>
      <c r="B114" s="292">
        <v>10.776999999999999</v>
      </c>
    </row>
    <row r="115" spans="1:2">
      <c r="A115" s="291">
        <v>12.1</v>
      </c>
      <c r="B115" s="292">
        <v>10.72</v>
      </c>
    </row>
    <row r="116" spans="1:2">
      <c r="A116" s="291">
        <v>12.2</v>
      </c>
      <c r="B116" s="292">
        <v>10.7</v>
      </c>
    </row>
    <row r="117" spans="1:2">
      <c r="A117" s="291">
        <v>12.3</v>
      </c>
      <c r="B117" s="292">
        <v>10.67</v>
      </c>
    </row>
    <row r="118" spans="1:2">
      <c r="A118" s="291">
        <v>12.4</v>
      </c>
      <c r="B118" s="292">
        <v>10.65</v>
      </c>
    </row>
    <row r="119" spans="1:2">
      <c r="A119" s="291">
        <v>12.5</v>
      </c>
      <c r="B119" s="292">
        <v>10.63</v>
      </c>
    </row>
    <row r="120" spans="1:2">
      <c r="A120" s="291">
        <v>12.6</v>
      </c>
      <c r="B120" s="292">
        <v>10.6</v>
      </c>
    </row>
    <row r="121" spans="1:2">
      <c r="A121" s="291">
        <v>12.7</v>
      </c>
      <c r="B121" s="292">
        <v>10.58</v>
      </c>
    </row>
    <row r="122" spans="1:2">
      <c r="A122" s="291">
        <v>12.8</v>
      </c>
      <c r="B122" s="292">
        <v>10.55</v>
      </c>
    </row>
    <row r="123" spans="1:2">
      <c r="A123" s="291">
        <v>12.9</v>
      </c>
      <c r="B123" s="292">
        <v>10.53</v>
      </c>
    </row>
    <row r="124" spans="1:2">
      <c r="A124" s="291">
        <v>13</v>
      </c>
      <c r="B124" s="292">
        <v>10.51</v>
      </c>
    </row>
    <row r="125" spans="1:2">
      <c r="A125" s="291">
        <v>13.1</v>
      </c>
      <c r="B125" s="292">
        <v>10.48</v>
      </c>
    </row>
    <row r="126" spans="1:2">
      <c r="A126" s="291">
        <v>13.2</v>
      </c>
      <c r="B126" s="292">
        <v>10.46</v>
      </c>
    </row>
    <row r="127" spans="1:2">
      <c r="A127" s="291">
        <v>13.3</v>
      </c>
      <c r="B127" s="292">
        <v>10.44</v>
      </c>
    </row>
    <row r="128" spans="1:2">
      <c r="A128" s="291">
        <v>13.4</v>
      </c>
      <c r="B128" s="292">
        <v>10.41</v>
      </c>
    </row>
    <row r="129" spans="1:2">
      <c r="A129" s="291">
        <v>13.5</v>
      </c>
      <c r="B129" s="292">
        <v>10.39</v>
      </c>
    </row>
    <row r="130" spans="1:2">
      <c r="A130" s="291">
        <v>13.6</v>
      </c>
      <c r="B130" s="292">
        <v>10.37</v>
      </c>
    </row>
    <row r="131" spans="1:2">
      <c r="A131" s="291">
        <v>13.7</v>
      </c>
      <c r="B131" s="292">
        <v>10.35</v>
      </c>
    </row>
    <row r="132" spans="1:2">
      <c r="A132" s="291">
        <v>13.8</v>
      </c>
      <c r="B132" s="292">
        <v>10.32</v>
      </c>
    </row>
    <row r="133" spans="1:2">
      <c r="A133" s="291">
        <v>13.9</v>
      </c>
      <c r="B133" s="292">
        <v>10.3</v>
      </c>
    </row>
    <row r="134" spans="1:2">
      <c r="A134" s="291">
        <v>14</v>
      </c>
      <c r="B134" s="292">
        <v>10.28</v>
      </c>
    </row>
    <row r="135" spans="1:2">
      <c r="A135" s="291">
        <v>14.1</v>
      </c>
      <c r="B135" s="292">
        <v>10.26</v>
      </c>
    </row>
    <row r="136" spans="1:2">
      <c r="A136" s="291">
        <v>14.2</v>
      </c>
      <c r="B136" s="292">
        <v>10.23</v>
      </c>
    </row>
    <row r="137" spans="1:2">
      <c r="A137" s="291">
        <v>14.3</v>
      </c>
      <c r="B137" s="292">
        <v>10.210000000000001</v>
      </c>
    </row>
    <row r="138" spans="1:2">
      <c r="A138" s="291">
        <v>14.4</v>
      </c>
      <c r="B138" s="292">
        <v>10.19</v>
      </c>
    </row>
    <row r="139" spans="1:2">
      <c r="A139" s="291">
        <v>14.5</v>
      </c>
      <c r="B139" s="292">
        <v>10.17</v>
      </c>
    </row>
    <row r="140" spans="1:2">
      <c r="A140" s="291">
        <v>14.6</v>
      </c>
      <c r="B140" s="292">
        <v>10.15</v>
      </c>
    </row>
    <row r="141" spans="1:2">
      <c r="A141" s="291">
        <v>14.7</v>
      </c>
      <c r="B141" s="292">
        <v>10.119999999999999</v>
      </c>
    </row>
    <row r="142" spans="1:2">
      <c r="A142" s="291">
        <v>14.8</v>
      </c>
      <c r="B142" s="292">
        <v>10.1</v>
      </c>
    </row>
    <row r="143" spans="1:2">
      <c r="A143" s="291">
        <v>14.9</v>
      </c>
      <c r="B143" s="292">
        <v>10.08</v>
      </c>
    </row>
    <row r="144" spans="1:2">
      <c r="A144" s="291">
        <v>15</v>
      </c>
      <c r="B144" s="292">
        <v>10.06</v>
      </c>
    </row>
    <row r="145" spans="1:2">
      <c r="A145" s="291">
        <v>15.1</v>
      </c>
      <c r="B145" s="292">
        <v>10.039999999999999</v>
      </c>
    </row>
    <row r="146" spans="1:2">
      <c r="A146" s="291">
        <v>15.2</v>
      </c>
      <c r="B146" s="292">
        <v>10.02</v>
      </c>
    </row>
    <row r="147" spans="1:2">
      <c r="A147" s="291">
        <v>15.3</v>
      </c>
      <c r="B147" s="292">
        <v>9.99</v>
      </c>
    </row>
    <row r="148" spans="1:2">
      <c r="A148" s="291">
        <v>15.4</v>
      </c>
      <c r="B148" s="292">
        <v>9.9700000000000006</v>
      </c>
    </row>
    <row r="149" spans="1:2">
      <c r="A149" s="291">
        <v>15.5</v>
      </c>
      <c r="B149" s="292">
        <v>9.9499999999999993</v>
      </c>
    </row>
    <row r="150" spans="1:2">
      <c r="A150" s="291">
        <v>15.6</v>
      </c>
      <c r="B150" s="292">
        <v>9.93</v>
      </c>
    </row>
    <row r="151" spans="1:2">
      <c r="A151" s="291">
        <v>15.7</v>
      </c>
      <c r="B151" s="292">
        <v>9.91</v>
      </c>
    </row>
    <row r="152" spans="1:2">
      <c r="A152" s="291">
        <v>15.8</v>
      </c>
      <c r="B152" s="292">
        <v>9.89</v>
      </c>
    </row>
    <row r="153" spans="1:2">
      <c r="A153" s="291">
        <v>15.9</v>
      </c>
      <c r="B153" s="292">
        <v>9.8699999999999992</v>
      </c>
    </row>
    <row r="154" spans="1:2">
      <c r="A154" s="291">
        <v>16</v>
      </c>
      <c r="B154" s="292">
        <v>9.85</v>
      </c>
    </row>
    <row r="155" spans="1:2">
      <c r="A155" s="291">
        <v>16.100000000000001</v>
      </c>
      <c r="B155" s="292">
        <v>9.83</v>
      </c>
    </row>
    <row r="156" spans="1:2">
      <c r="A156" s="291">
        <v>16.2</v>
      </c>
      <c r="B156" s="292">
        <v>9.81</v>
      </c>
    </row>
    <row r="157" spans="1:2">
      <c r="A157" s="291">
        <v>16.3</v>
      </c>
      <c r="B157" s="292">
        <v>9.8000000000000007</v>
      </c>
    </row>
    <row r="158" spans="1:2">
      <c r="A158" s="291">
        <v>16.399999999999999</v>
      </c>
      <c r="B158" s="292">
        <v>9.76</v>
      </c>
    </row>
    <row r="159" spans="1:2">
      <c r="A159" s="291">
        <v>16.5</v>
      </c>
      <c r="B159" s="292">
        <v>9.74</v>
      </c>
    </row>
    <row r="160" spans="1:2">
      <c r="A160" s="291">
        <v>16.600000000000001</v>
      </c>
      <c r="B160" s="292">
        <v>9.7200000000000006</v>
      </c>
    </row>
    <row r="161" spans="1:2">
      <c r="A161" s="291">
        <v>16.7</v>
      </c>
      <c r="B161" s="292">
        <v>9.6999999999999993</v>
      </c>
    </row>
    <row r="162" spans="1:2">
      <c r="A162" s="291">
        <v>16.8</v>
      </c>
      <c r="B162" s="292">
        <v>9.68</v>
      </c>
    </row>
    <row r="163" spans="1:2">
      <c r="A163" s="291">
        <v>16.899999999999999</v>
      </c>
      <c r="B163" s="292">
        <v>9.66</v>
      </c>
    </row>
    <row r="164" spans="1:2">
      <c r="A164" s="291">
        <v>17</v>
      </c>
      <c r="B164" s="292">
        <v>9.64</v>
      </c>
    </row>
    <row r="165" spans="1:2">
      <c r="A165" s="291">
        <v>17.100000000000001</v>
      </c>
      <c r="B165" s="292">
        <v>9.6199999999999992</v>
      </c>
    </row>
    <row r="166" spans="1:2">
      <c r="A166" s="291">
        <v>17.2</v>
      </c>
      <c r="B166" s="292">
        <v>9.6</v>
      </c>
    </row>
    <row r="167" spans="1:2">
      <c r="A167" s="291">
        <v>17.3</v>
      </c>
      <c r="B167" s="292">
        <v>9.58</v>
      </c>
    </row>
    <row r="168" spans="1:2">
      <c r="A168" s="291">
        <v>17.399999999999999</v>
      </c>
      <c r="B168" s="292">
        <v>9.56</v>
      </c>
    </row>
    <row r="169" spans="1:2">
      <c r="A169" s="291">
        <v>17.5</v>
      </c>
      <c r="B169" s="292">
        <v>9.5399999999999991</v>
      </c>
    </row>
    <row r="170" spans="1:2">
      <c r="A170" s="291">
        <v>17.600000000000001</v>
      </c>
      <c r="B170" s="292">
        <v>9.5299999999999994</v>
      </c>
    </row>
    <row r="171" spans="1:2">
      <c r="A171" s="291">
        <v>17.7</v>
      </c>
      <c r="B171" s="292">
        <v>9.51</v>
      </c>
    </row>
    <row r="172" spans="1:2">
      <c r="A172" s="291">
        <v>17.8</v>
      </c>
      <c r="B172" s="292">
        <v>9.49</v>
      </c>
    </row>
    <row r="173" spans="1:2">
      <c r="A173" s="291">
        <v>17.899999999999999</v>
      </c>
      <c r="B173" s="292">
        <v>9.4700000000000006</v>
      </c>
    </row>
    <row r="174" spans="1:2">
      <c r="A174" s="291">
        <v>18</v>
      </c>
      <c r="B174" s="292">
        <v>9.4499999999999993</v>
      </c>
    </row>
    <row r="175" spans="1:2">
      <c r="A175" s="291">
        <v>18.100000000000001</v>
      </c>
      <c r="B175" s="292">
        <v>9.43</v>
      </c>
    </row>
    <row r="176" spans="1:2">
      <c r="A176" s="291">
        <v>18.2</v>
      </c>
      <c r="B176" s="292">
        <v>9.41</v>
      </c>
    </row>
    <row r="177" spans="1:2">
      <c r="A177" s="291">
        <v>18.3</v>
      </c>
      <c r="B177" s="292">
        <v>9.39</v>
      </c>
    </row>
    <row r="178" spans="1:2">
      <c r="A178" s="291">
        <v>18.399999999999999</v>
      </c>
      <c r="B178" s="292">
        <v>9.3699999999999992</v>
      </c>
    </row>
    <row r="179" spans="1:2">
      <c r="A179" s="291">
        <v>18.5</v>
      </c>
      <c r="B179" s="292">
        <v>9.35</v>
      </c>
    </row>
    <row r="180" spans="1:2">
      <c r="A180" s="291">
        <v>18.600000000000001</v>
      </c>
      <c r="B180" s="292">
        <v>9.33</v>
      </c>
    </row>
    <row r="181" spans="1:2">
      <c r="A181" s="291">
        <v>18.7</v>
      </c>
      <c r="B181" s="292">
        <v>9.31</v>
      </c>
    </row>
    <row r="182" spans="1:2">
      <c r="A182" s="291">
        <v>18.8</v>
      </c>
      <c r="B182" s="292">
        <v>9.3000000000000007</v>
      </c>
    </row>
    <row r="183" spans="1:2">
      <c r="A183" s="291">
        <v>18.899999999999999</v>
      </c>
      <c r="B183" s="292">
        <v>9.2799999999999994</v>
      </c>
    </row>
    <row r="184" spans="1:2">
      <c r="A184" s="291">
        <v>19</v>
      </c>
      <c r="B184" s="292">
        <v>9.26</v>
      </c>
    </row>
    <row r="185" spans="1:2">
      <c r="A185" s="291">
        <v>19.100000000000001</v>
      </c>
      <c r="B185" s="292">
        <v>9.24</v>
      </c>
    </row>
    <row r="186" spans="1:2">
      <c r="A186" s="291">
        <v>19.2</v>
      </c>
      <c r="B186" s="292">
        <v>9.2200000000000006</v>
      </c>
    </row>
    <row r="187" spans="1:2">
      <c r="A187" s="291">
        <v>19.3</v>
      </c>
      <c r="B187" s="292">
        <v>9.1999999999999993</v>
      </c>
    </row>
    <row r="188" spans="1:2">
      <c r="A188" s="291">
        <v>19.399999999999999</v>
      </c>
      <c r="B188" s="292">
        <v>9.19</v>
      </c>
    </row>
    <row r="189" spans="1:2">
      <c r="A189" s="291">
        <v>19.5</v>
      </c>
      <c r="B189" s="292">
        <v>9.17</v>
      </c>
    </row>
    <row r="190" spans="1:2">
      <c r="A190" s="291">
        <v>19.600000000000001</v>
      </c>
      <c r="B190" s="292">
        <v>9.15</v>
      </c>
    </row>
    <row r="191" spans="1:2">
      <c r="A191" s="291">
        <v>19.7</v>
      </c>
      <c r="B191" s="292">
        <v>9.1300000000000008</v>
      </c>
    </row>
    <row r="192" spans="1:2">
      <c r="A192" s="291">
        <v>19.8</v>
      </c>
      <c r="B192" s="292">
        <v>9.11</v>
      </c>
    </row>
    <row r="193" spans="1:2">
      <c r="A193" s="291">
        <v>19.899999999999999</v>
      </c>
      <c r="B193" s="292">
        <v>9.09</v>
      </c>
    </row>
    <row r="194" spans="1:2">
      <c r="A194" s="291">
        <v>20</v>
      </c>
      <c r="B194" s="292">
        <v>9.08</v>
      </c>
    </row>
    <row r="195" spans="1:2">
      <c r="A195" s="291">
        <v>20.100000000000001</v>
      </c>
      <c r="B195" s="292">
        <v>9.06</v>
      </c>
    </row>
    <row r="196" spans="1:2">
      <c r="A196" s="291">
        <v>20.2</v>
      </c>
      <c r="B196" s="292">
        <v>9.0399999999999991</v>
      </c>
    </row>
    <row r="197" spans="1:2">
      <c r="A197" s="291">
        <v>20.3</v>
      </c>
      <c r="B197" s="292">
        <v>9.02</v>
      </c>
    </row>
    <row r="198" spans="1:2">
      <c r="A198" s="291">
        <v>20.399999999999999</v>
      </c>
      <c r="B198" s="292">
        <v>9.01</v>
      </c>
    </row>
    <row r="199" spans="1:2">
      <c r="A199" s="291">
        <v>20.5</v>
      </c>
      <c r="B199" s="292">
        <v>8.99</v>
      </c>
    </row>
    <row r="200" spans="1:2">
      <c r="A200" s="291">
        <v>20.6</v>
      </c>
      <c r="B200" s="292">
        <v>8.9700000000000006</v>
      </c>
    </row>
    <row r="201" spans="1:2">
      <c r="A201" s="291">
        <v>20.7</v>
      </c>
      <c r="B201" s="292">
        <v>8.9499999999999993</v>
      </c>
    </row>
    <row r="202" spans="1:2">
      <c r="A202" s="291">
        <v>20.8</v>
      </c>
      <c r="B202" s="292">
        <v>8.94</v>
      </c>
    </row>
    <row r="203" spans="1:2">
      <c r="A203" s="291">
        <v>20.9</v>
      </c>
      <c r="B203" s="292">
        <v>8.92</v>
      </c>
    </row>
    <row r="204" spans="1:2">
      <c r="A204" s="291">
        <v>21</v>
      </c>
      <c r="B204" s="292">
        <v>8.9</v>
      </c>
    </row>
    <row r="205" spans="1:2">
      <c r="A205" s="291">
        <v>21.1</v>
      </c>
      <c r="B205" s="292">
        <v>8.8800000000000008</v>
      </c>
    </row>
    <row r="206" spans="1:2">
      <c r="A206" s="291">
        <v>21.2</v>
      </c>
      <c r="B206" s="292">
        <v>8.8699999999999992</v>
      </c>
    </row>
    <row r="207" spans="1:2">
      <c r="A207" s="291">
        <v>21.3</v>
      </c>
      <c r="B207" s="292">
        <v>8.85</v>
      </c>
    </row>
    <row r="208" spans="1:2">
      <c r="A208" s="291">
        <v>21.4</v>
      </c>
      <c r="B208" s="292">
        <v>8.83</v>
      </c>
    </row>
    <row r="209" spans="1:2">
      <c r="A209" s="291">
        <v>21.5</v>
      </c>
      <c r="B209" s="292">
        <v>8.82</v>
      </c>
    </row>
    <row r="210" spans="1:2">
      <c r="A210" s="291">
        <v>21.6</v>
      </c>
      <c r="B210" s="292">
        <v>8.8000000000000007</v>
      </c>
    </row>
    <row r="211" spans="1:2">
      <c r="A211" s="291">
        <v>21.7</v>
      </c>
      <c r="B211" s="292">
        <v>8.7799999999999994</v>
      </c>
    </row>
    <row r="212" spans="1:2">
      <c r="A212" s="291">
        <v>21.8</v>
      </c>
      <c r="B212" s="292">
        <v>8.76</v>
      </c>
    </row>
    <row r="213" spans="1:2">
      <c r="A213" s="291">
        <v>21.9</v>
      </c>
      <c r="B213" s="292">
        <v>8.75</v>
      </c>
    </row>
    <row r="214" spans="1:2">
      <c r="A214" s="291">
        <v>22</v>
      </c>
      <c r="B214" s="292">
        <v>8.73</v>
      </c>
    </row>
    <row r="215" spans="1:2">
      <c r="A215" s="291">
        <v>22.1</v>
      </c>
      <c r="B215" s="292">
        <v>8.7100000000000009</v>
      </c>
    </row>
    <row r="216" spans="1:2">
      <c r="A216" s="291">
        <v>22.2</v>
      </c>
      <c r="B216" s="292">
        <v>8.6999999999999993</v>
      </c>
    </row>
    <row r="217" spans="1:2">
      <c r="A217" s="291">
        <v>22.3</v>
      </c>
      <c r="B217" s="292">
        <v>8.68</v>
      </c>
    </row>
    <row r="218" spans="1:2">
      <c r="A218" s="291">
        <v>22.4</v>
      </c>
      <c r="B218" s="292">
        <v>8.66</v>
      </c>
    </row>
    <row r="219" spans="1:2">
      <c r="A219" s="291">
        <v>22.5</v>
      </c>
      <c r="B219" s="292">
        <v>8.65</v>
      </c>
    </row>
    <row r="220" spans="1:2">
      <c r="A220" s="291">
        <v>22.6</v>
      </c>
      <c r="B220" s="292">
        <v>8.6300000000000008</v>
      </c>
    </row>
    <row r="221" spans="1:2">
      <c r="A221" s="291">
        <v>22.7</v>
      </c>
      <c r="B221" s="292">
        <v>8.6199999999999992</v>
      </c>
    </row>
    <row r="222" spans="1:2">
      <c r="A222" s="291">
        <v>22.8</v>
      </c>
      <c r="B222" s="292">
        <v>8.6</v>
      </c>
    </row>
    <row r="223" spans="1:2">
      <c r="A223" s="291">
        <v>22.9</v>
      </c>
      <c r="B223" s="292">
        <v>8.58</v>
      </c>
    </row>
    <row r="224" spans="1:2">
      <c r="A224" s="291">
        <v>23</v>
      </c>
      <c r="B224" s="292">
        <v>8.57</v>
      </c>
    </row>
    <row r="225" spans="1:2">
      <c r="A225" s="291">
        <v>23.1</v>
      </c>
      <c r="B225" s="292">
        <v>8.5500000000000007</v>
      </c>
    </row>
    <row r="226" spans="1:2">
      <c r="A226" s="291">
        <v>23.2</v>
      </c>
      <c r="B226" s="292">
        <v>8.5299999999999994</v>
      </c>
    </row>
    <row r="227" spans="1:2">
      <c r="A227" s="291">
        <v>23.3</v>
      </c>
      <c r="B227" s="292">
        <v>8.52</v>
      </c>
    </row>
    <row r="228" spans="1:2">
      <c r="A228" s="291">
        <v>23.4</v>
      </c>
      <c r="B228" s="292">
        <v>8.5</v>
      </c>
    </row>
    <row r="229" spans="1:2">
      <c r="A229" s="291">
        <v>23.5</v>
      </c>
      <c r="B229" s="292">
        <v>8.49</v>
      </c>
    </row>
    <row r="230" spans="1:2">
      <c r="A230" s="291">
        <v>23.6</v>
      </c>
      <c r="B230" s="292">
        <v>8.4700000000000006</v>
      </c>
    </row>
    <row r="231" spans="1:2">
      <c r="A231" s="291">
        <v>23.7</v>
      </c>
      <c r="B231" s="292">
        <v>8.4600000000000009</v>
      </c>
    </row>
    <row r="232" spans="1:2">
      <c r="A232" s="291">
        <v>23.8</v>
      </c>
      <c r="B232" s="292">
        <v>8.44</v>
      </c>
    </row>
    <row r="233" spans="1:2">
      <c r="A233" s="291">
        <v>23.9</v>
      </c>
      <c r="B233" s="292">
        <v>8.42</v>
      </c>
    </row>
    <row r="234" spans="1:2">
      <c r="A234" s="291">
        <v>24</v>
      </c>
      <c r="B234" s="292">
        <v>8.41</v>
      </c>
    </row>
    <row r="235" spans="1:2">
      <c r="A235" s="291">
        <v>24.1</v>
      </c>
      <c r="B235" s="292">
        <v>8.39</v>
      </c>
    </row>
    <row r="236" spans="1:2">
      <c r="A236" s="291">
        <v>24.2</v>
      </c>
      <c r="B236" s="292">
        <v>8.3800000000000008</v>
      </c>
    </row>
    <row r="237" spans="1:2">
      <c r="A237" s="291">
        <v>24.3</v>
      </c>
      <c r="B237" s="292">
        <v>8.36</v>
      </c>
    </row>
    <row r="238" spans="1:2">
      <c r="A238" s="291">
        <v>24.4</v>
      </c>
      <c r="B238" s="292">
        <v>8.35</v>
      </c>
    </row>
    <row r="239" spans="1:2">
      <c r="A239" s="291">
        <v>24.5</v>
      </c>
      <c r="B239" s="292">
        <v>8.33</v>
      </c>
    </row>
    <row r="240" spans="1:2">
      <c r="A240" s="291">
        <v>24.6</v>
      </c>
      <c r="B240" s="292">
        <v>8.32</v>
      </c>
    </row>
    <row r="241" spans="1:2">
      <c r="A241" s="291">
        <v>24.7</v>
      </c>
      <c r="B241" s="292">
        <v>8.3000000000000007</v>
      </c>
    </row>
    <row r="242" spans="1:2">
      <c r="A242" s="291">
        <v>24.8</v>
      </c>
      <c r="B242" s="292">
        <v>8.2799999999999994</v>
      </c>
    </row>
    <row r="243" spans="1:2">
      <c r="A243" s="291">
        <v>24.9</v>
      </c>
      <c r="B243" s="292">
        <v>8.27</v>
      </c>
    </row>
    <row r="244" spans="1:2">
      <c r="A244" s="291">
        <v>25</v>
      </c>
      <c r="B244" s="292">
        <v>8.25</v>
      </c>
    </row>
    <row r="245" spans="1:2">
      <c r="A245" s="291">
        <v>25.1</v>
      </c>
      <c r="B245" s="292">
        <v>8.24</v>
      </c>
    </row>
    <row r="246" spans="1:2">
      <c r="A246" s="291">
        <v>25.2</v>
      </c>
      <c r="B246" s="292">
        <v>8.2200000000000006</v>
      </c>
    </row>
    <row r="247" spans="1:2">
      <c r="A247" s="291">
        <v>25.3</v>
      </c>
      <c r="B247" s="292">
        <v>8.2100000000000009</v>
      </c>
    </row>
    <row r="248" spans="1:2">
      <c r="A248" s="291">
        <v>25.4</v>
      </c>
      <c r="B248" s="292">
        <v>8.19</v>
      </c>
    </row>
    <row r="249" spans="1:2">
      <c r="A249" s="291">
        <v>25.5</v>
      </c>
      <c r="B249" s="292">
        <v>8.18</v>
      </c>
    </row>
    <row r="250" spans="1:2">
      <c r="A250" s="291">
        <v>25.6</v>
      </c>
      <c r="B250" s="292">
        <v>8.16</v>
      </c>
    </row>
    <row r="251" spans="1:2">
      <c r="A251" s="291">
        <v>25.7</v>
      </c>
      <c r="B251" s="292">
        <v>8.15</v>
      </c>
    </row>
    <row r="252" spans="1:2">
      <c r="A252" s="291">
        <v>25.8</v>
      </c>
      <c r="B252" s="292">
        <v>8.14</v>
      </c>
    </row>
    <row r="253" spans="1:2">
      <c r="A253" s="291">
        <v>25.9</v>
      </c>
      <c r="B253" s="292">
        <v>8.1199999999999992</v>
      </c>
    </row>
    <row r="254" spans="1:2">
      <c r="A254" s="291">
        <v>26</v>
      </c>
      <c r="B254" s="292">
        <v>8.11</v>
      </c>
    </row>
    <row r="255" spans="1:2">
      <c r="A255" s="291">
        <v>26.1</v>
      </c>
      <c r="B255" s="292">
        <v>8.09</v>
      </c>
    </row>
    <row r="256" spans="1:2">
      <c r="A256" s="291">
        <v>26.2</v>
      </c>
      <c r="B256" s="292">
        <v>8.08</v>
      </c>
    </row>
    <row r="257" spans="1:2">
      <c r="A257" s="291">
        <v>26.3</v>
      </c>
      <c r="B257" s="292">
        <v>8.06</v>
      </c>
    </row>
    <row r="258" spans="1:2">
      <c r="A258" s="291">
        <v>26.4</v>
      </c>
      <c r="B258" s="292">
        <v>8.0500000000000007</v>
      </c>
    </row>
    <row r="259" spans="1:2">
      <c r="A259" s="291">
        <v>26.5</v>
      </c>
      <c r="B259" s="292">
        <v>8.0299999999999994</v>
      </c>
    </row>
    <row r="260" spans="1:2">
      <c r="A260" s="291">
        <v>26.6</v>
      </c>
      <c r="B260" s="292">
        <v>8.02</v>
      </c>
    </row>
    <row r="261" spans="1:2">
      <c r="A261" s="291">
        <v>26.7</v>
      </c>
      <c r="B261" s="292">
        <v>8</v>
      </c>
    </row>
    <row r="262" spans="1:2">
      <c r="A262" s="291">
        <v>26.8</v>
      </c>
      <c r="B262" s="292">
        <v>7.99</v>
      </c>
    </row>
    <row r="263" spans="1:2">
      <c r="A263" s="291">
        <v>26.9</v>
      </c>
      <c r="B263" s="292">
        <v>7.98</v>
      </c>
    </row>
    <row r="264" spans="1:2">
      <c r="A264" s="291">
        <v>27</v>
      </c>
      <c r="B264" s="292">
        <v>7.96</v>
      </c>
    </row>
    <row r="265" spans="1:2">
      <c r="A265" s="291">
        <v>27.1</v>
      </c>
      <c r="B265" s="292">
        <v>7.95</v>
      </c>
    </row>
    <row r="266" spans="1:2">
      <c r="A266" s="291">
        <v>27.2</v>
      </c>
      <c r="B266" s="292">
        <v>7.93</v>
      </c>
    </row>
    <row r="267" spans="1:2">
      <c r="A267" s="291">
        <v>27.3</v>
      </c>
      <c r="B267" s="292">
        <v>7.92</v>
      </c>
    </row>
    <row r="268" spans="1:2">
      <c r="A268" s="291">
        <v>27.4</v>
      </c>
      <c r="B268" s="292">
        <v>7.9</v>
      </c>
    </row>
    <row r="269" spans="1:2">
      <c r="A269" s="291">
        <v>27.5</v>
      </c>
      <c r="B269" s="292">
        <v>7.89</v>
      </c>
    </row>
    <row r="270" spans="1:2">
      <c r="A270" s="291">
        <v>27.6</v>
      </c>
      <c r="B270" s="292">
        <v>7.88</v>
      </c>
    </row>
    <row r="271" spans="1:2">
      <c r="A271" s="291">
        <v>27.7</v>
      </c>
      <c r="B271" s="292">
        <v>7.86</v>
      </c>
    </row>
    <row r="272" spans="1:2">
      <c r="A272" s="291">
        <v>27.8</v>
      </c>
      <c r="B272" s="292">
        <v>7.85</v>
      </c>
    </row>
    <row r="273" spans="1:2">
      <c r="A273" s="291">
        <v>27.9</v>
      </c>
      <c r="B273" s="292">
        <v>7.83</v>
      </c>
    </row>
    <row r="274" spans="1:2">
      <c r="A274" s="291">
        <v>28</v>
      </c>
      <c r="B274" s="292">
        <v>7.82</v>
      </c>
    </row>
    <row r="275" spans="1:2">
      <c r="A275" s="291">
        <v>28.1</v>
      </c>
      <c r="B275" s="292">
        <v>7.81</v>
      </c>
    </row>
    <row r="276" spans="1:2">
      <c r="A276" s="291">
        <v>28.2</v>
      </c>
      <c r="B276" s="292">
        <v>7.79</v>
      </c>
    </row>
    <row r="277" spans="1:2">
      <c r="A277" s="291">
        <v>28.3</v>
      </c>
      <c r="B277" s="292">
        <v>7.78</v>
      </c>
    </row>
    <row r="278" spans="1:2">
      <c r="A278" s="291">
        <v>28.4</v>
      </c>
      <c r="B278" s="292">
        <v>7.77</v>
      </c>
    </row>
    <row r="279" spans="1:2">
      <c r="A279" s="291">
        <v>28.5</v>
      </c>
      <c r="B279" s="292">
        <v>7.75</v>
      </c>
    </row>
    <row r="280" spans="1:2">
      <c r="A280" s="291">
        <v>28.6</v>
      </c>
      <c r="B280" s="292">
        <v>7.74</v>
      </c>
    </row>
    <row r="281" spans="1:2">
      <c r="A281" s="291">
        <v>28.7</v>
      </c>
      <c r="B281" s="292">
        <v>7.73</v>
      </c>
    </row>
    <row r="282" spans="1:2">
      <c r="A282" s="291">
        <v>28.8</v>
      </c>
      <c r="B282" s="292">
        <v>7.71</v>
      </c>
    </row>
    <row r="283" spans="1:2">
      <c r="A283" s="291">
        <v>28.9</v>
      </c>
      <c r="B283" s="292">
        <v>7.7</v>
      </c>
    </row>
    <row r="284" spans="1:2">
      <c r="A284" s="291">
        <v>29</v>
      </c>
      <c r="B284" s="292">
        <v>7.69</v>
      </c>
    </row>
    <row r="285" spans="1:2">
      <c r="A285" s="291">
        <v>29.1</v>
      </c>
      <c r="B285" s="292">
        <v>7.67</v>
      </c>
    </row>
    <row r="286" spans="1:2">
      <c r="A286" s="291">
        <v>29.2</v>
      </c>
      <c r="B286" s="292">
        <v>7.66</v>
      </c>
    </row>
    <row r="287" spans="1:2">
      <c r="A287" s="291">
        <v>29.3</v>
      </c>
      <c r="B287" s="292">
        <v>7.65</v>
      </c>
    </row>
    <row r="288" spans="1:2">
      <c r="A288" s="291">
        <v>29.4</v>
      </c>
      <c r="B288" s="292">
        <v>7.63</v>
      </c>
    </row>
    <row r="289" spans="1:2">
      <c r="A289" s="291">
        <v>29.5</v>
      </c>
      <c r="B289" s="292">
        <v>7.62</v>
      </c>
    </row>
    <row r="290" spans="1:2">
      <c r="A290" s="291">
        <v>29.6</v>
      </c>
      <c r="B290" s="292">
        <v>7.61</v>
      </c>
    </row>
    <row r="291" spans="1:2">
      <c r="A291" s="291">
        <v>29.7</v>
      </c>
      <c r="B291" s="292">
        <v>7.59</v>
      </c>
    </row>
    <row r="292" spans="1:2">
      <c r="A292" s="291">
        <v>29.8</v>
      </c>
      <c r="B292" s="292">
        <v>7.58</v>
      </c>
    </row>
    <row r="293" spans="1:2">
      <c r="A293" s="291">
        <v>29.9</v>
      </c>
      <c r="B293" s="292">
        <v>7.57</v>
      </c>
    </row>
    <row r="294" spans="1:2">
      <c r="A294" s="291">
        <v>30</v>
      </c>
      <c r="B294" s="292">
        <v>7.55</v>
      </c>
    </row>
    <row r="295" spans="1:2">
      <c r="A295" s="430"/>
      <c r="B295" s="43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73"/>
  <sheetViews>
    <sheetView zoomScale="87" zoomScaleNormal="87" workbookViewId="0">
      <selection activeCell="M173" sqref="M173"/>
    </sheetView>
  </sheetViews>
  <sheetFormatPr baseColWidth="10" defaultColWidth="8.7109375" defaultRowHeight="16"/>
  <cols>
    <col min="1" max="1" width="2.7109375" style="130" customWidth="1"/>
    <col min="2" max="2" width="11.7109375" style="130" customWidth="1"/>
    <col min="3" max="3" width="17.7109375" style="130" customWidth="1"/>
    <col min="4" max="10" width="11.7109375" style="130" customWidth="1"/>
    <col min="11" max="12" width="9.7109375" style="130" customWidth="1"/>
    <col min="13" max="13" width="27.7109375" style="130" customWidth="1"/>
    <col min="14" max="256" width="9.7109375" style="130" customWidth="1"/>
  </cols>
  <sheetData>
    <row r="1" spans="1:14" ht="18">
      <c r="A1" s="1"/>
      <c r="B1" s="131" t="s">
        <v>210</v>
      </c>
      <c r="C1" s="131"/>
      <c r="D1" s="131"/>
      <c r="E1" s="131"/>
      <c r="F1" s="131"/>
      <c r="G1" s="131"/>
      <c r="H1" s="131"/>
      <c r="I1" s="131"/>
      <c r="J1" s="131"/>
      <c r="K1" s="131"/>
      <c r="L1" s="131"/>
      <c r="M1" s="1"/>
      <c r="N1" s="1"/>
    </row>
    <row r="2" spans="1:14" ht="51">
      <c r="A2" s="1"/>
      <c r="B2" s="355" t="s">
        <v>211</v>
      </c>
      <c r="C2" s="356" t="s">
        <v>212</v>
      </c>
      <c r="D2" s="356" t="s">
        <v>22</v>
      </c>
      <c r="E2" s="356" t="s">
        <v>213</v>
      </c>
      <c r="F2" s="356" t="s">
        <v>214</v>
      </c>
      <c r="G2" s="356" t="s">
        <v>215</v>
      </c>
      <c r="H2" s="356" t="s">
        <v>216</v>
      </c>
      <c r="I2" s="356" t="s">
        <v>217</v>
      </c>
      <c r="J2" s="356" t="s">
        <v>218</v>
      </c>
      <c r="K2" s="356" t="s">
        <v>219</v>
      </c>
      <c r="L2" s="356" t="s">
        <v>220</v>
      </c>
      <c r="M2" s="355" t="s">
        <v>221</v>
      </c>
      <c r="N2" s="357"/>
    </row>
    <row r="3" spans="1:14" ht="17">
      <c r="A3" s="1"/>
      <c r="B3" s="358">
        <v>35816</v>
      </c>
      <c r="C3" s="356" t="s">
        <v>222</v>
      </c>
      <c r="D3" s="359">
        <v>7.19</v>
      </c>
      <c r="E3" s="359">
        <v>19.5</v>
      </c>
      <c r="F3" s="360">
        <v>12</v>
      </c>
      <c r="G3" s="360">
        <v>12</v>
      </c>
      <c r="H3" s="360">
        <v>0</v>
      </c>
      <c r="I3" s="360">
        <v>11.3</v>
      </c>
      <c r="J3" s="361">
        <v>70</v>
      </c>
      <c r="K3" s="361"/>
      <c r="L3" s="361"/>
      <c r="M3" s="362"/>
      <c r="N3" s="357"/>
    </row>
    <row r="4" spans="1:14" ht="17">
      <c r="A4" s="1"/>
      <c r="B4" s="363">
        <v>35825</v>
      </c>
      <c r="C4" s="364" t="s">
        <v>222</v>
      </c>
      <c r="D4" s="365">
        <v>7.34</v>
      </c>
      <c r="E4" s="365">
        <v>22.9</v>
      </c>
      <c r="F4" s="366">
        <v>56</v>
      </c>
      <c r="G4" s="366">
        <v>23</v>
      </c>
      <c r="H4" s="366">
        <v>33</v>
      </c>
      <c r="I4" s="366">
        <v>11.1</v>
      </c>
      <c r="J4" s="367">
        <v>80</v>
      </c>
      <c r="K4" s="367"/>
      <c r="L4" s="367"/>
      <c r="M4" s="368"/>
      <c r="N4" s="357"/>
    </row>
    <row r="5" spans="1:14" ht="17">
      <c r="A5" s="1"/>
      <c r="B5" s="363">
        <v>35830</v>
      </c>
      <c r="C5" s="364" t="s">
        <v>222</v>
      </c>
      <c r="D5" s="365">
        <v>7.48</v>
      </c>
      <c r="E5" s="365">
        <v>24.7</v>
      </c>
      <c r="F5" s="366">
        <v>102</v>
      </c>
      <c r="G5" s="366">
        <v>42</v>
      </c>
      <c r="H5" s="366">
        <v>60</v>
      </c>
      <c r="I5" s="366">
        <v>11.6</v>
      </c>
      <c r="J5" s="367">
        <v>80</v>
      </c>
      <c r="K5" s="367"/>
      <c r="L5" s="367"/>
      <c r="M5" s="368"/>
      <c r="N5" s="357"/>
    </row>
    <row r="6" spans="1:14" ht="17">
      <c r="A6" s="1"/>
      <c r="B6" s="363">
        <v>35838</v>
      </c>
      <c r="C6" s="364" t="s">
        <v>222</v>
      </c>
      <c r="D6" s="365">
        <v>7.29</v>
      </c>
      <c r="E6" s="365">
        <v>2.59</v>
      </c>
      <c r="F6" s="366">
        <v>5.6</v>
      </c>
      <c r="G6" s="366">
        <v>2.8</v>
      </c>
      <c r="H6" s="366">
        <v>2.8</v>
      </c>
      <c r="I6" s="366">
        <v>10.7</v>
      </c>
      <c r="J6" s="367">
        <v>20</v>
      </c>
      <c r="K6" s="367"/>
      <c r="L6" s="367"/>
      <c r="M6" s="368"/>
      <c r="N6" s="357"/>
    </row>
    <row r="7" spans="1:14" ht="17">
      <c r="A7" s="1"/>
      <c r="B7" s="363">
        <v>35844</v>
      </c>
      <c r="C7" s="364" t="s">
        <v>222</v>
      </c>
      <c r="D7" s="365">
        <v>7.29</v>
      </c>
      <c r="E7" s="365">
        <v>2.48</v>
      </c>
      <c r="F7" s="366">
        <v>5.2</v>
      </c>
      <c r="G7" s="366">
        <v>2.8</v>
      </c>
      <c r="H7" s="366">
        <v>2.4</v>
      </c>
      <c r="I7" s="366">
        <v>10.5</v>
      </c>
      <c r="J7" s="367">
        <v>15</v>
      </c>
      <c r="K7" s="367"/>
      <c r="L7" s="367"/>
      <c r="M7" s="368"/>
      <c r="N7" s="357"/>
    </row>
    <row r="8" spans="1:14" ht="17">
      <c r="A8" s="1"/>
      <c r="B8" s="363">
        <v>35853</v>
      </c>
      <c r="C8" s="364" t="s">
        <v>222</v>
      </c>
      <c r="D8" s="365">
        <v>7.47</v>
      </c>
      <c r="E8" s="365">
        <v>120</v>
      </c>
      <c r="F8" s="366">
        <v>1380</v>
      </c>
      <c r="G8" s="366">
        <v>470</v>
      </c>
      <c r="H8" s="366">
        <v>910</v>
      </c>
      <c r="I8" s="366">
        <v>10.9</v>
      </c>
      <c r="J8" s="367">
        <v>400</v>
      </c>
      <c r="K8" s="367"/>
      <c r="L8" s="367"/>
      <c r="M8" s="368"/>
      <c r="N8" s="357"/>
    </row>
    <row r="9" spans="1:14" ht="17">
      <c r="A9" s="1"/>
      <c r="B9" s="363">
        <v>35860</v>
      </c>
      <c r="C9" s="364" t="s">
        <v>222</v>
      </c>
      <c r="D9" s="365">
        <v>7.27</v>
      </c>
      <c r="E9" s="365">
        <v>50.4</v>
      </c>
      <c r="F9" s="366">
        <v>410</v>
      </c>
      <c r="G9" s="366">
        <v>190</v>
      </c>
      <c r="H9" s="366">
        <v>220</v>
      </c>
      <c r="I9" s="366">
        <v>11.1</v>
      </c>
      <c r="J9" s="367">
        <v>250</v>
      </c>
      <c r="K9" s="367"/>
      <c r="L9" s="367"/>
      <c r="M9" s="368"/>
      <c r="N9" s="357"/>
    </row>
    <row r="10" spans="1:14" ht="17">
      <c r="A10" s="1"/>
      <c r="B10" s="363">
        <v>35866</v>
      </c>
      <c r="C10" s="364" t="s">
        <v>222</v>
      </c>
      <c r="D10" s="365">
        <v>7.17</v>
      </c>
      <c r="E10" s="365">
        <v>105</v>
      </c>
      <c r="F10" s="366">
        <v>292</v>
      </c>
      <c r="G10" s="366">
        <v>140</v>
      </c>
      <c r="H10" s="366">
        <v>152</v>
      </c>
      <c r="I10" s="366">
        <v>10.6</v>
      </c>
      <c r="J10" s="367">
        <v>500</v>
      </c>
      <c r="K10" s="367"/>
      <c r="L10" s="367"/>
      <c r="M10" s="368"/>
      <c r="N10" s="357"/>
    </row>
    <row r="11" spans="1:14" ht="17">
      <c r="A11" s="1"/>
      <c r="B11" s="363">
        <v>35867</v>
      </c>
      <c r="C11" s="364" t="s">
        <v>222</v>
      </c>
      <c r="D11" s="365"/>
      <c r="E11" s="365">
        <v>604</v>
      </c>
      <c r="F11" s="366">
        <v>1570</v>
      </c>
      <c r="G11" s="366"/>
      <c r="H11" s="366"/>
      <c r="I11" s="366"/>
      <c r="J11" s="367"/>
      <c r="K11" s="367"/>
      <c r="L11" s="367"/>
      <c r="M11" s="368"/>
      <c r="N11" s="357"/>
    </row>
    <row r="12" spans="1:14" ht="17">
      <c r="A12" s="1"/>
      <c r="B12" s="363">
        <v>35873</v>
      </c>
      <c r="C12" s="364" t="s">
        <v>223</v>
      </c>
      <c r="D12" s="365">
        <v>7.16</v>
      </c>
      <c r="E12" s="365">
        <v>2.25</v>
      </c>
      <c r="F12" s="366">
        <v>6.7</v>
      </c>
      <c r="G12" s="366">
        <v>3</v>
      </c>
      <c r="H12" s="366">
        <v>3.7</v>
      </c>
      <c r="I12" s="366">
        <v>11.6</v>
      </c>
      <c r="J12" s="367">
        <v>15</v>
      </c>
      <c r="K12" s="367"/>
      <c r="L12" s="367"/>
      <c r="M12" s="368" t="s">
        <v>224</v>
      </c>
      <c r="N12" s="357"/>
    </row>
    <row r="13" spans="1:14" ht="17">
      <c r="A13" s="1"/>
      <c r="B13" s="363">
        <v>35880</v>
      </c>
      <c r="C13" s="364" t="s">
        <v>223</v>
      </c>
      <c r="D13" s="365">
        <v>7.21</v>
      </c>
      <c r="E13" s="365">
        <v>2.3199999999999998</v>
      </c>
      <c r="F13" s="366">
        <v>6</v>
      </c>
      <c r="G13" s="366">
        <v>3.4</v>
      </c>
      <c r="H13" s="366">
        <v>2.6</v>
      </c>
      <c r="I13" s="366">
        <v>11.7</v>
      </c>
      <c r="J13" s="367">
        <v>15</v>
      </c>
      <c r="K13" s="367"/>
      <c r="L13" s="367"/>
      <c r="M13" s="368"/>
      <c r="N13" s="357"/>
    </row>
    <row r="14" spans="1:14" ht="17">
      <c r="A14" s="1"/>
      <c r="B14" s="363">
        <v>35888</v>
      </c>
      <c r="C14" s="364" t="s">
        <v>223</v>
      </c>
      <c r="D14" s="365">
        <v>7.39</v>
      </c>
      <c r="E14" s="365">
        <v>3.07</v>
      </c>
      <c r="F14" s="366">
        <v>6.8</v>
      </c>
      <c r="G14" s="366">
        <v>3.2</v>
      </c>
      <c r="H14" s="366">
        <v>3.6</v>
      </c>
      <c r="I14" s="366">
        <v>10.6</v>
      </c>
      <c r="J14" s="367">
        <v>25</v>
      </c>
      <c r="K14" s="367"/>
      <c r="L14" s="367"/>
      <c r="M14" s="368"/>
      <c r="N14" s="357"/>
    </row>
    <row r="15" spans="1:14" ht="17">
      <c r="A15" s="1"/>
      <c r="B15" s="363">
        <v>35901</v>
      </c>
      <c r="C15" s="364" t="s">
        <v>223</v>
      </c>
      <c r="D15" s="365">
        <v>7.22</v>
      </c>
      <c r="E15" s="365">
        <v>3.78</v>
      </c>
      <c r="F15" s="366">
        <v>7.3</v>
      </c>
      <c r="G15" s="366">
        <v>7</v>
      </c>
      <c r="H15" s="366">
        <v>0.3</v>
      </c>
      <c r="I15" s="366">
        <v>10.6</v>
      </c>
      <c r="J15" s="367">
        <v>25</v>
      </c>
      <c r="K15" s="367"/>
      <c r="L15" s="367"/>
      <c r="M15" s="368"/>
      <c r="N15" s="357"/>
    </row>
    <row r="16" spans="1:14" ht="17">
      <c r="A16" s="1"/>
      <c r="B16" s="363">
        <v>35909</v>
      </c>
      <c r="C16" s="364" t="s">
        <v>223</v>
      </c>
      <c r="D16" s="365">
        <v>7.3</v>
      </c>
      <c r="E16" s="365">
        <v>421</v>
      </c>
      <c r="F16" s="366">
        <v>1360</v>
      </c>
      <c r="G16" s="366">
        <v>585</v>
      </c>
      <c r="H16" s="366">
        <v>775</v>
      </c>
      <c r="I16" s="366">
        <v>9.1999999999999993</v>
      </c>
      <c r="J16" s="367">
        <v>1250</v>
      </c>
      <c r="K16" s="367"/>
      <c r="L16" s="367"/>
      <c r="M16" s="368" t="s">
        <v>225</v>
      </c>
      <c r="N16" s="357"/>
    </row>
    <row r="17" spans="1:14" ht="17">
      <c r="A17" s="1"/>
      <c r="B17" s="363">
        <v>35913</v>
      </c>
      <c r="C17" s="364" t="s">
        <v>223</v>
      </c>
      <c r="D17" s="365">
        <v>7.27</v>
      </c>
      <c r="E17" s="365">
        <v>2.96</v>
      </c>
      <c r="F17" s="366">
        <v>4.8</v>
      </c>
      <c r="G17" s="366">
        <v>2.6</v>
      </c>
      <c r="H17" s="366">
        <v>2.2000000000000002</v>
      </c>
      <c r="I17" s="366">
        <v>10.3</v>
      </c>
      <c r="J17" s="367">
        <v>15</v>
      </c>
      <c r="K17" s="367"/>
      <c r="L17" s="367"/>
      <c r="M17" s="368"/>
      <c r="N17" s="357"/>
    </row>
    <row r="18" spans="1:14" ht="17">
      <c r="A18" s="1"/>
      <c r="B18" s="363">
        <v>35920</v>
      </c>
      <c r="C18" s="364" t="s">
        <v>223</v>
      </c>
      <c r="D18" s="365">
        <v>7.49</v>
      </c>
      <c r="E18" s="365">
        <v>4.58</v>
      </c>
      <c r="F18" s="366">
        <v>9.8000000000000007</v>
      </c>
      <c r="G18" s="366">
        <v>4.9000000000000004</v>
      </c>
      <c r="H18" s="366">
        <v>4.9000000000000004</v>
      </c>
      <c r="I18" s="366">
        <v>9.1</v>
      </c>
      <c r="J18" s="367">
        <v>35</v>
      </c>
      <c r="K18" s="367"/>
      <c r="L18" s="367"/>
      <c r="M18" s="368"/>
      <c r="N18" s="357"/>
    </row>
    <row r="19" spans="1:14" ht="17">
      <c r="A19" s="1"/>
      <c r="B19" s="363">
        <v>35930</v>
      </c>
      <c r="C19" s="364" t="s">
        <v>223</v>
      </c>
      <c r="D19" s="365">
        <v>7.55</v>
      </c>
      <c r="E19" s="365">
        <v>2.27</v>
      </c>
      <c r="F19" s="366">
        <v>6.8</v>
      </c>
      <c r="G19" s="366">
        <v>3.4</v>
      </c>
      <c r="H19" s="366">
        <v>3.4</v>
      </c>
      <c r="I19" s="366">
        <v>9</v>
      </c>
      <c r="J19" s="367">
        <v>15</v>
      </c>
      <c r="K19" s="367"/>
      <c r="L19" s="367"/>
      <c r="M19" s="368"/>
      <c r="N19" s="357"/>
    </row>
    <row r="20" spans="1:14" ht="17">
      <c r="A20" s="1"/>
      <c r="B20" s="363">
        <v>35944</v>
      </c>
      <c r="C20" s="364" t="s">
        <v>223</v>
      </c>
      <c r="D20" s="365">
        <v>7.43</v>
      </c>
      <c r="E20" s="365">
        <v>143</v>
      </c>
      <c r="F20" s="366">
        <v>564</v>
      </c>
      <c r="G20" s="366">
        <v>212</v>
      </c>
      <c r="H20" s="366">
        <v>352</v>
      </c>
      <c r="I20" s="366">
        <v>9.1999999999999993</v>
      </c>
      <c r="J20" s="367">
        <v>400</v>
      </c>
      <c r="K20" s="367"/>
      <c r="L20" s="367"/>
      <c r="M20" s="368"/>
      <c r="N20" s="357"/>
    </row>
    <row r="21" spans="1:14" ht="17">
      <c r="A21" s="1"/>
      <c r="B21" s="363">
        <v>35955</v>
      </c>
      <c r="C21" s="364" t="s">
        <v>226</v>
      </c>
      <c r="D21" s="365">
        <v>7.5</v>
      </c>
      <c r="E21" s="365">
        <v>1.61</v>
      </c>
      <c r="F21" s="366">
        <v>4.2</v>
      </c>
      <c r="G21" s="366">
        <v>2.6</v>
      </c>
      <c r="H21" s="366">
        <v>1.6</v>
      </c>
      <c r="I21" s="366">
        <v>8</v>
      </c>
      <c r="J21" s="367">
        <v>10</v>
      </c>
      <c r="K21" s="367">
        <v>0</v>
      </c>
      <c r="L21" s="367">
        <v>0</v>
      </c>
      <c r="M21" s="368" t="s">
        <v>224</v>
      </c>
      <c r="N21" s="357"/>
    </row>
    <row r="22" spans="1:14" ht="17">
      <c r="A22" s="1"/>
      <c r="B22" s="363">
        <v>35962</v>
      </c>
      <c r="C22" s="364" t="s">
        <v>226</v>
      </c>
      <c r="D22" s="365">
        <v>7.5</v>
      </c>
      <c r="E22" s="365">
        <v>1.07</v>
      </c>
      <c r="F22" s="366">
        <v>3.2</v>
      </c>
      <c r="G22" s="366">
        <v>2.2000000000000002</v>
      </c>
      <c r="H22" s="366">
        <v>1</v>
      </c>
      <c r="I22" s="366">
        <v>7.8</v>
      </c>
      <c r="J22" s="367">
        <v>10</v>
      </c>
      <c r="K22" s="367">
        <v>0</v>
      </c>
      <c r="L22" s="367">
        <v>0</v>
      </c>
      <c r="M22" s="368"/>
      <c r="N22" s="357"/>
    </row>
    <row r="23" spans="1:14" ht="17">
      <c r="A23" s="1"/>
      <c r="B23" s="363">
        <v>35972</v>
      </c>
      <c r="C23" s="364" t="s">
        <v>226</v>
      </c>
      <c r="D23" s="365">
        <v>7.21</v>
      </c>
      <c r="E23" s="365">
        <v>1.18</v>
      </c>
      <c r="F23" s="366">
        <v>3.8</v>
      </c>
      <c r="G23" s="366">
        <v>2.8</v>
      </c>
      <c r="H23" s="366">
        <v>1</v>
      </c>
      <c r="I23" s="366"/>
      <c r="J23" s="367">
        <v>10</v>
      </c>
      <c r="K23" s="367">
        <v>0</v>
      </c>
      <c r="L23" s="367">
        <v>0</v>
      </c>
      <c r="M23" s="368"/>
      <c r="N23" s="357"/>
    </row>
    <row r="24" spans="1:14" ht="17">
      <c r="A24" s="1"/>
      <c r="B24" s="363">
        <v>35985</v>
      </c>
      <c r="C24" s="364" t="s">
        <v>226</v>
      </c>
      <c r="D24" s="365">
        <v>7.64</v>
      </c>
      <c r="E24" s="365">
        <v>1.18</v>
      </c>
      <c r="F24" s="366">
        <v>3.2</v>
      </c>
      <c r="G24" s="366">
        <v>1.8</v>
      </c>
      <c r="H24" s="366">
        <v>1.4</v>
      </c>
      <c r="I24" s="366">
        <v>6.7</v>
      </c>
      <c r="J24" s="367">
        <v>10</v>
      </c>
      <c r="K24" s="367"/>
      <c r="L24" s="367"/>
      <c r="M24" s="368"/>
      <c r="N24" s="357"/>
    </row>
    <row r="25" spans="1:14" ht="17">
      <c r="A25" s="1"/>
      <c r="B25" s="363">
        <v>35993</v>
      </c>
      <c r="C25" s="364" t="s">
        <v>226</v>
      </c>
      <c r="D25" s="365">
        <v>7.51</v>
      </c>
      <c r="E25" s="365">
        <v>1.05</v>
      </c>
      <c r="F25" s="366">
        <v>18</v>
      </c>
      <c r="G25" s="366">
        <v>1.4</v>
      </c>
      <c r="H25" s="366">
        <v>0.4</v>
      </c>
      <c r="I25" s="366"/>
      <c r="J25" s="367">
        <v>10</v>
      </c>
      <c r="K25" s="367" t="s">
        <v>227</v>
      </c>
      <c r="L25" s="367" t="s">
        <v>227</v>
      </c>
      <c r="M25" s="368"/>
      <c r="N25" s="357"/>
    </row>
    <row r="26" spans="1:14" ht="17">
      <c r="A26" s="1"/>
      <c r="B26" s="363">
        <v>35997</v>
      </c>
      <c r="C26" s="364" t="s">
        <v>226</v>
      </c>
      <c r="D26" s="365">
        <v>7.45</v>
      </c>
      <c r="E26" s="365">
        <v>3.61</v>
      </c>
      <c r="F26" s="366">
        <v>8.8000000000000007</v>
      </c>
      <c r="G26" s="366">
        <v>5.2</v>
      </c>
      <c r="H26" s="366">
        <v>3.6</v>
      </c>
      <c r="I26" s="366">
        <v>6.6</v>
      </c>
      <c r="J26" s="367">
        <v>15</v>
      </c>
      <c r="K26" s="367"/>
      <c r="L26" s="367"/>
      <c r="M26" s="368"/>
      <c r="N26" s="357"/>
    </row>
    <row r="27" spans="1:14" ht="17">
      <c r="A27" s="1"/>
      <c r="B27" s="363">
        <v>36006</v>
      </c>
      <c r="C27" s="364" t="s">
        <v>226</v>
      </c>
      <c r="D27" s="365">
        <v>7.32</v>
      </c>
      <c r="E27" s="365">
        <v>4.0599999999999996</v>
      </c>
      <c r="F27" s="366">
        <v>9.1999999999999993</v>
      </c>
      <c r="G27" s="366">
        <v>7.2</v>
      </c>
      <c r="H27" s="366">
        <v>2</v>
      </c>
      <c r="I27" s="366">
        <v>6.6</v>
      </c>
      <c r="J27" s="367">
        <v>20</v>
      </c>
      <c r="K27" s="367"/>
      <c r="L27" s="367"/>
      <c r="M27" s="368"/>
      <c r="N27" s="357"/>
    </row>
    <row r="28" spans="1:14" ht="17">
      <c r="A28" s="1"/>
      <c r="B28" s="363">
        <v>36014</v>
      </c>
      <c r="C28" s="364" t="s">
        <v>226</v>
      </c>
      <c r="D28" s="365">
        <v>7.49</v>
      </c>
      <c r="E28" s="365">
        <v>6.32</v>
      </c>
      <c r="F28" s="366">
        <v>19.600000000000001</v>
      </c>
      <c r="G28" s="366">
        <v>10.8</v>
      </c>
      <c r="H28" s="366">
        <v>8.8000000000000007</v>
      </c>
      <c r="I28" s="366">
        <v>7.6</v>
      </c>
      <c r="J28" s="367">
        <v>25</v>
      </c>
      <c r="K28" s="367"/>
      <c r="L28" s="367"/>
      <c r="M28" s="368"/>
      <c r="N28" s="357"/>
    </row>
    <row r="29" spans="1:14" ht="17">
      <c r="A29" s="1"/>
      <c r="B29" s="363">
        <v>36020</v>
      </c>
      <c r="C29" s="364" t="s">
        <v>226</v>
      </c>
      <c r="D29" s="365">
        <v>7.22</v>
      </c>
      <c r="E29" s="365">
        <v>109</v>
      </c>
      <c r="F29" s="366">
        <v>392</v>
      </c>
      <c r="G29" s="366">
        <v>172</v>
      </c>
      <c r="H29" s="366">
        <v>220</v>
      </c>
      <c r="I29" s="366">
        <v>7.5</v>
      </c>
      <c r="J29" s="367">
        <v>300</v>
      </c>
      <c r="K29" s="367"/>
      <c r="L29" s="367"/>
      <c r="M29" s="368" t="s">
        <v>228</v>
      </c>
      <c r="N29" s="357"/>
    </row>
    <row r="30" spans="1:14" ht="17">
      <c r="A30" s="1"/>
      <c r="B30" s="363">
        <v>36025</v>
      </c>
      <c r="C30" s="364" t="s">
        <v>229</v>
      </c>
      <c r="D30" s="365">
        <v>7.27</v>
      </c>
      <c r="E30" s="365">
        <v>2.35</v>
      </c>
      <c r="F30" s="366">
        <v>6.6</v>
      </c>
      <c r="G30" s="366">
        <v>4.5999999999999996</v>
      </c>
      <c r="H30" s="366">
        <v>2</v>
      </c>
      <c r="I30" s="366">
        <v>7.2</v>
      </c>
      <c r="J30" s="367">
        <v>15</v>
      </c>
      <c r="K30" s="367"/>
      <c r="L30" s="367"/>
      <c r="M30" s="368" t="s">
        <v>230</v>
      </c>
      <c r="N30" s="357"/>
    </row>
    <row r="31" spans="1:14" ht="17">
      <c r="A31" s="1"/>
      <c r="B31" s="363">
        <v>36031</v>
      </c>
      <c r="C31" s="364" t="s">
        <v>229</v>
      </c>
      <c r="D31" s="365">
        <v>7.32</v>
      </c>
      <c r="E31" s="365">
        <v>1.61</v>
      </c>
      <c r="F31" s="366">
        <v>4.8</v>
      </c>
      <c r="G31" s="366">
        <v>3.9</v>
      </c>
      <c r="H31" s="366">
        <v>0.9</v>
      </c>
      <c r="I31" s="366">
        <v>6.6</v>
      </c>
      <c r="J31" s="367">
        <v>10</v>
      </c>
      <c r="K31" s="367"/>
      <c r="L31" s="367"/>
      <c r="M31" s="368"/>
      <c r="N31" s="357"/>
    </row>
    <row r="32" spans="1:14" ht="17">
      <c r="A32" s="1"/>
      <c r="B32" s="363">
        <v>36041</v>
      </c>
      <c r="C32" s="364" t="s">
        <v>229</v>
      </c>
      <c r="D32" s="365">
        <v>7.27</v>
      </c>
      <c r="E32" s="365">
        <v>3.74</v>
      </c>
      <c r="F32" s="366">
        <v>11</v>
      </c>
      <c r="G32" s="366">
        <v>9.6</v>
      </c>
      <c r="H32" s="366">
        <v>1.4</v>
      </c>
      <c r="I32" s="366">
        <v>6.5</v>
      </c>
      <c r="J32" s="367">
        <v>15</v>
      </c>
      <c r="K32" s="367"/>
      <c r="L32" s="367"/>
      <c r="M32" s="368"/>
      <c r="N32" s="357"/>
    </row>
    <row r="33" spans="1:14" ht="17">
      <c r="A33" s="1"/>
      <c r="B33" s="363">
        <v>36055</v>
      </c>
      <c r="C33" s="364" t="s">
        <v>229</v>
      </c>
      <c r="D33" s="365">
        <v>7.23</v>
      </c>
      <c r="E33" s="365">
        <v>32.1</v>
      </c>
      <c r="F33" s="366">
        <v>128</v>
      </c>
      <c r="G33" s="366">
        <v>76</v>
      </c>
      <c r="H33" s="366">
        <v>52</v>
      </c>
      <c r="I33" s="366">
        <v>7.9</v>
      </c>
      <c r="J33" s="367">
        <v>100</v>
      </c>
      <c r="K33" s="367"/>
      <c r="L33" s="367"/>
      <c r="M33" s="368"/>
      <c r="N33" s="357"/>
    </row>
    <row r="34" spans="1:14" ht="30" customHeight="1">
      <c r="A34" s="1"/>
      <c r="B34" s="363">
        <v>36067</v>
      </c>
      <c r="C34" s="364" t="s">
        <v>231</v>
      </c>
      <c r="D34" s="365">
        <v>7.1</v>
      </c>
      <c r="E34" s="365">
        <v>2.54</v>
      </c>
      <c r="F34" s="366">
        <v>8.1999999999999993</v>
      </c>
      <c r="G34" s="366">
        <v>6.6</v>
      </c>
      <c r="H34" s="366">
        <v>1.6</v>
      </c>
      <c r="I34" s="366">
        <v>8.1</v>
      </c>
      <c r="J34" s="367">
        <v>10</v>
      </c>
      <c r="K34" s="367"/>
      <c r="L34" s="367"/>
      <c r="M34" s="368" t="s">
        <v>232</v>
      </c>
      <c r="N34" s="357"/>
    </row>
    <row r="35" spans="1:14" ht="17">
      <c r="A35" s="1"/>
      <c r="B35" s="363">
        <v>36074</v>
      </c>
      <c r="C35" s="364" t="s">
        <v>231</v>
      </c>
      <c r="D35" s="365">
        <v>7.58</v>
      </c>
      <c r="E35" s="365">
        <v>2.99</v>
      </c>
      <c r="F35" s="366">
        <v>6.6</v>
      </c>
      <c r="G35" s="366">
        <v>4</v>
      </c>
      <c r="H35" s="366">
        <v>2.6</v>
      </c>
      <c r="I35" s="366">
        <v>8.1</v>
      </c>
      <c r="J35" s="367">
        <v>10</v>
      </c>
      <c r="K35" s="367"/>
      <c r="L35" s="367"/>
      <c r="M35" s="368"/>
      <c r="N35" s="357"/>
    </row>
    <row r="36" spans="1:14" ht="17">
      <c r="A36" s="1"/>
      <c r="B36" s="363">
        <v>36095</v>
      </c>
      <c r="C36" s="364" t="s">
        <v>231</v>
      </c>
      <c r="D36" s="365">
        <v>7.46</v>
      </c>
      <c r="E36" s="365">
        <v>3.67</v>
      </c>
      <c r="F36" s="366">
        <v>9.3000000000000007</v>
      </c>
      <c r="G36" s="366">
        <v>5</v>
      </c>
      <c r="H36" s="366">
        <v>4.3</v>
      </c>
      <c r="I36" s="366">
        <v>10.9</v>
      </c>
      <c r="J36" s="367">
        <v>10</v>
      </c>
      <c r="K36" s="367"/>
      <c r="L36" s="367"/>
      <c r="M36" s="368"/>
      <c r="N36" s="357"/>
    </row>
    <row r="37" spans="1:14" ht="17">
      <c r="A37" s="1"/>
      <c r="B37" s="363">
        <v>36102</v>
      </c>
      <c r="C37" s="364" t="s">
        <v>233</v>
      </c>
      <c r="D37" s="365">
        <v>7.69</v>
      </c>
      <c r="E37" s="365">
        <v>3.49</v>
      </c>
      <c r="F37" s="366">
        <v>9.1999999999999993</v>
      </c>
      <c r="G37" s="366">
        <v>5.2</v>
      </c>
      <c r="H37" s="366">
        <v>4</v>
      </c>
      <c r="I37" s="366">
        <v>11.6</v>
      </c>
      <c r="J37" s="367">
        <v>15</v>
      </c>
      <c r="K37" s="367"/>
      <c r="L37" s="367"/>
      <c r="M37" s="368" t="s">
        <v>234</v>
      </c>
      <c r="N37" s="357"/>
    </row>
    <row r="38" spans="1:14" ht="17">
      <c r="A38" s="1"/>
      <c r="B38" s="363">
        <v>36109</v>
      </c>
      <c r="C38" s="364" t="s">
        <v>233</v>
      </c>
      <c r="D38" s="365">
        <v>7.45</v>
      </c>
      <c r="E38" s="365">
        <v>2.89</v>
      </c>
      <c r="F38" s="366">
        <v>7.2</v>
      </c>
      <c r="G38" s="366">
        <v>3.6</v>
      </c>
      <c r="H38" s="366">
        <v>3.6</v>
      </c>
      <c r="I38" s="366">
        <v>11</v>
      </c>
      <c r="J38" s="367">
        <v>15</v>
      </c>
      <c r="K38" s="367"/>
      <c r="L38" s="367"/>
      <c r="M38" s="368"/>
      <c r="N38" s="357"/>
    </row>
    <row r="39" spans="1:14" ht="17">
      <c r="A39" s="1"/>
      <c r="B39" s="363">
        <v>36116</v>
      </c>
      <c r="C39" s="364" t="s">
        <v>233</v>
      </c>
      <c r="D39" s="365">
        <v>7.49</v>
      </c>
      <c r="E39" s="365">
        <v>2.94</v>
      </c>
      <c r="F39" s="366">
        <v>7.6</v>
      </c>
      <c r="G39" s="366">
        <v>4.4000000000000004</v>
      </c>
      <c r="H39" s="366">
        <v>3.2</v>
      </c>
      <c r="I39" s="366">
        <v>12.7</v>
      </c>
      <c r="J39" s="367">
        <v>15</v>
      </c>
      <c r="K39" s="367"/>
      <c r="L39" s="367"/>
      <c r="M39" s="368"/>
      <c r="N39" s="357"/>
    </row>
    <row r="40" spans="1:14" ht="17">
      <c r="A40" s="1"/>
      <c r="B40" s="363">
        <v>36130</v>
      </c>
      <c r="C40" s="364" t="s">
        <v>233</v>
      </c>
      <c r="D40" s="365">
        <v>7.34</v>
      </c>
      <c r="E40" s="365">
        <v>3.34</v>
      </c>
      <c r="F40" s="366">
        <v>9.6</v>
      </c>
      <c r="G40" s="366">
        <v>4.4000000000000004</v>
      </c>
      <c r="H40" s="366">
        <v>5.2</v>
      </c>
      <c r="I40" s="366">
        <v>11.5</v>
      </c>
      <c r="J40" s="367">
        <v>10</v>
      </c>
      <c r="K40" s="367"/>
      <c r="L40" s="367"/>
      <c r="M40" s="368"/>
      <c r="N40" s="357"/>
    </row>
    <row r="41" spans="1:14" ht="17">
      <c r="A41" s="1"/>
      <c r="B41" s="363">
        <v>36140</v>
      </c>
      <c r="C41" s="364" t="s">
        <v>233</v>
      </c>
      <c r="D41" s="365">
        <v>7.53</v>
      </c>
      <c r="E41" s="365">
        <v>2.31</v>
      </c>
      <c r="F41" s="366"/>
      <c r="G41" s="366"/>
      <c r="H41" s="366"/>
      <c r="I41" s="366"/>
      <c r="J41" s="367">
        <v>5</v>
      </c>
      <c r="K41" s="367"/>
      <c r="L41" s="367"/>
      <c r="M41" s="368" t="s">
        <v>235</v>
      </c>
      <c r="N41" s="357"/>
    </row>
    <row r="42" spans="1:14" ht="17">
      <c r="A42" s="1"/>
      <c r="B42" s="363">
        <v>36144</v>
      </c>
      <c r="C42" s="364" t="s">
        <v>233</v>
      </c>
      <c r="D42" s="365">
        <v>7.36</v>
      </c>
      <c r="E42" s="365">
        <v>2.19</v>
      </c>
      <c r="F42" s="366">
        <v>5.5</v>
      </c>
      <c r="G42" s="366">
        <v>2.5</v>
      </c>
      <c r="H42" s="366">
        <v>3</v>
      </c>
      <c r="I42" s="366">
        <v>12.2</v>
      </c>
      <c r="J42" s="367">
        <v>10</v>
      </c>
      <c r="K42" s="367"/>
      <c r="L42" s="367"/>
      <c r="M42" s="368"/>
      <c r="N42" s="357"/>
    </row>
    <row r="43" spans="1:14" ht="17">
      <c r="A43" s="1"/>
      <c r="B43" s="363">
        <v>36151</v>
      </c>
      <c r="C43" s="364" t="s">
        <v>233</v>
      </c>
      <c r="D43" s="365">
        <v>7.51</v>
      </c>
      <c r="E43" s="365">
        <v>2.38</v>
      </c>
      <c r="F43" s="366">
        <v>5.2</v>
      </c>
      <c r="G43" s="366">
        <v>2.6</v>
      </c>
      <c r="H43" s="366">
        <v>2.6</v>
      </c>
      <c r="I43" s="366">
        <v>12</v>
      </c>
      <c r="J43" s="367">
        <v>10</v>
      </c>
      <c r="K43" s="367"/>
      <c r="L43" s="367"/>
      <c r="M43" s="368"/>
      <c r="N43" s="357"/>
    </row>
    <row r="44" spans="1:14" ht="17">
      <c r="A44" s="1"/>
      <c r="B44" s="363">
        <v>36165</v>
      </c>
      <c r="C44" s="364" t="s">
        <v>233</v>
      </c>
      <c r="D44" s="365">
        <v>7.21</v>
      </c>
      <c r="E44" s="365">
        <v>2.46</v>
      </c>
      <c r="F44" s="366">
        <v>5.2</v>
      </c>
      <c r="G44" s="366">
        <v>2.6</v>
      </c>
      <c r="H44" s="366">
        <v>2.6</v>
      </c>
      <c r="I44" s="366">
        <v>11.6</v>
      </c>
      <c r="J44" s="367">
        <v>10</v>
      </c>
      <c r="K44" s="367"/>
      <c r="L44" s="367"/>
      <c r="M44" s="368"/>
      <c r="N44" s="357"/>
    </row>
    <row r="45" spans="1:14" ht="17">
      <c r="A45" s="1"/>
      <c r="B45" s="363">
        <v>36172</v>
      </c>
      <c r="C45" s="364" t="s">
        <v>233</v>
      </c>
      <c r="D45" s="365">
        <v>7.21</v>
      </c>
      <c r="E45" s="365">
        <v>59.6</v>
      </c>
      <c r="F45" s="366">
        <v>296</v>
      </c>
      <c r="G45" s="366">
        <v>124</v>
      </c>
      <c r="H45" s="366">
        <v>172</v>
      </c>
      <c r="I45" s="366">
        <v>11.2</v>
      </c>
      <c r="J45" s="367">
        <v>120</v>
      </c>
      <c r="K45" s="367"/>
      <c r="L45" s="367"/>
      <c r="M45" s="368"/>
      <c r="N45" s="357"/>
    </row>
    <row r="46" spans="1:14" ht="17">
      <c r="A46" s="1"/>
      <c r="B46" s="363">
        <v>36181</v>
      </c>
      <c r="C46" s="364" t="s">
        <v>233</v>
      </c>
      <c r="D46" s="365">
        <v>7.26</v>
      </c>
      <c r="E46" s="365">
        <v>49.7</v>
      </c>
      <c r="F46" s="366">
        <v>186</v>
      </c>
      <c r="G46" s="366">
        <v>80</v>
      </c>
      <c r="H46" s="366">
        <v>106</v>
      </c>
      <c r="I46" s="366">
        <v>11.5</v>
      </c>
      <c r="J46" s="367">
        <v>175</v>
      </c>
      <c r="K46" s="367"/>
      <c r="L46" s="367"/>
      <c r="M46" s="368"/>
      <c r="N46" s="357"/>
    </row>
    <row r="47" spans="1:14" ht="17">
      <c r="A47" s="1"/>
      <c r="B47" s="363">
        <v>36186</v>
      </c>
      <c r="C47" s="364" t="s">
        <v>233</v>
      </c>
      <c r="D47" s="365">
        <v>7.19</v>
      </c>
      <c r="E47" s="365">
        <v>23.1</v>
      </c>
      <c r="F47" s="366">
        <v>96</v>
      </c>
      <c r="G47" s="366">
        <v>48</v>
      </c>
      <c r="H47" s="366">
        <v>48</v>
      </c>
      <c r="I47" s="366">
        <v>12</v>
      </c>
      <c r="J47" s="367">
        <v>105</v>
      </c>
      <c r="K47" s="367"/>
      <c r="L47" s="367"/>
      <c r="M47" s="368"/>
      <c r="N47" s="357"/>
    </row>
    <row r="48" spans="1:14" ht="17">
      <c r="A48" s="1"/>
      <c r="B48" s="363">
        <v>36196</v>
      </c>
      <c r="C48" s="364" t="s">
        <v>233</v>
      </c>
      <c r="D48" s="365">
        <v>7.55</v>
      </c>
      <c r="E48" s="365">
        <v>9.27</v>
      </c>
      <c r="F48" s="366">
        <v>36</v>
      </c>
      <c r="G48" s="366">
        <v>16</v>
      </c>
      <c r="H48" s="366">
        <v>20</v>
      </c>
      <c r="I48" s="366">
        <v>11.8</v>
      </c>
      <c r="J48" s="367">
        <v>50</v>
      </c>
      <c r="K48" s="367"/>
      <c r="L48" s="367"/>
      <c r="M48" s="368"/>
      <c r="N48" s="357"/>
    </row>
    <row r="49" spans="1:14" ht="17">
      <c r="A49" s="1"/>
      <c r="B49" s="363">
        <v>36207</v>
      </c>
      <c r="C49" s="364" t="s">
        <v>233</v>
      </c>
      <c r="D49" s="365">
        <v>7.44</v>
      </c>
      <c r="E49" s="365">
        <v>29.5</v>
      </c>
      <c r="F49" s="366">
        <v>336</v>
      </c>
      <c r="G49" s="366">
        <v>144</v>
      </c>
      <c r="H49" s="366">
        <v>192</v>
      </c>
      <c r="I49" s="366">
        <v>12.7</v>
      </c>
      <c r="J49" s="367">
        <v>175</v>
      </c>
      <c r="K49" s="367"/>
      <c r="L49" s="367"/>
      <c r="M49" s="368"/>
      <c r="N49" s="357"/>
    </row>
    <row r="50" spans="1:14" ht="17">
      <c r="A50" s="1"/>
      <c r="B50" s="363">
        <v>36228</v>
      </c>
      <c r="C50" s="364" t="s">
        <v>233</v>
      </c>
      <c r="D50" s="365">
        <v>7.31</v>
      </c>
      <c r="E50" s="365">
        <v>128</v>
      </c>
      <c r="F50" s="366">
        <v>520</v>
      </c>
      <c r="G50" s="366">
        <v>210</v>
      </c>
      <c r="H50" s="366">
        <v>310</v>
      </c>
      <c r="I50" s="366">
        <v>11.5</v>
      </c>
      <c r="J50" s="367">
        <v>400</v>
      </c>
      <c r="K50" s="367"/>
      <c r="L50" s="367"/>
      <c r="M50" s="368"/>
      <c r="N50" s="357"/>
    </row>
    <row r="51" spans="1:14" ht="17">
      <c r="A51" s="1"/>
      <c r="B51" s="363">
        <v>36235</v>
      </c>
      <c r="C51" s="364" t="s">
        <v>233</v>
      </c>
      <c r="D51" s="365">
        <v>7.21</v>
      </c>
      <c r="E51" s="365">
        <v>248</v>
      </c>
      <c r="F51" s="366">
        <v>1070</v>
      </c>
      <c r="G51" s="366">
        <v>450</v>
      </c>
      <c r="H51" s="366">
        <v>620</v>
      </c>
      <c r="I51" s="366">
        <v>10.8</v>
      </c>
      <c r="J51" s="367">
        <v>1000</v>
      </c>
      <c r="K51" s="367"/>
      <c r="L51" s="367"/>
      <c r="M51" s="368"/>
      <c r="N51" s="357"/>
    </row>
    <row r="52" spans="1:14" ht="17">
      <c r="A52" s="1"/>
      <c r="B52" s="363">
        <v>36242</v>
      </c>
      <c r="C52" s="364" t="s">
        <v>233</v>
      </c>
      <c r="D52" s="365">
        <v>7.36</v>
      </c>
      <c r="E52" s="365">
        <v>13.4</v>
      </c>
      <c r="F52" s="366">
        <v>50</v>
      </c>
      <c r="G52" s="366">
        <v>22</v>
      </c>
      <c r="H52" s="366">
        <v>28</v>
      </c>
      <c r="I52" s="366">
        <v>11.7</v>
      </c>
      <c r="J52" s="367">
        <v>80</v>
      </c>
      <c r="K52" s="367"/>
      <c r="L52" s="367"/>
      <c r="M52" s="368"/>
      <c r="N52" s="357"/>
    </row>
    <row r="53" spans="1:14" ht="17">
      <c r="A53" s="1"/>
      <c r="B53" s="363">
        <v>36249</v>
      </c>
      <c r="C53" s="364" t="s">
        <v>233</v>
      </c>
      <c r="D53" s="365">
        <v>7.35</v>
      </c>
      <c r="E53" s="365">
        <v>2.96</v>
      </c>
      <c r="F53" s="366">
        <v>7</v>
      </c>
      <c r="G53" s="366">
        <v>4.5</v>
      </c>
      <c r="H53" s="366">
        <v>2.5</v>
      </c>
      <c r="I53" s="366">
        <v>11.2</v>
      </c>
      <c r="J53" s="367">
        <v>25</v>
      </c>
      <c r="K53" s="367"/>
      <c r="L53" s="367"/>
      <c r="M53" s="368"/>
      <c r="N53" s="357"/>
    </row>
    <row r="54" spans="1:14" ht="17">
      <c r="A54" s="1"/>
      <c r="B54" s="363">
        <v>36257</v>
      </c>
      <c r="C54" s="364" t="s">
        <v>229</v>
      </c>
      <c r="D54" s="365">
        <v>6.93</v>
      </c>
      <c r="E54" s="365">
        <v>4.28</v>
      </c>
      <c r="F54" s="366">
        <v>2</v>
      </c>
      <c r="G54" s="366">
        <v>1.2</v>
      </c>
      <c r="H54" s="366">
        <v>0.8</v>
      </c>
      <c r="I54" s="366">
        <v>9.3000000000000007</v>
      </c>
      <c r="J54" s="367">
        <v>25</v>
      </c>
      <c r="K54" s="367"/>
      <c r="L54" s="367"/>
      <c r="M54" s="368"/>
      <c r="N54" s="357"/>
    </row>
    <row r="55" spans="1:14" ht="17">
      <c r="A55" s="1"/>
      <c r="B55" s="363">
        <v>36271</v>
      </c>
      <c r="C55" s="364" t="s">
        <v>229</v>
      </c>
      <c r="D55" s="365">
        <v>7.33</v>
      </c>
      <c r="E55" s="365">
        <v>2.35</v>
      </c>
      <c r="F55" s="366">
        <v>4.4000000000000004</v>
      </c>
      <c r="G55" s="366">
        <v>2</v>
      </c>
      <c r="H55" s="366">
        <v>2.4</v>
      </c>
      <c r="I55" s="366">
        <v>11.1</v>
      </c>
      <c r="J55" s="367">
        <v>15</v>
      </c>
      <c r="K55" s="367"/>
      <c r="L55" s="367"/>
      <c r="M55" s="368"/>
      <c r="N55" s="357"/>
    </row>
    <row r="56" spans="1:14" ht="17">
      <c r="A56" s="1"/>
      <c r="B56" s="363">
        <v>36277</v>
      </c>
      <c r="C56" s="364" t="s">
        <v>229</v>
      </c>
      <c r="D56" s="365">
        <v>7.12</v>
      </c>
      <c r="E56" s="365">
        <v>1.61</v>
      </c>
      <c r="F56" s="366">
        <v>2.9</v>
      </c>
      <c r="G56" s="366">
        <v>1.6</v>
      </c>
      <c r="H56" s="366">
        <v>1.3</v>
      </c>
      <c r="I56" s="366">
        <v>9.8000000000000007</v>
      </c>
      <c r="J56" s="367">
        <v>10</v>
      </c>
      <c r="K56" s="367"/>
      <c r="L56" s="367"/>
      <c r="M56" s="368"/>
      <c r="N56" s="357"/>
    </row>
    <row r="57" spans="1:14" ht="17">
      <c r="A57" s="1"/>
      <c r="B57" s="363">
        <v>36286</v>
      </c>
      <c r="C57" s="364" t="s">
        <v>229</v>
      </c>
      <c r="D57" s="365">
        <v>7.81</v>
      </c>
      <c r="E57" s="365">
        <v>98.3</v>
      </c>
      <c r="F57" s="366">
        <v>204</v>
      </c>
      <c r="G57" s="366">
        <v>66</v>
      </c>
      <c r="H57" s="366">
        <v>138</v>
      </c>
      <c r="I57" s="366">
        <v>10.4</v>
      </c>
      <c r="J57" s="367">
        <v>125</v>
      </c>
      <c r="K57" s="367"/>
      <c r="L57" s="367"/>
      <c r="M57" s="368" t="s">
        <v>236</v>
      </c>
      <c r="N57" s="357"/>
    </row>
    <row r="58" spans="1:14" ht="17">
      <c r="A58" s="1"/>
      <c r="B58" s="363">
        <v>36292</v>
      </c>
      <c r="C58" s="364" t="s">
        <v>229</v>
      </c>
      <c r="D58" s="365">
        <v>7.31</v>
      </c>
      <c r="E58" s="365">
        <v>1.76</v>
      </c>
      <c r="F58" s="366">
        <v>4</v>
      </c>
      <c r="G58" s="366">
        <v>1.6</v>
      </c>
      <c r="H58" s="366">
        <v>2.4</v>
      </c>
      <c r="I58" s="366">
        <v>10.5</v>
      </c>
      <c r="J58" s="367">
        <v>10</v>
      </c>
      <c r="K58" s="367"/>
      <c r="L58" s="367"/>
      <c r="M58" s="368"/>
      <c r="N58" s="357"/>
    </row>
    <row r="59" spans="1:14" ht="17">
      <c r="A59" s="1"/>
      <c r="B59" s="363">
        <v>36300</v>
      </c>
      <c r="C59" s="364" t="s">
        <v>229</v>
      </c>
      <c r="D59" s="365">
        <v>7.26</v>
      </c>
      <c r="E59" s="365">
        <v>1.25</v>
      </c>
      <c r="F59" s="366">
        <v>1.8</v>
      </c>
      <c r="G59" s="366">
        <v>1.6</v>
      </c>
      <c r="H59" s="366">
        <v>0.2</v>
      </c>
      <c r="I59" s="366"/>
      <c r="J59" s="367">
        <v>10</v>
      </c>
      <c r="K59" s="367"/>
      <c r="L59" s="367"/>
      <c r="M59" s="368"/>
      <c r="N59" s="357"/>
    </row>
    <row r="60" spans="1:14" ht="17">
      <c r="A60" s="1"/>
      <c r="B60" s="363">
        <v>36307</v>
      </c>
      <c r="C60" s="364" t="s">
        <v>229</v>
      </c>
      <c r="D60" s="365">
        <v>7.22</v>
      </c>
      <c r="E60" s="365">
        <v>3.52</v>
      </c>
      <c r="F60" s="366">
        <v>7</v>
      </c>
      <c r="G60" s="366">
        <v>3</v>
      </c>
      <c r="H60" s="366">
        <v>4</v>
      </c>
      <c r="I60" s="366">
        <v>8.6999999999999993</v>
      </c>
      <c r="J60" s="367">
        <v>20</v>
      </c>
      <c r="K60" s="367"/>
      <c r="L60" s="367"/>
      <c r="M60" s="368"/>
      <c r="N60" s="357"/>
    </row>
    <row r="61" spans="1:14" ht="17">
      <c r="A61" s="1"/>
      <c r="B61" s="363">
        <v>36314</v>
      </c>
      <c r="C61" s="364" t="s">
        <v>229</v>
      </c>
      <c r="D61" s="365">
        <v>7.35</v>
      </c>
      <c r="E61" s="365">
        <v>24.3</v>
      </c>
      <c r="F61" s="366">
        <v>70.599999999999994</v>
      </c>
      <c r="G61" s="366">
        <v>38</v>
      </c>
      <c r="H61" s="366">
        <v>32.6</v>
      </c>
      <c r="I61" s="366">
        <v>9.3000000000000007</v>
      </c>
      <c r="J61" s="367">
        <v>60</v>
      </c>
      <c r="K61" s="367"/>
      <c r="L61" s="367"/>
      <c r="M61" s="368"/>
      <c r="N61" s="357"/>
    </row>
    <row r="62" spans="1:14" ht="17">
      <c r="A62" s="1"/>
      <c r="B62" s="363">
        <v>36319</v>
      </c>
      <c r="C62" s="364" t="s">
        <v>229</v>
      </c>
      <c r="D62" s="365">
        <v>7.24</v>
      </c>
      <c r="E62" s="365">
        <v>19.899999999999999</v>
      </c>
      <c r="F62" s="366">
        <v>41</v>
      </c>
      <c r="G62" s="366">
        <v>18</v>
      </c>
      <c r="H62" s="366">
        <v>23</v>
      </c>
      <c r="I62" s="366">
        <v>9.1999999999999993</v>
      </c>
      <c r="J62" s="367">
        <v>60</v>
      </c>
      <c r="K62" s="367"/>
      <c r="L62" s="367"/>
      <c r="M62" s="368"/>
      <c r="N62" s="357"/>
    </row>
    <row r="63" spans="1:14" ht="17">
      <c r="A63" s="1"/>
      <c r="B63" s="363">
        <v>36326</v>
      </c>
      <c r="C63" s="364" t="s">
        <v>229</v>
      </c>
      <c r="D63" s="365">
        <v>7.19</v>
      </c>
      <c r="E63" s="365">
        <v>46.5</v>
      </c>
      <c r="F63" s="366">
        <v>170</v>
      </c>
      <c r="G63" s="366">
        <v>88</v>
      </c>
      <c r="H63" s="366">
        <v>82</v>
      </c>
      <c r="I63" s="366">
        <v>8.5</v>
      </c>
      <c r="J63" s="367">
        <v>175</v>
      </c>
      <c r="K63" s="367"/>
      <c r="L63" s="367"/>
      <c r="M63" s="368"/>
      <c r="N63" s="357"/>
    </row>
    <row r="64" spans="1:14" ht="17">
      <c r="A64" s="1"/>
      <c r="B64" s="363">
        <v>36333</v>
      </c>
      <c r="C64" s="364" t="s">
        <v>229</v>
      </c>
      <c r="D64" s="365">
        <v>7.46</v>
      </c>
      <c r="E64" s="365">
        <v>8.23</v>
      </c>
      <c r="F64" s="366">
        <v>19.600000000000001</v>
      </c>
      <c r="G64" s="366">
        <v>8.4</v>
      </c>
      <c r="H64" s="366">
        <v>11.2</v>
      </c>
      <c r="I64" s="366">
        <v>7.9</v>
      </c>
      <c r="J64" s="367">
        <v>35</v>
      </c>
      <c r="K64" s="367"/>
      <c r="L64" s="367"/>
      <c r="M64" s="368"/>
      <c r="N64" s="357"/>
    </row>
    <row r="65" spans="1:14" ht="17">
      <c r="A65" s="1"/>
      <c r="B65" s="363">
        <v>36340</v>
      </c>
      <c r="C65" s="364" t="s">
        <v>229</v>
      </c>
      <c r="D65" s="365">
        <v>6.7</v>
      </c>
      <c r="E65" s="365">
        <v>660</v>
      </c>
      <c r="F65" s="366">
        <v>1610</v>
      </c>
      <c r="G65" s="366">
        <v>520</v>
      </c>
      <c r="H65" s="366">
        <v>1090</v>
      </c>
      <c r="I65" s="366"/>
      <c r="J65" s="367">
        <v>1750</v>
      </c>
      <c r="K65" s="367"/>
      <c r="L65" s="367"/>
      <c r="M65" s="368"/>
      <c r="N65" s="357"/>
    </row>
    <row r="66" spans="1:14" ht="51">
      <c r="A66" s="1"/>
      <c r="B66" s="363">
        <v>36377</v>
      </c>
      <c r="C66" s="364" t="s">
        <v>223</v>
      </c>
      <c r="D66" s="365">
        <v>6.85</v>
      </c>
      <c r="E66" s="365">
        <v>2.99</v>
      </c>
      <c r="F66" s="366">
        <v>9.1</v>
      </c>
      <c r="G66" s="366">
        <v>7.4</v>
      </c>
      <c r="H66" s="366">
        <v>1.7</v>
      </c>
      <c r="I66" s="366">
        <v>6.8</v>
      </c>
      <c r="J66" s="367">
        <v>15</v>
      </c>
      <c r="K66" s="367"/>
      <c r="L66" s="367"/>
      <c r="M66" s="369" t="s">
        <v>237</v>
      </c>
      <c r="N66" s="357"/>
    </row>
    <row r="67" spans="1:14" ht="17">
      <c r="A67" s="1"/>
      <c r="B67" s="363">
        <v>36382</v>
      </c>
      <c r="C67" s="364" t="s">
        <v>223</v>
      </c>
      <c r="D67" s="365">
        <v>6.84</v>
      </c>
      <c r="E67" s="365">
        <v>5.1100000000000003</v>
      </c>
      <c r="F67" s="366">
        <v>14.4</v>
      </c>
      <c r="G67" s="366">
        <v>12.8</v>
      </c>
      <c r="H67" s="366">
        <v>1.6</v>
      </c>
      <c r="I67" s="366">
        <v>6.6</v>
      </c>
      <c r="J67" s="367">
        <v>15</v>
      </c>
      <c r="K67" s="367"/>
      <c r="L67" s="367"/>
      <c r="M67" s="368"/>
      <c r="N67" s="357"/>
    </row>
    <row r="68" spans="1:14" ht="17">
      <c r="A68" s="1"/>
      <c r="B68" s="363">
        <v>36391</v>
      </c>
      <c r="C68" s="364" t="s">
        <v>223</v>
      </c>
      <c r="D68" s="365">
        <v>7.12</v>
      </c>
      <c r="E68" s="365">
        <v>3.02</v>
      </c>
      <c r="F68" s="366">
        <v>9.6</v>
      </c>
      <c r="G68" s="366">
        <v>6.8</v>
      </c>
      <c r="H68" s="366">
        <v>2.8</v>
      </c>
      <c r="I68" s="366">
        <v>7.7</v>
      </c>
      <c r="J68" s="367">
        <v>15</v>
      </c>
      <c r="K68" s="367"/>
      <c r="L68" s="367"/>
      <c r="M68" s="368"/>
      <c r="N68" s="357"/>
    </row>
    <row r="69" spans="1:14" ht="17">
      <c r="A69" s="1"/>
      <c r="B69" s="363">
        <v>36396</v>
      </c>
      <c r="C69" s="364" t="s">
        <v>223</v>
      </c>
      <c r="D69" s="365">
        <v>6.71</v>
      </c>
      <c r="E69" s="365">
        <v>361</v>
      </c>
      <c r="F69" s="366">
        <v>137</v>
      </c>
      <c r="G69" s="366">
        <v>58</v>
      </c>
      <c r="H69" s="366">
        <v>79</v>
      </c>
      <c r="I69" s="366">
        <v>7.7</v>
      </c>
      <c r="J69" s="367">
        <v>1200</v>
      </c>
      <c r="K69" s="367"/>
      <c r="L69" s="367"/>
      <c r="M69" s="368"/>
      <c r="N69" s="357"/>
    </row>
    <row r="70" spans="1:14" ht="17">
      <c r="A70" s="1"/>
      <c r="B70" s="363">
        <v>36403</v>
      </c>
      <c r="C70" s="364" t="s">
        <v>223</v>
      </c>
      <c r="D70" s="365">
        <v>6.91</v>
      </c>
      <c r="E70" s="365">
        <v>163</v>
      </c>
      <c r="F70" s="366">
        <v>528</v>
      </c>
      <c r="G70" s="366">
        <v>228</v>
      </c>
      <c r="H70" s="366">
        <v>300</v>
      </c>
      <c r="I70" s="366">
        <v>7.8</v>
      </c>
      <c r="J70" s="367">
        <v>300</v>
      </c>
      <c r="K70" s="367"/>
      <c r="L70" s="367"/>
      <c r="M70" s="368"/>
      <c r="N70" s="357"/>
    </row>
    <row r="71" spans="1:14" ht="17">
      <c r="A71" s="1"/>
      <c r="B71" s="363">
        <v>36424</v>
      </c>
      <c r="C71" s="364" t="s">
        <v>223</v>
      </c>
      <c r="D71" s="365">
        <v>6.85</v>
      </c>
      <c r="E71" s="365">
        <v>38.5</v>
      </c>
      <c r="F71" s="366">
        <v>158</v>
      </c>
      <c r="G71" s="366">
        <v>74</v>
      </c>
      <c r="H71" s="366">
        <v>84</v>
      </c>
      <c r="I71" s="366">
        <v>9.9</v>
      </c>
      <c r="J71" s="367">
        <v>125</v>
      </c>
      <c r="K71" s="367"/>
      <c r="L71" s="367"/>
      <c r="M71" s="368"/>
      <c r="N71" s="357"/>
    </row>
    <row r="72" spans="1:14" ht="17">
      <c r="A72" s="1"/>
      <c r="B72" s="363">
        <v>36438</v>
      </c>
      <c r="C72" s="364" t="s">
        <v>231</v>
      </c>
      <c r="D72" s="365">
        <v>7.03</v>
      </c>
      <c r="E72" s="365">
        <v>2.37</v>
      </c>
      <c r="F72" s="366">
        <v>9.6</v>
      </c>
      <c r="G72" s="366">
        <v>6</v>
      </c>
      <c r="H72" s="366">
        <v>3.6</v>
      </c>
      <c r="I72" s="366">
        <v>11</v>
      </c>
      <c r="J72" s="367">
        <v>15</v>
      </c>
      <c r="K72" s="367"/>
      <c r="L72" s="367"/>
      <c r="M72" s="368" t="s">
        <v>238</v>
      </c>
      <c r="N72" s="357"/>
    </row>
    <row r="73" spans="1:14" ht="17">
      <c r="A73" s="1"/>
      <c r="B73" s="363">
        <v>36446</v>
      </c>
      <c r="C73" s="364" t="s">
        <v>231</v>
      </c>
      <c r="D73" s="365">
        <v>7.31</v>
      </c>
      <c r="E73" s="365">
        <v>2.67</v>
      </c>
      <c r="F73" s="366">
        <v>2.4</v>
      </c>
      <c r="G73" s="366">
        <v>2</v>
      </c>
      <c r="H73" s="366">
        <v>0.4</v>
      </c>
      <c r="I73" s="366">
        <v>10.5</v>
      </c>
      <c r="J73" s="367">
        <v>15</v>
      </c>
      <c r="K73" s="367"/>
      <c r="L73" s="367"/>
      <c r="M73" s="368"/>
      <c r="N73" s="357"/>
    </row>
    <row r="74" spans="1:14" ht="17">
      <c r="A74" s="1"/>
      <c r="B74" s="363">
        <v>36452</v>
      </c>
      <c r="C74" s="364" t="s">
        <v>231</v>
      </c>
      <c r="D74" s="365">
        <v>7.11</v>
      </c>
      <c r="E74" s="365">
        <v>3.32</v>
      </c>
      <c r="F74" s="366">
        <v>9.6</v>
      </c>
      <c r="G74" s="366">
        <v>6.8</v>
      </c>
      <c r="H74" s="366">
        <v>2.8</v>
      </c>
      <c r="I74" s="366">
        <v>11.5</v>
      </c>
      <c r="J74" s="367">
        <v>15</v>
      </c>
      <c r="K74" s="367"/>
      <c r="L74" s="367"/>
      <c r="M74" s="368"/>
      <c r="N74" s="357"/>
    </row>
    <row r="75" spans="1:14" ht="17">
      <c r="A75" s="1"/>
      <c r="B75" s="363">
        <v>36459</v>
      </c>
      <c r="C75" s="364" t="s">
        <v>231</v>
      </c>
      <c r="D75" s="365">
        <v>7.14</v>
      </c>
      <c r="E75" s="365">
        <v>2.77</v>
      </c>
      <c r="F75" s="366">
        <v>6.4</v>
      </c>
      <c r="G75" s="366">
        <v>3.2</v>
      </c>
      <c r="H75" s="366">
        <v>3.2</v>
      </c>
      <c r="I75" s="366">
        <v>10.7</v>
      </c>
      <c r="J75" s="367">
        <v>15</v>
      </c>
      <c r="K75" s="367"/>
      <c r="L75" s="367"/>
      <c r="M75" s="368"/>
      <c r="N75" s="357"/>
    </row>
    <row r="76" spans="1:14" ht="17">
      <c r="A76" s="1"/>
      <c r="B76" s="363">
        <v>36480</v>
      </c>
      <c r="C76" s="364" t="s">
        <v>231</v>
      </c>
      <c r="D76" s="365">
        <v>6.88</v>
      </c>
      <c r="E76" s="365">
        <v>404</v>
      </c>
      <c r="F76" s="366">
        <v>1750</v>
      </c>
      <c r="G76" s="366">
        <v>730</v>
      </c>
      <c r="H76" s="366">
        <v>1020</v>
      </c>
      <c r="I76" s="366">
        <v>12.8</v>
      </c>
      <c r="J76" s="367">
        <v>1000</v>
      </c>
      <c r="K76" s="367"/>
      <c r="L76" s="367"/>
      <c r="M76" s="368"/>
      <c r="N76" s="357"/>
    </row>
    <row r="77" spans="1:14" ht="17">
      <c r="A77" s="1"/>
      <c r="B77" s="363">
        <v>36487</v>
      </c>
      <c r="C77" s="364" t="s">
        <v>231</v>
      </c>
      <c r="D77" s="365">
        <v>7.04</v>
      </c>
      <c r="E77" s="365">
        <v>20.399999999999999</v>
      </c>
      <c r="F77" s="366">
        <v>100</v>
      </c>
      <c r="G77" s="366">
        <v>52</v>
      </c>
      <c r="H77" s="366">
        <v>48</v>
      </c>
      <c r="I77" s="366">
        <v>12.2</v>
      </c>
      <c r="J77" s="367">
        <v>60</v>
      </c>
      <c r="K77" s="367"/>
      <c r="L77" s="367"/>
      <c r="M77" s="368"/>
      <c r="N77" s="357"/>
    </row>
    <row r="78" spans="1:14" ht="17">
      <c r="A78" s="1"/>
      <c r="B78" s="363">
        <v>36495</v>
      </c>
      <c r="C78" s="364" t="s">
        <v>231</v>
      </c>
      <c r="D78" s="365">
        <v>7.13</v>
      </c>
      <c r="E78" s="365">
        <v>2.42</v>
      </c>
      <c r="F78" s="366">
        <v>14</v>
      </c>
      <c r="G78" s="366">
        <v>10</v>
      </c>
      <c r="H78" s="366">
        <v>4</v>
      </c>
      <c r="I78" s="366">
        <v>11.6</v>
      </c>
      <c r="J78" s="367">
        <v>10</v>
      </c>
      <c r="K78" s="367"/>
      <c r="L78" s="367"/>
      <c r="M78" s="368"/>
      <c r="N78" s="357"/>
    </row>
    <row r="79" spans="1:14" ht="17">
      <c r="A79" s="1"/>
      <c r="B79" s="363">
        <v>36881</v>
      </c>
      <c r="C79" s="364" t="s">
        <v>239</v>
      </c>
      <c r="D79" s="365">
        <v>7.02</v>
      </c>
      <c r="E79" s="365">
        <v>3.84</v>
      </c>
      <c r="F79" s="366">
        <v>11</v>
      </c>
      <c r="G79" s="366">
        <v>7</v>
      </c>
      <c r="H79" s="366">
        <v>4</v>
      </c>
      <c r="I79" s="366">
        <v>12.8</v>
      </c>
      <c r="J79" s="367">
        <v>25</v>
      </c>
      <c r="K79" s="367"/>
      <c r="L79" s="367"/>
      <c r="M79" s="368" t="s">
        <v>240</v>
      </c>
      <c r="N79" s="357"/>
    </row>
    <row r="80" spans="1:14" ht="17">
      <c r="A80" s="1"/>
      <c r="B80" s="363">
        <v>36529</v>
      </c>
      <c r="C80" s="364" t="s">
        <v>239</v>
      </c>
      <c r="D80" s="365">
        <v>7.07</v>
      </c>
      <c r="E80" s="365">
        <v>1.85</v>
      </c>
      <c r="F80" s="366">
        <v>8</v>
      </c>
      <c r="G80" s="366">
        <v>4.8</v>
      </c>
      <c r="H80" s="366">
        <v>3.2</v>
      </c>
      <c r="I80" s="366">
        <v>11.5</v>
      </c>
      <c r="J80" s="367">
        <v>15</v>
      </c>
      <c r="K80" s="367"/>
      <c r="L80" s="367"/>
      <c r="M80" s="368"/>
      <c r="N80" s="357"/>
    </row>
    <row r="81" spans="1:14" ht="17">
      <c r="A81" s="1"/>
      <c r="B81" s="363">
        <v>36536</v>
      </c>
      <c r="C81" s="364" t="s">
        <v>239</v>
      </c>
      <c r="D81" s="365">
        <v>7.16</v>
      </c>
      <c r="E81" s="365">
        <v>2.88</v>
      </c>
      <c r="F81" s="366">
        <v>6.6</v>
      </c>
      <c r="G81" s="366">
        <v>3.2</v>
      </c>
      <c r="H81" s="366">
        <v>3.4</v>
      </c>
      <c r="I81" s="366">
        <v>12</v>
      </c>
      <c r="J81" s="367">
        <v>15</v>
      </c>
      <c r="K81" s="367"/>
      <c r="L81" s="367"/>
      <c r="M81" s="368"/>
      <c r="N81" s="357"/>
    </row>
    <row r="82" spans="1:14" ht="17">
      <c r="A82" s="1"/>
      <c r="B82" s="363">
        <v>36543</v>
      </c>
      <c r="C82" s="364" t="s">
        <v>239</v>
      </c>
      <c r="D82" s="365">
        <v>7.19</v>
      </c>
      <c r="E82" s="365">
        <v>2.1800000000000002</v>
      </c>
      <c r="F82" s="366">
        <v>4</v>
      </c>
      <c r="G82" s="366">
        <v>2.4</v>
      </c>
      <c r="H82" s="366">
        <v>1.6</v>
      </c>
      <c r="I82" s="366">
        <v>11.1</v>
      </c>
      <c r="J82" s="367">
        <v>10</v>
      </c>
      <c r="K82" s="367"/>
      <c r="L82" s="367"/>
      <c r="M82" s="368"/>
      <c r="N82" s="357"/>
    </row>
    <row r="83" spans="1:14" ht="17">
      <c r="A83" s="1"/>
      <c r="B83" s="363">
        <v>36550</v>
      </c>
      <c r="C83" s="364" t="s">
        <v>239</v>
      </c>
      <c r="D83" s="365">
        <v>7.12</v>
      </c>
      <c r="E83" s="365">
        <v>3.03</v>
      </c>
      <c r="F83" s="366">
        <v>5.4</v>
      </c>
      <c r="G83" s="366">
        <v>3.2</v>
      </c>
      <c r="H83" s="366">
        <v>2.2000000000000002</v>
      </c>
      <c r="I83" s="366">
        <v>12</v>
      </c>
      <c r="J83" s="367">
        <v>25</v>
      </c>
      <c r="K83" s="367"/>
      <c r="L83" s="367"/>
      <c r="M83" s="368"/>
      <c r="N83" s="357"/>
    </row>
    <row r="84" spans="1:14" ht="17">
      <c r="A84" s="1"/>
      <c r="B84" s="363">
        <v>36558</v>
      </c>
      <c r="C84" s="364" t="s">
        <v>239</v>
      </c>
      <c r="D84" s="365">
        <v>6.93</v>
      </c>
      <c r="E84" s="365">
        <v>2.54</v>
      </c>
      <c r="F84" s="366">
        <v>5.2</v>
      </c>
      <c r="G84" s="366">
        <v>3.2</v>
      </c>
      <c r="H84" s="366">
        <v>2</v>
      </c>
      <c r="I84" s="366">
        <v>11</v>
      </c>
      <c r="J84" s="367">
        <v>15</v>
      </c>
      <c r="K84" s="367"/>
      <c r="L84" s="367"/>
      <c r="M84" s="368"/>
      <c r="N84" s="357"/>
    </row>
    <row r="85" spans="1:14" ht="17">
      <c r="A85" s="1"/>
      <c r="B85" s="363">
        <v>36564</v>
      </c>
      <c r="C85" s="364" t="s">
        <v>239</v>
      </c>
      <c r="D85" s="365">
        <v>6.95</v>
      </c>
      <c r="E85" s="365">
        <v>2.74</v>
      </c>
      <c r="F85" s="366">
        <v>6.8</v>
      </c>
      <c r="G85" s="366">
        <v>4.4000000000000004</v>
      </c>
      <c r="H85" s="366">
        <v>2.4</v>
      </c>
      <c r="I85" s="366">
        <v>11.6</v>
      </c>
      <c r="J85" s="367">
        <v>20</v>
      </c>
      <c r="K85" s="367"/>
      <c r="L85" s="367"/>
      <c r="M85" s="368"/>
      <c r="N85" s="357"/>
    </row>
    <row r="86" spans="1:14" ht="17">
      <c r="A86" s="1"/>
      <c r="B86" s="363">
        <v>36571</v>
      </c>
      <c r="C86" s="364" t="s">
        <v>239</v>
      </c>
      <c r="D86" s="365">
        <v>7.1</v>
      </c>
      <c r="E86" s="365">
        <v>2.76</v>
      </c>
      <c r="F86" s="366">
        <v>6</v>
      </c>
      <c r="G86" s="366">
        <v>3.2</v>
      </c>
      <c r="H86" s="366">
        <v>2.8</v>
      </c>
      <c r="I86" s="366">
        <v>11.3</v>
      </c>
      <c r="J86" s="367">
        <v>15</v>
      </c>
      <c r="K86" s="367"/>
      <c r="L86" s="367"/>
      <c r="M86" s="368"/>
      <c r="N86" s="357"/>
    </row>
    <row r="87" spans="1:14" ht="17">
      <c r="A87" s="1"/>
      <c r="B87" s="363">
        <v>36579</v>
      </c>
      <c r="C87" s="364" t="s">
        <v>239</v>
      </c>
      <c r="D87" s="365">
        <v>6.84</v>
      </c>
      <c r="E87" s="365">
        <v>3.52</v>
      </c>
      <c r="F87" s="366">
        <v>5.2</v>
      </c>
      <c r="G87" s="366">
        <v>3.8</v>
      </c>
      <c r="H87" s="366">
        <v>1.4</v>
      </c>
      <c r="I87" s="366">
        <v>9.1999999999999993</v>
      </c>
      <c r="J87" s="367">
        <v>25</v>
      </c>
      <c r="K87" s="367"/>
      <c r="L87" s="367"/>
      <c r="M87" s="368"/>
      <c r="N87" s="357"/>
    </row>
    <row r="88" spans="1:14" ht="17">
      <c r="A88" s="1"/>
      <c r="B88" s="363">
        <v>36599</v>
      </c>
      <c r="C88" s="364" t="s">
        <v>239</v>
      </c>
      <c r="D88" s="365">
        <v>6.97</v>
      </c>
      <c r="E88" s="365">
        <v>4.3499999999999996</v>
      </c>
      <c r="F88" s="366">
        <v>5.8</v>
      </c>
      <c r="G88" s="366">
        <v>4.5999999999999996</v>
      </c>
      <c r="H88" s="366">
        <v>1.2</v>
      </c>
      <c r="I88" s="366">
        <v>10.1</v>
      </c>
      <c r="J88" s="367">
        <v>30</v>
      </c>
      <c r="K88" s="367"/>
      <c r="L88" s="367"/>
      <c r="M88" s="368"/>
      <c r="N88" s="357"/>
    </row>
    <row r="89" spans="1:14" ht="34">
      <c r="A89" s="1"/>
      <c r="B89" s="363">
        <v>36606</v>
      </c>
      <c r="C89" s="364" t="s">
        <v>239</v>
      </c>
      <c r="D89" s="365">
        <v>6.93</v>
      </c>
      <c r="E89" s="365">
        <v>385</v>
      </c>
      <c r="F89" s="366">
        <v>1690</v>
      </c>
      <c r="G89" s="366">
        <v>750</v>
      </c>
      <c r="H89" s="366">
        <v>940</v>
      </c>
      <c r="I89" s="366">
        <v>12.3</v>
      </c>
      <c r="J89" s="367">
        <v>1400</v>
      </c>
      <c r="K89" s="367"/>
      <c r="L89" s="367"/>
      <c r="M89" s="368" t="s">
        <v>241</v>
      </c>
      <c r="N89" s="357"/>
    </row>
    <row r="90" spans="1:14" ht="17">
      <c r="A90" s="1"/>
      <c r="B90" s="363">
        <v>36613</v>
      </c>
      <c r="C90" s="364" t="s">
        <v>223</v>
      </c>
      <c r="D90" s="365">
        <v>7.16</v>
      </c>
      <c r="E90" s="365">
        <v>49.2</v>
      </c>
      <c r="F90" s="366">
        <v>208</v>
      </c>
      <c r="G90" s="366">
        <v>88</v>
      </c>
      <c r="H90" s="366">
        <v>120</v>
      </c>
      <c r="I90" s="366">
        <v>10.7</v>
      </c>
      <c r="J90" s="367">
        <v>200</v>
      </c>
      <c r="K90" s="367"/>
      <c r="L90" s="367"/>
      <c r="M90" s="368"/>
      <c r="N90" s="357"/>
    </row>
    <row r="91" spans="1:14" ht="17">
      <c r="A91" s="1"/>
      <c r="B91" s="363">
        <v>36620</v>
      </c>
      <c r="C91" s="364" t="s">
        <v>223</v>
      </c>
      <c r="D91" s="365">
        <v>7.4</v>
      </c>
      <c r="E91" s="365">
        <v>4.3899999999999997</v>
      </c>
      <c r="F91" s="366">
        <v>11.6</v>
      </c>
      <c r="G91" s="366">
        <v>3.6</v>
      </c>
      <c r="H91" s="366">
        <v>8</v>
      </c>
      <c r="I91" s="366">
        <v>11.3</v>
      </c>
      <c r="J91" s="367">
        <v>20</v>
      </c>
      <c r="K91" s="367"/>
      <c r="L91" s="367"/>
      <c r="M91" s="368"/>
      <c r="N91" s="357"/>
    </row>
    <row r="92" spans="1:14" ht="17">
      <c r="A92" s="1"/>
      <c r="B92" s="363">
        <v>36627</v>
      </c>
      <c r="C92" s="364" t="s">
        <v>223</v>
      </c>
      <c r="D92" s="365">
        <v>6.83</v>
      </c>
      <c r="E92" s="365">
        <v>6.57</v>
      </c>
      <c r="F92" s="366">
        <v>4.8</v>
      </c>
      <c r="G92" s="366">
        <v>3.6</v>
      </c>
      <c r="H92" s="366">
        <v>1.2</v>
      </c>
      <c r="I92" s="366">
        <v>12.2</v>
      </c>
      <c r="J92" s="367">
        <v>35</v>
      </c>
      <c r="K92" s="367"/>
      <c r="L92" s="367"/>
      <c r="M92" s="368"/>
      <c r="N92" s="357"/>
    </row>
    <row r="93" spans="1:14" ht="17">
      <c r="A93" s="1"/>
      <c r="B93" s="363">
        <v>36634</v>
      </c>
      <c r="C93" s="364" t="s">
        <v>223</v>
      </c>
      <c r="D93" s="365">
        <v>6.82</v>
      </c>
      <c r="E93" s="365">
        <v>638</v>
      </c>
      <c r="F93" s="366">
        <v>2400</v>
      </c>
      <c r="G93" s="366">
        <v>990</v>
      </c>
      <c r="H93" s="366">
        <v>1410</v>
      </c>
      <c r="I93" s="366">
        <v>10.6</v>
      </c>
      <c r="J93" s="367">
        <v>1500</v>
      </c>
      <c r="K93" s="367"/>
      <c r="L93" s="367"/>
      <c r="M93" s="368"/>
      <c r="N93" s="357"/>
    </row>
    <row r="94" spans="1:14" ht="34">
      <c r="A94" s="1"/>
      <c r="B94" s="363">
        <v>36648</v>
      </c>
      <c r="C94" s="364" t="s">
        <v>239</v>
      </c>
      <c r="D94" s="365">
        <v>6.86</v>
      </c>
      <c r="E94" s="365">
        <v>671</v>
      </c>
      <c r="F94" s="366">
        <v>2460</v>
      </c>
      <c r="G94" s="366">
        <v>920</v>
      </c>
      <c r="H94" s="366">
        <v>1540</v>
      </c>
      <c r="I94" s="366">
        <v>8.8000000000000007</v>
      </c>
      <c r="J94" s="367">
        <v>1250</v>
      </c>
      <c r="K94" s="367"/>
      <c r="L94" s="367"/>
      <c r="M94" s="368" t="s">
        <v>242</v>
      </c>
      <c r="N94" s="357"/>
    </row>
    <row r="95" spans="1:14" ht="17">
      <c r="A95" s="1"/>
      <c r="B95" s="363">
        <v>36654</v>
      </c>
      <c r="C95" s="364" t="s">
        <v>223</v>
      </c>
      <c r="D95" s="365">
        <v>7.33</v>
      </c>
      <c r="E95" s="365">
        <v>7.94</v>
      </c>
      <c r="F95" s="366">
        <v>9.5</v>
      </c>
      <c r="G95" s="366">
        <v>6</v>
      </c>
      <c r="H95" s="366">
        <v>3.5</v>
      </c>
      <c r="I95" s="366">
        <v>9.1999999999999993</v>
      </c>
      <c r="J95" s="367">
        <v>35</v>
      </c>
      <c r="K95" s="367"/>
      <c r="L95" s="367"/>
      <c r="M95" s="368"/>
      <c r="N95" s="357"/>
    </row>
    <row r="96" spans="1:14" ht="17">
      <c r="A96" s="1"/>
      <c r="B96" s="363">
        <v>36662</v>
      </c>
      <c r="C96" s="364" t="s">
        <v>239</v>
      </c>
      <c r="D96" s="365">
        <v>7.52</v>
      </c>
      <c r="E96" s="365">
        <v>3.43</v>
      </c>
      <c r="F96" s="366">
        <v>5.4</v>
      </c>
      <c r="G96" s="366">
        <v>3.8</v>
      </c>
      <c r="H96" s="366">
        <v>1.6</v>
      </c>
      <c r="I96" s="366">
        <v>9.6999999999999993</v>
      </c>
      <c r="J96" s="367">
        <v>20</v>
      </c>
      <c r="K96" s="367"/>
      <c r="L96" s="367"/>
      <c r="M96" s="368"/>
      <c r="N96" s="357"/>
    </row>
    <row r="97" spans="1:14" ht="17">
      <c r="A97" s="1"/>
      <c r="B97" s="363">
        <v>36677</v>
      </c>
      <c r="C97" s="364" t="s">
        <v>239</v>
      </c>
      <c r="D97" s="365">
        <v>7.54</v>
      </c>
      <c r="E97" s="365">
        <v>4.3600000000000003</v>
      </c>
      <c r="F97" s="366">
        <v>0.93</v>
      </c>
      <c r="G97" s="366">
        <v>0.72</v>
      </c>
      <c r="H97" s="366">
        <v>0.21</v>
      </c>
      <c r="I97" s="366">
        <v>8.6999999999999993</v>
      </c>
      <c r="J97" s="367">
        <v>25</v>
      </c>
      <c r="K97" s="367"/>
      <c r="L97" s="367"/>
      <c r="M97" s="368"/>
      <c r="N97" s="357"/>
    </row>
    <row r="98" spans="1:14" ht="17">
      <c r="A98" s="1"/>
      <c r="B98" s="363">
        <v>36684</v>
      </c>
      <c r="C98" s="364" t="s">
        <v>239</v>
      </c>
      <c r="D98" s="365">
        <v>7.4359999999999999</v>
      </c>
      <c r="E98" s="365">
        <v>2.83</v>
      </c>
      <c r="F98" s="366">
        <v>14</v>
      </c>
      <c r="G98" s="366">
        <v>10</v>
      </c>
      <c r="H98" s="366">
        <v>4</v>
      </c>
      <c r="I98" s="366">
        <v>6.5</v>
      </c>
      <c r="J98" s="367">
        <v>10</v>
      </c>
      <c r="K98" s="367"/>
      <c r="L98" s="367"/>
      <c r="M98" s="368"/>
      <c r="N98" s="357"/>
    </row>
    <row r="99" spans="1:14" ht="17">
      <c r="A99" s="1"/>
      <c r="B99" s="363">
        <v>36690</v>
      </c>
      <c r="C99" s="364" t="s">
        <v>239</v>
      </c>
      <c r="D99" s="365">
        <v>7.42</v>
      </c>
      <c r="E99" s="365">
        <v>2.86</v>
      </c>
      <c r="F99" s="366">
        <v>6.8</v>
      </c>
      <c r="G99" s="366">
        <v>3.6</v>
      </c>
      <c r="H99" s="366">
        <v>3.2</v>
      </c>
      <c r="I99" s="366">
        <v>8.1</v>
      </c>
      <c r="J99" s="367">
        <v>10</v>
      </c>
      <c r="K99" s="367"/>
      <c r="L99" s="367"/>
      <c r="M99" s="368"/>
      <c r="N99" s="357"/>
    </row>
    <row r="100" spans="1:14" ht="17">
      <c r="A100" s="1"/>
      <c r="B100" s="363">
        <v>36697</v>
      </c>
      <c r="C100" s="364" t="s">
        <v>239</v>
      </c>
      <c r="D100" s="365">
        <v>7.68</v>
      </c>
      <c r="E100" s="365">
        <v>63</v>
      </c>
      <c r="F100" s="366">
        <v>208</v>
      </c>
      <c r="G100" s="366">
        <v>84</v>
      </c>
      <c r="H100" s="366">
        <v>124</v>
      </c>
      <c r="I100" s="366">
        <v>9</v>
      </c>
      <c r="J100" s="367">
        <v>160</v>
      </c>
      <c r="K100" s="367"/>
      <c r="L100" s="367"/>
      <c r="M100" s="368"/>
      <c r="N100" s="357"/>
    </row>
    <row r="101" spans="1:14" ht="17">
      <c r="A101" s="1"/>
      <c r="B101" s="363">
        <v>36704</v>
      </c>
      <c r="C101" s="364" t="s">
        <v>231</v>
      </c>
      <c r="D101" s="365">
        <v>7.74</v>
      </c>
      <c r="E101" s="365">
        <v>3.18</v>
      </c>
      <c r="F101" s="366">
        <v>7.6</v>
      </c>
      <c r="G101" s="366">
        <v>5.2</v>
      </c>
      <c r="H101" s="366">
        <v>2.4</v>
      </c>
      <c r="I101" s="366">
        <v>8.9</v>
      </c>
      <c r="J101" s="367">
        <v>15</v>
      </c>
      <c r="K101" s="367"/>
      <c r="L101" s="367"/>
      <c r="M101" s="368"/>
      <c r="N101" s="357"/>
    </row>
    <row r="102" spans="1:14" ht="17">
      <c r="A102" s="1"/>
      <c r="B102" s="363">
        <v>36712</v>
      </c>
      <c r="C102" s="364" t="s">
        <v>231</v>
      </c>
      <c r="D102" s="365">
        <v>7.65</v>
      </c>
      <c r="E102" s="365">
        <v>1.69</v>
      </c>
      <c r="F102" s="366">
        <v>4.67</v>
      </c>
      <c r="G102" s="366">
        <v>3.33</v>
      </c>
      <c r="H102" s="366">
        <v>1.33</v>
      </c>
      <c r="I102" s="366">
        <v>8.1999999999999993</v>
      </c>
      <c r="J102" s="367">
        <v>10</v>
      </c>
      <c r="K102" s="367"/>
      <c r="L102" s="367"/>
      <c r="M102" s="368"/>
      <c r="N102" s="357"/>
    </row>
    <row r="103" spans="1:14" ht="17">
      <c r="A103" s="1"/>
      <c r="B103" s="363">
        <v>36718</v>
      </c>
      <c r="C103" s="364" t="s">
        <v>231</v>
      </c>
      <c r="D103" s="365">
        <v>7.43</v>
      </c>
      <c r="E103" s="365">
        <v>1.1299999999999999</v>
      </c>
      <c r="F103" s="366">
        <v>3.6</v>
      </c>
      <c r="G103" s="366">
        <v>2.2000000000000002</v>
      </c>
      <c r="H103" s="366">
        <v>1.4</v>
      </c>
      <c r="I103" s="366">
        <v>7.4</v>
      </c>
      <c r="J103" s="367">
        <v>10</v>
      </c>
      <c r="K103" s="367"/>
      <c r="L103" s="367"/>
      <c r="M103" s="368"/>
      <c r="N103" s="357"/>
    </row>
    <row r="104" spans="1:14" ht="17">
      <c r="A104" s="1"/>
      <c r="B104" s="363">
        <v>36725</v>
      </c>
      <c r="C104" s="364" t="s">
        <v>231</v>
      </c>
      <c r="D104" s="365">
        <v>7.58</v>
      </c>
      <c r="E104" s="365">
        <v>1.38</v>
      </c>
      <c r="F104" s="366">
        <v>4.2</v>
      </c>
      <c r="G104" s="366">
        <v>3</v>
      </c>
      <c r="H104" s="366">
        <v>1.2</v>
      </c>
      <c r="I104" s="366">
        <v>8</v>
      </c>
      <c r="J104" s="367">
        <v>10</v>
      </c>
      <c r="K104" s="367"/>
      <c r="L104" s="367"/>
      <c r="M104" s="368"/>
      <c r="N104" s="357"/>
    </row>
    <row r="105" spans="1:14" ht="17">
      <c r="A105" s="1"/>
      <c r="B105" s="363">
        <v>36732</v>
      </c>
      <c r="C105" s="364" t="s">
        <v>231</v>
      </c>
      <c r="D105" s="365">
        <v>7.38</v>
      </c>
      <c r="E105" s="365">
        <v>1.74</v>
      </c>
      <c r="F105" s="366">
        <v>6.6</v>
      </c>
      <c r="G105" s="366">
        <v>5.4</v>
      </c>
      <c r="H105" s="366">
        <v>1.2</v>
      </c>
      <c r="I105" s="366">
        <v>7.2</v>
      </c>
      <c r="J105" s="367">
        <v>10</v>
      </c>
      <c r="K105" s="367"/>
      <c r="L105" s="367"/>
      <c r="M105" s="368"/>
      <c r="N105" s="357"/>
    </row>
    <row r="106" spans="1:14" ht="17">
      <c r="A106" s="1"/>
      <c r="B106" s="363">
        <v>36738</v>
      </c>
      <c r="C106" s="364" t="s">
        <v>231</v>
      </c>
      <c r="D106" s="365">
        <v>7.43</v>
      </c>
      <c r="E106" s="365">
        <v>3.83</v>
      </c>
      <c r="F106" s="366">
        <v>10.7</v>
      </c>
      <c r="G106" s="366">
        <v>7.3</v>
      </c>
      <c r="H106" s="366">
        <v>3.3</v>
      </c>
      <c r="I106" s="366">
        <v>7.2</v>
      </c>
      <c r="J106" s="367">
        <v>20</v>
      </c>
      <c r="K106" s="367"/>
      <c r="L106" s="367"/>
      <c r="M106" s="368"/>
      <c r="N106" s="357"/>
    </row>
    <row r="107" spans="1:14" ht="17">
      <c r="A107" s="1"/>
      <c r="B107" s="363">
        <v>36747</v>
      </c>
      <c r="C107" s="364" t="s">
        <v>231</v>
      </c>
      <c r="D107" s="365">
        <v>7.44</v>
      </c>
      <c r="E107" s="365">
        <v>3.83</v>
      </c>
      <c r="F107" s="366">
        <v>12.8</v>
      </c>
      <c r="G107" s="366">
        <v>9.1999999999999993</v>
      </c>
      <c r="H107" s="366">
        <v>3.6</v>
      </c>
      <c r="I107" s="366">
        <v>8.1</v>
      </c>
      <c r="J107" s="367">
        <v>10</v>
      </c>
      <c r="K107" s="367"/>
      <c r="L107" s="367"/>
      <c r="M107" s="368"/>
      <c r="N107" s="357"/>
    </row>
    <row r="108" spans="1:14" ht="29" customHeight="1">
      <c r="A108" s="1"/>
      <c r="B108" s="363">
        <v>36753</v>
      </c>
      <c r="C108" s="364" t="s">
        <v>243</v>
      </c>
      <c r="D108" s="365">
        <v>7.07</v>
      </c>
      <c r="E108" s="365">
        <v>583</v>
      </c>
      <c r="F108" s="366">
        <v>184</v>
      </c>
      <c r="G108" s="366">
        <v>75</v>
      </c>
      <c r="H108" s="366">
        <v>109</v>
      </c>
      <c r="I108" s="366">
        <v>7</v>
      </c>
      <c r="J108" s="367">
        <v>1500</v>
      </c>
      <c r="K108" s="367"/>
      <c r="L108" s="367"/>
      <c r="M108" s="368" t="s">
        <v>244</v>
      </c>
      <c r="N108" s="357"/>
    </row>
    <row r="109" spans="1:14" ht="17">
      <c r="A109" s="1"/>
      <c r="B109" s="363">
        <v>36769</v>
      </c>
      <c r="C109" s="364" t="s">
        <v>226</v>
      </c>
      <c r="D109" s="365">
        <v>7.52</v>
      </c>
      <c r="E109" s="365">
        <v>2.82</v>
      </c>
      <c r="F109" s="366">
        <v>6.4</v>
      </c>
      <c r="G109" s="366">
        <v>5.2</v>
      </c>
      <c r="H109" s="366">
        <v>1.2</v>
      </c>
      <c r="I109" s="366">
        <v>8.5</v>
      </c>
      <c r="J109" s="367">
        <v>20</v>
      </c>
      <c r="K109" s="367"/>
      <c r="L109" s="367"/>
      <c r="M109" s="368"/>
      <c r="N109" s="357"/>
    </row>
    <row r="110" spans="1:14" ht="17">
      <c r="A110" s="1"/>
      <c r="B110" s="363">
        <v>36775</v>
      </c>
      <c r="C110" s="364" t="s">
        <v>245</v>
      </c>
      <c r="D110" s="365">
        <v>7.28</v>
      </c>
      <c r="E110" s="365">
        <v>2.99</v>
      </c>
      <c r="F110" s="366">
        <v>5</v>
      </c>
      <c r="G110" s="366">
        <v>3.6</v>
      </c>
      <c r="H110" s="366">
        <v>1.4</v>
      </c>
      <c r="I110" s="366">
        <v>9</v>
      </c>
      <c r="J110" s="367">
        <v>15</v>
      </c>
      <c r="K110" s="367"/>
      <c r="L110" s="367"/>
      <c r="M110" s="368"/>
      <c r="N110" s="357"/>
    </row>
    <row r="111" spans="1:14" ht="17">
      <c r="A111" s="1"/>
      <c r="B111" s="363">
        <v>36784</v>
      </c>
      <c r="C111" s="364" t="s">
        <v>245</v>
      </c>
      <c r="D111" s="365">
        <v>7.47</v>
      </c>
      <c r="E111" s="365">
        <v>4.5</v>
      </c>
      <c r="F111" s="366">
        <v>8.4</v>
      </c>
      <c r="G111" s="366">
        <v>5.6</v>
      </c>
      <c r="H111" s="366">
        <v>2.8</v>
      </c>
      <c r="I111" s="366">
        <v>9.4</v>
      </c>
      <c r="J111" s="367">
        <v>35</v>
      </c>
      <c r="K111" s="367"/>
      <c r="L111" s="367"/>
      <c r="M111" s="368"/>
      <c r="N111" s="357"/>
    </row>
    <row r="112" spans="1:14" ht="17">
      <c r="A112" s="1"/>
      <c r="B112" s="363">
        <v>36788</v>
      </c>
      <c r="C112" s="364" t="s">
        <v>245</v>
      </c>
      <c r="D112" s="365">
        <v>7.42</v>
      </c>
      <c r="E112" s="365">
        <v>5.32</v>
      </c>
      <c r="F112" s="366">
        <v>9.8000000000000007</v>
      </c>
      <c r="G112" s="366">
        <v>6</v>
      </c>
      <c r="H112" s="366">
        <v>3.8</v>
      </c>
      <c r="I112" s="366">
        <v>8.9</v>
      </c>
      <c r="J112" s="367">
        <v>30</v>
      </c>
      <c r="K112" s="367"/>
      <c r="L112" s="367"/>
      <c r="M112" s="368"/>
      <c r="N112" s="357"/>
    </row>
    <row r="113" spans="1:14" ht="17">
      <c r="A113" s="1"/>
      <c r="B113" s="363">
        <v>36812</v>
      </c>
      <c r="C113" s="364" t="s">
        <v>245</v>
      </c>
      <c r="D113" s="365">
        <v>7.21</v>
      </c>
      <c r="E113" s="365">
        <v>12.5</v>
      </c>
      <c r="F113" s="366">
        <v>70</v>
      </c>
      <c r="G113" s="366">
        <v>20</v>
      </c>
      <c r="H113" s="366">
        <v>20</v>
      </c>
      <c r="I113" s="366">
        <v>10</v>
      </c>
      <c r="J113" s="367">
        <v>60</v>
      </c>
      <c r="K113" s="367"/>
      <c r="L113" s="367"/>
      <c r="M113" s="368"/>
      <c r="N113" s="357"/>
    </row>
    <row r="114" spans="1:14" ht="17">
      <c r="A114" s="1"/>
      <c r="B114" s="363">
        <v>36816</v>
      </c>
      <c r="C114" s="364" t="s">
        <v>245</v>
      </c>
      <c r="D114" s="365">
        <v>7.22</v>
      </c>
      <c r="E114" s="365">
        <v>64.5</v>
      </c>
      <c r="F114" s="366">
        <v>204</v>
      </c>
      <c r="G114" s="366">
        <v>100</v>
      </c>
      <c r="H114" s="366">
        <v>104</v>
      </c>
      <c r="I114" s="366">
        <v>11</v>
      </c>
      <c r="J114" s="367">
        <v>250</v>
      </c>
      <c r="K114" s="367"/>
      <c r="L114" s="367"/>
      <c r="M114" s="368" t="s">
        <v>246</v>
      </c>
      <c r="N114" s="357"/>
    </row>
    <row r="115" spans="1:14" ht="17">
      <c r="A115" s="1"/>
      <c r="B115" s="363">
        <v>36823</v>
      </c>
      <c r="C115" s="364" t="s">
        <v>247</v>
      </c>
      <c r="D115" s="365">
        <v>7.5</v>
      </c>
      <c r="E115" s="365">
        <v>3.84</v>
      </c>
      <c r="F115" s="366">
        <v>8.1999999999999993</v>
      </c>
      <c r="G115" s="366">
        <v>4.8</v>
      </c>
      <c r="H115" s="366">
        <v>3.4</v>
      </c>
      <c r="I115" s="366">
        <v>11</v>
      </c>
      <c r="J115" s="367">
        <v>25</v>
      </c>
      <c r="K115" s="367"/>
      <c r="L115" s="367"/>
      <c r="M115" s="368"/>
      <c r="N115" s="357"/>
    </row>
    <row r="116" spans="1:14" ht="34">
      <c r="A116" s="1"/>
      <c r="B116" s="363">
        <v>36833</v>
      </c>
      <c r="C116" s="364" t="s">
        <v>247</v>
      </c>
      <c r="D116" s="365">
        <v>7.54</v>
      </c>
      <c r="E116" s="365">
        <v>4.3600000000000003</v>
      </c>
      <c r="F116" s="366">
        <v>10.3</v>
      </c>
      <c r="G116" s="366">
        <v>6.3</v>
      </c>
      <c r="H116" s="366">
        <v>4</v>
      </c>
      <c r="I116" s="366"/>
      <c r="J116" s="367">
        <v>50</v>
      </c>
      <c r="K116" s="367"/>
      <c r="L116" s="367"/>
      <c r="M116" s="368" t="s">
        <v>248</v>
      </c>
      <c r="N116" s="357"/>
    </row>
    <row r="117" spans="1:14" ht="17">
      <c r="A117" s="1"/>
      <c r="B117" s="363">
        <v>36844</v>
      </c>
      <c r="C117" s="364" t="s">
        <v>249</v>
      </c>
      <c r="D117" s="365">
        <v>7.45</v>
      </c>
      <c r="E117" s="365">
        <v>7.06</v>
      </c>
      <c r="F117" s="366">
        <v>12</v>
      </c>
      <c r="G117" s="366">
        <v>6.3</v>
      </c>
      <c r="H117" s="366">
        <v>5.7</v>
      </c>
      <c r="I117" s="366">
        <v>11.9</v>
      </c>
      <c r="J117" s="367">
        <v>20</v>
      </c>
      <c r="K117" s="367"/>
      <c r="L117" s="367"/>
      <c r="M117" s="368"/>
      <c r="N117" s="357"/>
    </row>
    <row r="118" spans="1:14" ht="17">
      <c r="A118" s="1"/>
      <c r="B118" s="363">
        <v>36851</v>
      </c>
      <c r="C118" s="364" t="s">
        <v>249</v>
      </c>
      <c r="D118" s="365">
        <v>7.53</v>
      </c>
      <c r="E118" s="365">
        <v>4.9400000000000004</v>
      </c>
      <c r="F118" s="366">
        <v>9.6999999999999993</v>
      </c>
      <c r="G118" s="366">
        <v>6</v>
      </c>
      <c r="H118" s="366">
        <v>3.7</v>
      </c>
      <c r="I118" s="366">
        <v>11.8</v>
      </c>
      <c r="J118" s="367">
        <v>30</v>
      </c>
      <c r="K118" s="367"/>
      <c r="L118" s="367"/>
      <c r="M118" s="368"/>
      <c r="N118" s="357"/>
    </row>
    <row r="119" spans="1:14" ht="17">
      <c r="A119" s="1"/>
      <c r="B119" s="363">
        <v>36860</v>
      </c>
      <c r="C119" s="364" t="s">
        <v>249</v>
      </c>
      <c r="D119" s="365">
        <v>7.23</v>
      </c>
      <c r="E119" s="365">
        <v>5.12</v>
      </c>
      <c r="F119" s="366">
        <v>11.2</v>
      </c>
      <c r="G119" s="366">
        <v>6.8</v>
      </c>
      <c r="H119" s="366">
        <v>4.4000000000000004</v>
      </c>
      <c r="I119" s="366">
        <v>11</v>
      </c>
      <c r="J119" s="367">
        <v>30</v>
      </c>
      <c r="K119" s="367"/>
      <c r="L119" s="367"/>
      <c r="M119" s="368"/>
      <c r="N119" s="357"/>
    </row>
    <row r="120" spans="1:14" ht="17">
      <c r="A120" s="1"/>
      <c r="B120" s="363">
        <v>36865</v>
      </c>
      <c r="C120" s="364" t="s">
        <v>249</v>
      </c>
      <c r="D120" s="365">
        <v>7.16</v>
      </c>
      <c r="E120" s="365">
        <v>4.04</v>
      </c>
      <c r="F120" s="366">
        <v>5.6</v>
      </c>
      <c r="G120" s="366">
        <v>3.2</v>
      </c>
      <c r="H120" s="366">
        <v>2.4</v>
      </c>
      <c r="I120" s="366">
        <v>12.6</v>
      </c>
      <c r="J120" s="367">
        <v>25</v>
      </c>
      <c r="K120" s="367"/>
      <c r="L120" s="367"/>
      <c r="M120" s="368"/>
      <c r="N120" s="357"/>
    </row>
    <row r="121" spans="1:14" ht="17">
      <c r="A121" s="1"/>
      <c r="B121" s="363">
        <v>36873</v>
      </c>
      <c r="C121" s="364" t="s">
        <v>249</v>
      </c>
      <c r="D121" s="365">
        <v>7.26</v>
      </c>
      <c r="E121" s="365">
        <v>4.0999999999999996</v>
      </c>
      <c r="F121" s="366">
        <v>7.6</v>
      </c>
      <c r="G121" s="366">
        <v>4.8</v>
      </c>
      <c r="H121" s="366">
        <v>2.8</v>
      </c>
      <c r="I121" s="366">
        <v>11.6</v>
      </c>
      <c r="J121" s="367">
        <v>25</v>
      </c>
      <c r="K121" s="367"/>
      <c r="L121" s="367"/>
      <c r="M121" s="368"/>
      <c r="N121" s="357"/>
    </row>
    <row r="122" spans="1:14" ht="17">
      <c r="A122" s="1"/>
      <c r="B122" s="363">
        <v>36879</v>
      </c>
      <c r="C122" s="364" t="s">
        <v>249</v>
      </c>
      <c r="D122" s="365">
        <v>7.32</v>
      </c>
      <c r="E122" s="365">
        <v>3.68</v>
      </c>
      <c r="F122" s="366">
        <v>6.6</v>
      </c>
      <c r="G122" s="366">
        <v>3.8</v>
      </c>
      <c r="H122" s="366">
        <v>2.8</v>
      </c>
      <c r="I122" s="366">
        <v>11.3</v>
      </c>
      <c r="J122" s="367">
        <v>20</v>
      </c>
      <c r="K122" s="367"/>
      <c r="L122" s="367"/>
      <c r="M122" s="368"/>
      <c r="N122" s="357"/>
    </row>
    <row r="123" spans="1:14" ht="17">
      <c r="A123" s="1"/>
      <c r="B123" s="363">
        <v>36535</v>
      </c>
      <c r="C123" s="364" t="s">
        <v>249</v>
      </c>
      <c r="D123" s="365">
        <v>7.39</v>
      </c>
      <c r="E123" s="365">
        <v>3.01</v>
      </c>
      <c r="F123" s="366">
        <v>5.8</v>
      </c>
      <c r="G123" s="366">
        <v>3.4</v>
      </c>
      <c r="H123" s="366">
        <v>2.4</v>
      </c>
      <c r="I123" s="366">
        <v>12.1</v>
      </c>
      <c r="J123" s="367">
        <v>10</v>
      </c>
      <c r="K123" s="367"/>
      <c r="L123" s="367"/>
      <c r="M123" s="368"/>
      <c r="N123" s="357"/>
    </row>
    <row r="124" spans="1:14" ht="17">
      <c r="A124" s="1"/>
      <c r="B124" s="363">
        <v>36541</v>
      </c>
      <c r="C124" s="364" t="s">
        <v>249</v>
      </c>
      <c r="D124" s="365">
        <v>7.48</v>
      </c>
      <c r="E124" s="365">
        <v>2.85</v>
      </c>
      <c r="F124" s="366">
        <v>5</v>
      </c>
      <c r="G124" s="366">
        <v>2.8</v>
      </c>
      <c r="H124" s="366">
        <v>2.2000000000000002</v>
      </c>
      <c r="I124" s="366">
        <v>12.9</v>
      </c>
      <c r="J124" s="367">
        <v>15</v>
      </c>
      <c r="K124" s="367"/>
      <c r="L124" s="367"/>
      <c r="M124" s="368"/>
      <c r="N124" s="357"/>
    </row>
    <row r="125" spans="1:14" ht="17">
      <c r="A125" s="1"/>
      <c r="B125" s="363">
        <v>36915</v>
      </c>
      <c r="C125" s="364" t="s">
        <v>249</v>
      </c>
      <c r="D125" s="365">
        <v>7.61</v>
      </c>
      <c r="E125" s="365">
        <v>2.35</v>
      </c>
      <c r="F125" s="366">
        <v>5.8</v>
      </c>
      <c r="G125" s="366">
        <v>3.8</v>
      </c>
      <c r="H125" s="366">
        <v>2</v>
      </c>
      <c r="I125" s="366">
        <v>11.5</v>
      </c>
      <c r="J125" s="367">
        <v>15</v>
      </c>
      <c r="K125" s="367"/>
      <c r="L125" s="367"/>
      <c r="M125" s="368"/>
      <c r="N125" s="357"/>
    </row>
    <row r="126" spans="1:14" ht="17">
      <c r="A126" s="1"/>
      <c r="B126" s="363">
        <v>36929</v>
      </c>
      <c r="C126" s="364" t="s">
        <v>249</v>
      </c>
      <c r="D126" s="365">
        <v>7.53</v>
      </c>
      <c r="E126" s="365">
        <v>2.91</v>
      </c>
      <c r="F126" s="366">
        <v>5</v>
      </c>
      <c r="G126" s="366">
        <v>3.2</v>
      </c>
      <c r="H126" s="366">
        <v>1.8</v>
      </c>
      <c r="I126" s="366">
        <v>11.4</v>
      </c>
      <c r="J126" s="367">
        <v>20</v>
      </c>
      <c r="K126" s="367"/>
      <c r="L126" s="367"/>
      <c r="M126" s="368"/>
      <c r="N126" s="357"/>
    </row>
    <row r="127" spans="1:14" ht="17">
      <c r="A127" s="1"/>
      <c r="B127" s="363">
        <v>36942</v>
      </c>
      <c r="C127" s="364" t="s">
        <v>249</v>
      </c>
      <c r="D127" s="365">
        <v>7.49</v>
      </c>
      <c r="E127" s="365">
        <v>2.84</v>
      </c>
      <c r="F127" s="366">
        <v>5.2</v>
      </c>
      <c r="G127" s="366">
        <v>2.8</v>
      </c>
      <c r="H127" s="366">
        <v>2.4</v>
      </c>
      <c r="I127" s="366">
        <v>11.4</v>
      </c>
      <c r="J127" s="367">
        <v>10</v>
      </c>
      <c r="K127" s="367"/>
      <c r="L127" s="367"/>
      <c r="M127" s="368"/>
      <c r="N127" s="357"/>
    </row>
    <row r="128" spans="1:14" ht="17">
      <c r="A128" s="1"/>
      <c r="B128" s="363">
        <v>36956</v>
      </c>
      <c r="C128" s="364" t="s">
        <v>249</v>
      </c>
      <c r="D128" s="365">
        <v>7.35</v>
      </c>
      <c r="E128" s="365">
        <v>43.4</v>
      </c>
      <c r="F128" s="366">
        <v>188</v>
      </c>
      <c r="G128" s="366">
        <v>68</v>
      </c>
      <c r="H128" s="366">
        <v>120</v>
      </c>
      <c r="I128" s="366">
        <v>12.1</v>
      </c>
      <c r="J128" s="367">
        <v>250</v>
      </c>
      <c r="K128" s="367"/>
      <c r="L128" s="367"/>
      <c r="M128" s="368"/>
      <c r="N128" s="357"/>
    </row>
    <row r="129" spans="1:14" ht="17">
      <c r="A129" s="1"/>
      <c r="B129" s="363">
        <v>36971</v>
      </c>
      <c r="C129" s="364" t="s">
        <v>249</v>
      </c>
      <c r="D129" s="365">
        <v>7.55</v>
      </c>
      <c r="E129" s="365">
        <v>56.6</v>
      </c>
      <c r="F129" s="366">
        <v>164</v>
      </c>
      <c r="G129" s="366">
        <v>64</v>
      </c>
      <c r="H129" s="366">
        <v>100</v>
      </c>
      <c r="I129" s="366">
        <v>12</v>
      </c>
      <c r="J129" s="367">
        <v>175</v>
      </c>
      <c r="K129" s="367"/>
      <c r="L129" s="367"/>
      <c r="M129" s="368"/>
      <c r="N129" s="357"/>
    </row>
    <row r="130" spans="1:14" ht="17">
      <c r="A130" s="1"/>
      <c r="B130" s="363">
        <v>36977</v>
      </c>
      <c r="C130" s="364" t="s">
        <v>249</v>
      </c>
      <c r="D130" s="365">
        <v>7.48</v>
      </c>
      <c r="E130" s="365">
        <v>28.7</v>
      </c>
      <c r="F130" s="366">
        <v>128</v>
      </c>
      <c r="G130" s="366">
        <v>64</v>
      </c>
      <c r="H130" s="366">
        <v>64</v>
      </c>
      <c r="I130" s="366">
        <v>11.4</v>
      </c>
      <c r="J130" s="367">
        <v>100</v>
      </c>
      <c r="K130" s="367"/>
      <c r="L130" s="367"/>
      <c r="M130" s="368"/>
      <c r="N130" s="357"/>
    </row>
    <row r="131" spans="1:14" ht="34">
      <c r="A131" s="1"/>
      <c r="B131" s="363">
        <v>36991</v>
      </c>
      <c r="C131" s="364" t="s">
        <v>249</v>
      </c>
      <c r="D131" s="365">
        <v>7</v>
      </c>
      <c r="E131" s="365">
        <v>619</v>
      </c>
      <c r="F131" s="366">
        <v>1840</v>
      </c>
      <c r="G131" s="366">
        <v>920</v>
      </c>
      <c r="H131" s="366">
        <v>920</v>
      </c>
      <c r="I131" s="366">
        <v>10.9</v>
      </c>
      <c r="J131" s="367">
        <v>2500</v>
      </c>
      <c r="K131" s="367"/>
      <c r="L131" s="367"/>
      <c r="M131" s="368" t="s">
        <v>250</v>
      </c>
      <c r="N131" s="357"/>
    </row>
    <row r="132" spans="1:14" ht="17">
      <c r="A132" s="1"/>
      <c r="B132" s="363">
        <v>37005</v>
      </c>
      <c r="C132" s="364" t="s">
        <v>226</v>
      </c>
      <c r="D132" s="365">
        <v>7.65</v>
      </c>
      <c r="E132" s="365">
        <v>6.82</v>
      </c>
      <c r="F132" s="366">
        <v>10.6</v>
      </c>
      <c r="G132" s="366">
        <v>5.7</v>
      </c>
      <c r="H132" s="366">
        <v>4.9000000000000004</v>
      </c>
      <c r="I132" s="366">
        <v>11.1</v>
      </c>
      <c r="J132" s="367">
        <v>60</v>
      </c>
      <c r="K132" s="367"/>
      <c r="L132" s="367"/>
      <c r="M132" s="368"/>
      <c r="N132" s="357"/>
    </row>
    <row r="133" spans="1:14" ht="17">
      <c r="A133" s="1"/>
      <c r="B133" s="363">
        <v>37019</v>
      </c>
      <c r="C133" s="364" t="s">
        <v>226</v>
      </c>
      <c r="D133" s="365">
        <v>7.73</v>
      </c>
      <c r="E133" s="365">
        <v>4.87</v>
      </c>
      <c r="F133" s="366">
        <v>7.4</v>
      </c>
      <c r="G133" s="366">
        <v>3.4</v>
      </c>
      <c r="H133" s="366">
        <v>4</v>
      </c>
      <c r="I133" s="366">
        <v>10.3</v>
      </c>
      <c r="J133" s="367">
        <v>20</v>
      </c>
      <c r="K133" s="367"/>
      <c r="L133" s="367"/>
      <c r="M133" s="368"/>
      <c r="N133" s="357"/>
    </row>
    <row r="134" spans="1:14" ht="17">
      <c r="A134" s="1"/>
      <c r="B134" s="363">
        <v>37026</v>
      </c>
      <c r="C134" s="364" t="s">
        <v>226</v>
      </c>
      <c r="D134" s="365">
        <v>7.75</v>
      </c>
      <c r="E134" s="365">
        <v>3.19</v>
      </c>
      <c r="F134" s="366">
        <v>4</v>
      </c>
      <c r="G134" s="366">
        <v>2.9</v>
      </c>
      <c r="H134" s="366">
        <v>1.1000000000000001</v>
      </c>
      <c r="I134" s="366">
        <v>9.1999999999999993</v>
      </c>
      <c r="J134" s="367">
        <v>20</v>
      </c>
      <c r="K134" s="367"/>
      <c r="L134" s="367"/>
      <c r="M134" s="368"/>
      <c r="N134" s="357"/>
    </row>
    <row r="135" spans="1:14" ht="17">
      <c r="A135" s="1"/>
      <c r="B135" s="363">
        <v>37034</v>
      </c>
      <c r="C135" s="364" t="s">
        <v>226</v>
      </c>
      <c r="D135" s="365">
        <v>7.84</v>
      </c>
      <c r="E135" s="365">
        <v>3.8</v>
      </c>
      <c r="F135" s="366">
        <v>3.3</v>
      </c>
      <c r="G135" s="366">
        <v>2.1</v>
      </c>
      <c r="H135" s="366">
        <v>1.2</v>
      </c>
      <c r="I135" s="366">
        <v>9.6999999999999993</v>
      </c>
      <c r="J135" s="367">
        <v>20</v>
      </c>
      <c r="K135" s="367"/>
      <c r="L135" s="367"/>
      <c r="M135" s="368"/>
      <c r="N135" s="357"/>
    </row>
    <row r="136" spans="1:14" ht="24" customHeight="1">
      <c r="A136" s="1"/>
      <c r="B136" s="363">
        <v>37040</v>
      </c>
      <c r="C136" s="364" t="s">
        <v>226</v>
      </c>
      <c r="D136" s="365">
        <v>7.43</v>
      </c>
      <c r="E136" s="365">
        <v>957</v>
      </c>
      <c r="F136" s="366">
        <v>29.7</v>
      </c>
      <c r="G136" s="366">
        <v>10.1</v>
      </c>
      <c r="H136" s="366">
        <v>19.600000000000001</v>
      </c>
      <c r="I136" s="366">
        <v>9</v>
      </c>
      <c r="J136" s="367">
        <v>150</v>
      </c>
      <c r="K136" s="367"/>
      <c r="L136" s="367"/>
      <c r="M136" s="368" t="s">
        <v>251</v>
      </c>
      <c r="N136" s="357"/>
    </row>
    <row r="137" spans="1:14" ht="17">
      <c r="A137" s="1"/>
      <c r="B137" s="363">
        <v>37047</v>
      </c>
      <c r="C137" s="364" t="s">
        <v>226</v>
      </c>
      <c r="D137" s="365">
        <v>7.72</v>
      </c>
      <c r="E137" s="365">
        <v>14.2</v>
      </c>
      <c r="F137" s="366">
        <v>47.9</v>
      </c>
      <c r="G137" s="366">
        <v>20</v>
      </c>
      <c r="H137" s="366">
        <v>27.9</v>
      </c>
      <c r="I137" s="366">
        <v>10.1</v>
      </c>
      <c r="J137" s="367">
        <v>50</v>
      </c>
      <c r="K137" s="367"/>
      <c r="L137" s="367"/>
      <c r="M137" s="368"/>
      <c r="N137" s="357"/>
    </row>
    <row r="138" spans="1:14" ht="17">
      <c r="A138" s="1"/>
      <c r="B138" s="363">
        <v>37054</v>
      </c>
      <c r="C138" s="364" t="s">
        <v>226</v>
      </c>
      <c r="D138" s="365">
        <v>7.48</v>
      </c>
      <c r="E138" s="365">
        <v>7.03</v>
      </c>
      <c r="F138" s="366">
        <v>12.4</v>
      </c>
      <c r="G138" s="366">
        <v>8.8000000000000007</v>
      </c>
      <c r="H138" s="366">
        <v>3.6</v>
      </c>
      <c r="I138" s="366">
        <v>8.9</v>
      </c>
      <c r="J138" s="367">
        <v>60</v>
      </c>
      <c r="K138" s="367"/>
      <c r="L138" s="367"/>
      <c r="M138" s="368"/>
      <c r="N138" s="357"/>
    </row>
    <row r="139" spans="1:14" ht="17">
      <c r="A139" s="1"/>
      <c r="B139" s="363">
        <v>37061</v>
      </c>
      <c r="C139" s="364" t="s">
        <v>226</v>
      </c>
      <c r="D139" s="365">
        <v>7.36</v>
      </c>
      <c r="E139" s="365">
        <v>279</v>
      </c>
      <c r="F139" s="366">
        <v>708</v>
      </c>
      <c r="G139" s="366">
        <v>284</v>
      </c>
      <c r="H139" s="366">
        <v>424</v>
      </c>
      <c r="I139" s="366">
        <v>8.4</v>
      </c>
      <c r="J139" s="367">
        <v>800</v>
      </c>
      <c r="K139" s="367"/>
      <c r="L139" s="367"/>
      <c r="M139" s="368" t="s">
        <v>252</v>
      </c>
      <c r="N139" s="357"/>
    </row>
    <row r="140" spans="1:14" ht="34">
      <c r="A140" s="1"/>
      <c r="B140" s="363">
        <v>37068</v>
      </c>
      <c r="C140" s="364" t="s">
        <v>226</v>
      </c>
      <c r="D140" s="365">
        <v>7.21</v>
      </c>
      <c r="E140" s="365">
        <v>669</v>
      </c>
      <c r="F140" s="366">
        <v>2070</v>
      </c>
      <c r="G140" s="366">
        <v>850</v>
      </c>
      <c r="H140" s="366">
        <v>1120</v>
      </c>
      <c r="I140" s="366">
        <v>8.1999999999999993</v>
      </c>
      <c r="J140" s="367">
        <v>1500</v>
      </c>
      <c r="K140" s="367"/>
      <c r="L140" s="367"/>
      <c r="M140" s="368" t="s">
        <v>253</v>
      </c>
      <c r="N140" s="357"/>
    </row>
    <row r="141" spans="1:14" ht="17">
      <c r="A141" s="1"/>
      <c r="B141" s="363">
        <v>37082</v>
      </c>
      <c r="C141" s="364" t="s">
        <v>231</v>
      </c>
      <c r="D141" s="365">
        <v>7.35</v>
      </c>
      <c r="E141" s="365">
        <v>3.41</v>
      </c>
      <c r="F141" s="366">
        <v>8.8000000000000007</v>
      </c>
      <c r="G141" s="366">
        <v>6</v>
      </c>
      <c r="H141" s="366">
        <v>2.8</v>
      </c>
      <c r="I141" s="366">
        <v>7.2</v>
      </c>
      <c r="J141" s="367">
        <v>25</v>
      </c>
      <c r="K141" s="367"/>
      <c r="L141" s="367"/>
      <c r="M141" s="368"/>
      <c r="N141" s="357"/>
    </row>
    <row r="142" spans="1:14" ht="17">
      <c r="A142" s="1"/>
      <c r="B142" s="363">
        <v>37089</v>
      </c>
      <c r="C142" s="364" t="s">
        <v>231</v>
      </c>
      <c r="D142" s="365">
        <v>7.61</v>
      </c>
      <c r="E142" s="365">
        <v>2.31</v>
      </c>
      <c r="F142" s="366">
        <v>5.6</v>
      </c>
      <c r="G142" s="366">
        <v>4</v>
      </c>
      <c r="H142" s="366">
        <v>1.6</v>
      </c>
      <c r="I142" s="366">
        <v>7.1</v>
      </c>
      <c r="J142" s="367">
        <v>10</v>
      </c>
      <c r="K142" s="367"/>
      <c r="L142" s="367"/>
      <c r="M142" s="368"/>
      <c r="N142" s="357"/>
    </row>
    <row r="143" spans="1:14" ht="17">
      <c r="A143" s="1"/>
      <c r="B143" s="363">
        <v>37096</v>
      </c>
      <c r="C143" s="364" t="s">
        <v>231</v>
      </c>
      <c r="D143" s="365">
        <v>7.52</v>
      </c>
      <c r="E143" s="365">
        <v>7.54</v>
      </c>
      <c r="F143" s="366">
        <v>26</v>
      </c>
      <c r="G143" s="366">
        <v>14</v>
      </c>
      <c r="H143" s="366">
        <v>12</v>
      </c>
      <c r="I143" s="366">
        <v>7.3</v>
      </c>
      <c r="J143" s="367">
        <v>40</v>
      </c>
      <c r="K143" s="367"/>
      <c r="L143" s="367"/>
      <c r="M143" s="368"/>
      <c r="N143" s="357"/>
    </row>
    <row r="144" spans="1:14" ht="17">
      <c r="A144" s="1"/>
      <c r="B144" s="363">
        <v>37103</v>
      </c>
      <c r="C144" s="364" t="s">
        <v>231</v>
      </c>
      <c r="D144" s="365">
        <v>7.25</v>
      </c>
      <c r="E144" s="365">
        <v>3.73</v>
      </c>
      <c r="F144" s="366">
        <v>10.8</v>
      </c>
      <c r="G144" s="366">
        <v>8.8000000000000007</v>
      </c>
      <c r="H144" s="366">
        <v>2</v>
      </c>
      <c r="I144" s="366">
        <v>6.5</v>
      </c>
      <c r="J144" s="367">
        <v>15</v>
      </c>
      <c r="K144" s="367"/>
      <c r="L144" s="367"/>
      <c r="M144" s="368"/>
      <c r="N144" s="357"/>
    </row>
    <row r="145" spans="1:14" ht="34">
      <c r="A145" s="1"/>
      <c r="B145" s="363">
        <v>37111</v>
      </c>
      <c r="C145" s="364" t="s">
        <v>231</v>
      </c>
      <c r="D145" s="365">
        <v>7.22</v>
      </c>
      <c r="E145" s="365">
        <v>521</v>
      </c>
      <c r="F145" s="366">
        <v>170.4</v>
      </c>
      <c r="G145" s="366">
        <v>75.599999999999994</v>
      </c>
      <c r="H145" s="366">
        <v>94.8</v>
      </c>
      <c r="I145" s="366">
        <v>7.8</v>
      </c>
      <c r="J145" s="367">
        <v>200</v>
      </c>
      <c r="K145" s="367"/>
      <c r="L145" s="367"/>
      <c r="M145" s="368" t="s">
        <v>254</v>
      </c>
      <c r="N145" s="357"/>
    </row>
    <row r="146" spans="1:14" ht="17">
      <c r="A146" s="1"/>
      <c r="B146" s="363">
        <v>37118</v>
      </c>
      <c r="C146" s="364" t="s">
        <v>229</v>
      </c>
      <c r="D146" s="365">
        <v>7.36</v>
      </c>
      <c r="E146" s="365">
        <v>3.29</v>
      </c>
      <c r="F146" s="366">
        <v>11</v>
      </c>
      <c r="G146" s="366">
        <v>8.6</v>
      </c>
      <c r="H146" s="366">
        <v>2.4</v>
      </c>
      <c r="I146" s="366">
        <v>7</v>
      </c>
      <c r="J146" s="367">
        <v>15</v>
      </c>
      <c r="K146" s="367"/>
      <c r="L146" s="367"/>
      <c r="M146" s="368"/>
      <c r="N146" s="357"/>
    </row>
    <row r="147" spans="1:14" ht="17">
      <c r="A147" s="1"/>
      <c r="B147" s="363">
        <v>37124</v>
      </c>
      <c r="C147" s="364" t="s">
        <v>229</v>
      </c>
      <c r="D147" s="365">
        <v>7.43</v>
      </c>
      <c r="E147" s="365">
        <v>4.6500000000000004</v>
      </c>
      <c r="F147" s="366">
        <v>14.6</v>
      </c>
      <c r="G147" s="366">
        <v>13.2</v>
      </c>
      <c r="H147" s="366">
        <v>1.4</v>
      </c>
      <c r="I147" s="366">
        <v>8</v>
      </c>
      <c r="J147" s="367">
        <v>15</v>
      </c>
      <c r="K147" s="367"/>
      <c r="L147" s="367"/>
      <c r="M147" s="368"/>
      <c r="N147" s="357"/>
    </row>
    <row r="148" spans="1:14" ht="17">
      <c r="A148" s="1"/>
      <c r="B148" s="363">
        <v>37131</v>
      </c>
      <c r="C148" s="364" t="s">
        <v>229</v>
      </c>
      <c r="D148" s="365">
        <v>7.17</v>
      </c>
      <c r="E148" s="365">
        <v>4.1900000000000004</v>
      </c>
      <c r="F148" s="366">
        <v>21.8</v>
      </c>
      <c r="G148" s="366">
        <v>20.2</v>
      </c>
      <c r="H148" s="366">
        <v>1.6</v>
      </c>
      <c r="I148" s="366">
        <v>7.2</v>
      </c>
      <c r="J148" s="367">
        <v>20</v>
      </c>
      <c r="K148" s="367"/>
      <c r="L148" s="367"/>
      <c r="M148" s="368"/>
      <c r="N148" s="357"/>
    </row>
    <row r="149" spans="1:14" ht="17">
      <c r="A149" s="1"/>
      <c r="B149" s="363">
        <v>37139</v>
      </c>
      <c r="C149" s="364" t="s">
        <v>229</v>
      </c>
      <c r="D149" s="365">
        <v>7.03</v>
      </c>
      <c r="E149" s="365">
        <v>11.4</v>
      </c>
      <c r="F149" s="366">
        <v>54.4</v>
      </c>
      <c r="G149" s="366">
        <v>51.6</v>
      </c>
      <c r="H149" s="366">
        <v>2.8</v>
      </c>
      <c r="I149" s="366">
        <v>2.8</v>
      </c>
      <c r="J149" s="367">
        <v>50</v>
      </c>
      <c r="K149" s="367"/>
      <c r="L149" s="367"/>
      <c r="M149" s="368"/>
      <c r="N149" s="357"/>
    </row>
    <row r="150" spans="1:14" ht="17">
      <c r="A150" s="1"/>
      <c r="B150" s="363">
        <v>37145</v>
      </c>
      <c r="C150" s="364" t="s">
        <v>247</v>
      </c>
      <c r="D150" s="365">
        <v>7.13</v>
      </c>
      <c r="E150" s="365">
        <v>8.93</v>
      </c>
      <c r="F150" s="366">
        <v>33.200000000000003</v>
      </c>
      <c r="G150" s="366">
        <v>31.2</v>
      </c>
      <c r="H150" s="366">
        <v>2</v>
      </c>
      <c r="I150" s="366">
        <v>8.6</v>
      </c>
      <c r="J150" s="367">
        <v>25</v>
      </c>
      <c r="K150" s="367"/>
      <c r="L150" s="367"/>
      <c r="M150" s="368"/>
      <c r="N150" s="357"/>
    </row>
    <row r="151" spans="1:14" ht="17">
      <c r="A151" s="1"/>
      <c r="B151" s="363">
        <v>37152</v>
      </c>
      <c r="C151" s="364" t="s">
        <v>229</v>
      </c>
      <c r="D151" s="365">
        <v>6.97</v>
      </c>
      <c r="E151" s="365">
        <v>16.8</v>
      </c>
      <c r="F151" s="366">
        <v>34</v>
      </c>
      <c r="G151" s="366">
        <v>31.2</v>
      </c>
      <c r="H151" s="366">
        <v>2.8</v>
      </c>
      <c r="I151" s="366">
        <v>8.6999999999999993</v>
      </c>
      <c r="J151" s="367">
        <v>70</v>
      </c>
      <c r="K151" s="367"/>
      <c r="L151" s="367"/>
      <c r="M151" s="368" t="s">
        <v>255</v>
      </c>
      <c r="N151" s="357"/>
    </row>
    <row r="152" spans="1:14" ht="17">
      <c r="A152" s="1"/>
      <c r="B152" s="363">
        <v>37159</v>
      </c>
      <c r="C152" s="364" t="s">
        <v>229</v>
      </c>
      <c r="D152" s="365">
        <v>7.28</v>
      </c>
      <c r="E152" s="365">
        <v>34.799999999999997</v>
      </c>
      <c r="F152" s="366">
        <v>133</v>
      </c>
      <c r="G152" s="366">
        <v>116</v>
      </c>
      <c r="H152" s="366">
        <v>17</v>
      </c>
      <c r="I152" s="366">
        <v>9</v>
      </c>
      <c r="J152" s="367">
        <v>75</v>
      </c>
      <c r="K152" s="367"/>
      <c r="L152" s="367"/>
      <c r="M152" s="368" t="s">
        <v>256</v>
      </c>
      <c r="N152" s="357"/>
    </row>
    <row r="153" spans="1:14" ht="34">
      <c r="A153" s="1"/>
      <c r="B153" s="363">
        <v>37174</v>
      </c>
      <c r="C153" s="364" t="s">
        <v>223</v>
      </c>
      <c r="D153" s="365">
        <v>7.19</v>
      </c>
      <c r="E153" s="365">
        <v>11.2</v>
      </c>
      <c r="F153" s="366">
        <v>56</v>
      </c>
      <c r="G153" s="366">
        <v>50.8</v>
      </c>
      <c r="H153" s="366">
        <v>5.2</v>
      </c>
      <c r="I153" s="366">
        <v>10.1</v>
      </c>
      <c r="J153" s="367">
        <v>50</v>
      </c>
      <c r="K153" s="367"/>
      <c r="L153" s="367"/>
      <c r="M153" s="368" t="s">
        <v>257</v>
      </c>
      <c r="N153" s="357"/>
    </row>
    <row r="154" spans="1:14" ht="17">
      <c r="A154" s="1"/>
      <c r="B154" s="363">
        <v>37180</v>
      </c>
      <c r="C154" s="364" t="s">
        <v>223</v>
      </c>
      <c r="D154" s="365">
        <v>7.2</v>
      </c>
      <c r="E154" s="365">
        <v>28.1</v>
      </c>
      <c r="F154" s="366">
        <v>103</v>
      </c>
      <c r="G154" s="366">
        <v>88</v>
      </c>
      <c r="H154" s="366">
        <v>15</v>
      </c>
      <c r="I154" s="366">
        <v>11.1</v>
      </c>
      <c r="J154" s="367">
        <v>70</v>
      </c>
      <c r="K154" s="367"/>
      <c r="L154" s="367"/>
      <c r="M154" s="368"/>
      <c r="N154" s="357"/>
    </row>
    <row r="155" spans="1:14" ht="17">
      <c r="A155" s="1"/>
      <c r="B155" s="363">
        <v>37187</v>
      </c>
      <c r="C155" s="364" t="s">
        <v>223</v>
      </c>
      <c r="D155" s="365">
        <v>7.37</v>
      </c>
      <c r="E155" s="365">
        <v>32.4</v>
      </c>
      <c r="F155" s="366">
        <v>139</v>
      </c>
      <c r="G155" s="366">
        <v>93</v>
      </c>
      <c r="H155" s="366">
        <v>46</v>
      </c>
      <c r="I155" s="366">
        <v>11.7</v>
      </c>
      <c r="J155" s="367">
        <v>75</v>
      </c>
      <c r="K155" s="367"/>
      <c r="L155" s="367"/>
      <c r="M155" s="368"/>
      <c r="N155" s="357"/>
    </row>
    <row r="156" spans="1:14" ht="17">
      <c r="A156" s="1"/>
      <c r="B156" s="363">
        <v>37194</v>
      </c>
      <c r="C156" s="364" t="s">
        <v>223</v>
      </c>
      <c r="D156" s="365">
        <v>7.39</v>
      </c>
      <c r="E156" s="365">
        <v>5.63</v>
      </c>
      <c r="F156" s="366">
        <v>20.8</v>
      </c>
      <c r="G156" s="366">
        <v>11.6</v>
      </c>
      <c r="H156" s="366">
        <v>9.3000000000000007</v>
      </c>
      <c r="I156" s="366">
        <v>11.7</v>
      </c>
      <c r="J156" s="367">
        <v>15</v>
      </c>
      <c r="K156" s="367"/>
      <c r="L156" s="367"/>
      <c r="M156" s="368"/>
      <c r="N156" s="357"/>
    </row>
    <row r="157" spans="1:14" ht="17">
      <c r="A157" s="1"/>
      <c r="B157" s="363">
        <v>37201</v>
      </c>
      <c r="C157" s="364" t="s">
        <v>223</v>
      </c>
      <c r="D157" s="365">
        <v>7.33</v>
      </c>
      <c r="E157" s="365">
        <v>59.7</v>
      </c>
      <c r="F157" s="366">
        <v>128</v>
      </c>
      <c r="G157" s="366">
        <v>36</v>
      </c>
      <c r="H157" s="366">
        <v>92</v>
      </c>
      <c r="I157" s="366">
        <v>11.6</v>
      </c>
      <c r="J157" s="367">
        <v>200</v>
      </c>
      <c r="K157" s="367"/>
      <c r="L157" s="367"/>
      <c r="M157" s="368" t="s">
        <v>258</v>
      </c>
      <c r="N157" s="357"/>
    </row>
    <row r="158" spans="1:14" ht="40" customHeight="1">
      <c r="A158" s="1"/>
      <c r="B158" s="363">
        <v>37208</v>
      </c>
      <c r="C158" s="364" t="s">
        <v>223</v>
      </c>
      <c r="D158" s="365">
        <v>7.23</v>
      </c>
      <c r="E158" s="365">
        <v>263</v>
      </c>
      <c r="F158" s="366">
        <v>800</v>
      </c>
      <c r="G158" s="366">
        <v>272</v>
      </c>
      <c r="H158" s="366">
        <v>528</v>
      </c>
      <c r="I158" s="366"/>
      <c r="J158" s="367">
        <v>500</v>
      </c>
      <c r="K158" s="367"/>
      <c r="L158" s="367"/>
      <c r="M158" s="368" t="s">
        <v>259</v>
      </c>
      <c r="N158" s="357"/>
    </row>
    <row r="159" spans="1:14" ht="17">
      <c r="A159" s="1"/>
      <c r="B159" s="363">
        <v>37215</v>
      </c>
      <c r="C159" s="364" t="s">
        <v>239</v>
      </c>
      <c r="D159" s="365">
        <v>7.53</v>
      </c>
      <c r="E159" s="365">
        <v>3.46</v>
      </c>
      <c r="F159" s="366">
        <v>6.8</v>
      </c>
      <c r="G159" s="366">
        <v>3.8</v>
      </c>
      <c r="H159" s="366">
        <v>3</v>
      </c>
      <c r="I159" s="366">
        <v>12.3</v>
      </c>
      <c r="J159" s="367">
        <v>20</v>
      </c>
      <c r="K159" s="367"/>
      <c r="L159" s="367"/>
      <c r="M159" s="368" t="s">
        <v>260</v>
      </c>
      <c r="N159" s="357"/>
    </row>
    <row r="160" spans="1:14" ht="17">
      <c r="A160" s="1"/>
      <c r="B160" s="363">
        <v>37222</v>
      </c>
      <c r="C160" s="364" t="s">
        <v>239</v>
      </c>
      <c r="D160" s="365">
        <v>7.52</v>
      </c>
      <c r="E160" s="365">
        <v>3.64</v>
      </c>
      <c r="F160" s="366">
        <v>10.4</v>
      </c>
      <c r="G160" s="366">
        <v>4.8</v>
      </c>
      <c r="H160" s="366">
        <v>5.6</v>
      </c>
      <c r="I160" s="366">
        <v>12.6</v>
      </c>
      <c r="J160" s="367">
        <v>15</v>
      </c>
      <c r="K160" s="367"/>
      <c r="L160" s="367"/>
      <c r="M160" s="368"/>
      <c r="N160" s="357"/>
    </row>
    <row r="161" spans="1:14" ht="17">
      <c r="A161" s="1"/>
      <c r="B161" s="363">
        <v>37229</v>
      </c>
      <c r="C161" s="364" t="s">
        <v>239</v>
      </c>
      <c r="D161" s="365">
        <v>7.26</v>
      </c>
      <c r="E161" s="365">
        <v>3.6</v>
      </c>
      <c r="F161" s="366">
        <v>7.2</v>
      </c>
      <c r="G161" s="366">
        <v>3.6</v>
      </c>
      <c r="H161" s="366">
        <v>3.6</v>
      </c>
      <c r="I161" s="366">
        <v>12.3</v>
      </c>
      <c r="J161" s="367">
        <v>30</v>
      </c>
      <c r="K161" s="367"/>
      <c r="L161" s="367"/>
      <c r="M161" s="368"/>
      <c r="N161" s="357"/>
    </row>
    <row r="162" spans="1:14" ht="17">
      <c r="A162" s="1"/>
      <c r="B162" s="363">
        <v>37236</v>
      </c>
      <c r="C162" s="364" t="s">
        <v>239</v>
      </c>
      <c r="D162" s="365">
        <v>7.29</v>
      </c>
      <c r="E162" s="365">
        <v>3.72</v>
      </c>
      <c r="F162" s="366">
        <v>7.2</v>
      </c>
      <c r="G162" s="366">
        <v>3.4</v>
      </c>
      <c r="H162" s="366">
        <v>3.8</v>
      </c>
      <c r="I162" s="366">
        <v>12</v>
      </c>
      <c r="J162" s="367">
        <v>25</v>
      </c>
      <c r="K162" s="367"/>
      <c r="L162" s="367"/>
      <c r="M162" s="368"/>
      <c r="N162" s="357"/>
    </row>
    <row r="163" spans="1:14" ht="17">
      <c r="A163" s="1"/>
      <c r="B163" s="363">
        <v>37243</v>
      </c>
      <c r="C163" s="364" t="s">
        <v>239</v>
      </c>
      <c r="D163" s="365">
        <v>7.38</v>
      </c>
      <c r="E163" s="365">
        <v>4.08</v>
      </c>
      <c r="F163" s="366">
        <v>7</v>
      </c>
      <c r="G163" s="366">
        <v>4</v>
      </c>
      <c r="H163" s="366">
        <v>3</v>
      </c>
      <c r="I163" s="366">
        <v>12</v>
      </c>
      <c r="J163" s="367">
        <v>30</v>
      </c>
      <c r="K163" s="367"/>
      <c r="L163" s="367"/>
      <c r="M163" s="368"/>
      <c r="N163" s="357"/>
    </row>
    <row r="164" spans="1:14">
      <c r="A164" s="1"/>
      <c r="B164" s="363"/>
      <c r="C164" s="364"/>
      <c r="D164" s="365"/>
      <c r="E164" s="365"/>
      <c r="F164" s="366"/>
      <c r="G164" s="366"/>
      <c r="H164" s="366"/>
      <c r="I164" s="366"/>
      <c r="J164" s="367"/>
      <c r="K164" s="367"/>
      <c r="L164" s="367"/>
      <c r="M164" s="368"/>
      <c r="N164" s="357"/>
    </row>
    <row r="165" spans="1:14">
      <c r="A165" s="1" t="s">
        <v>261</v>
      </c>
      <c r="B165" s="370"/>
      <c r="C165" s="371"/>
      <c r="D165" s="372"/>
      <c r="E165" s="372"/>
      <c r="F165" s="373"/>
      <c r="G165" s="373"/>
      <c r="H165" s="373"/>
      <c r="I165" s="373"/>
      <c r="J165" s="374"/>
      <c r="K165" s="374"/>
      <c r="L165" s="374"/>
      <c r="M165" s="375"/>
      <c r="N165" s="357"/>
    </row>
    <row r="166" spans="1:14" ht="17">
      <c r="A166" s="1"/>
      <c r="B166" s="355" t="s">
        <v>262</v>
      </c>
      <c r="C166" s="376"/>
      <c r="D166" s="359">
        <f t="shared" ref="D166:L166" si="0">AVERAGE(D3:D165)</f>
        <v>7.3066000000000013</v>
      </c>
      <c r="E166" s="359">
        <f t="shared" si="0"/>
        <v>65.397204968944095</v>
      </c>
      <c r="F166" s="360">
        <f t="shared" si="0"/>
        <v>179.46562499999999</v>
      </c>
      <c r="G166" s="360">
        <f t="shared" si="0"/>
        <v>72.701572327044005</v>
      </c>
      <c r="H166" s="360">
        <f t="shared" si="0"/>
        <v>97.098993710691786</v>
      </c>
      <c r="I166" s="360">
        <f t="shared" si="0"/>
        <v>9.9254901960784316</v>
      </c>
      <c r="J166" s="361">
        <f t="shared" si="0"/>
        <v>159.6875</v>
      </c>
      <c r="K166" s="361">
        <f t="shared" si="0"/>
        <v>0</v>
      </c>
      <c r="L166" s="361">
        <f t="shared" si="0"/>
        <v>0</v>
      </c>
      <c r="M166" s="362"/>
      <c r="N166" s="357"/>
    </row>
    <row r="167" spans="1:14">
      <c r="A167" s="1"/>
      <c r="B167" s="355"/>
      <c r="C167" s="376"/>
      <c r="D167" s="359"/>
      <c r="E167" s="359"/>
      <c r="F167" s="360"/>
      <c r="G167" s="360"/>
      <c r="H167" s="360"/>
      <c r="I167" s="360"/>
      <c r="J167" s="361"/>
      <c r="K167" s="361"/>
      <c r="L167" s="361"/>
      <c r="M167" s="362"/>
      <c r="N167" s="357"/>
    </row>
    <row r="168" spans="1:14" ht="17">
      <c r="A168" s="1"/>
      <c r="B168" s="377"/>
      <c r="C168" s="378" t="s">
        <v>263</v>
      </c>
      <c r="D168" s="379" t="s">
        <v>264</v>
      </c>
      <c r="E168" s="379" t="s">
        <v>233</v>
      </c>
      <c r="F168" s="380" t="s">
        <v>226</v>
      </c>
      <c r="G168" s="380" t="s">
        <v>231</v>
      </c>
      <c r="H168" s="380" t="s">
        <v>229</v>
      </c>
      <c r="I168" s="380" t="s">
        <v>223</v>
      </c>
      <c r="J168" s="381"/>
      <c r="K168" s="381"/>
      <c r="L168" s="381"/>
      <c r="M168" s="382"/>
      <c r="N168" s="357"/>
    </row>
    <row r="169" spans="1:14">
      <c r="A169" s="1"/>
      <c r="B169" s="383"/>
      <c r="C169" s="384" t="s">
        <v>265</v>
      </c>
      <c r="D169" s="385">
        <v>35736</v>
      </c>
      <c r="E169" s="385">
        <v>36098</v>
      </c>
      <c r="F169" s="385">
        <v>35950</v>
      </c>
      <c r="G169" s="385">
        <v>36062</v>
      </c>
      <c r="H169" s="385">
        <v>36250</v>
      </c>
      <c r="I169" s="385">
        <v>35867</v>
      </c>
      <c r="J169" s="386"/>
      <c r="K169" s="386"/>
      <c r="L169" s="386"/>
      <c r="M169" s="387"/>
      <c r="N169" s="357"/>
    </row>
    <row r="170" spans="1:14">
      <c r="A170" s="1"/>
      <c r="B170" s="357"/>
      <c r="C170" s="295" t="s">
        <v>266</v>
      </c>
      <c r="D170" s="388">
        <v>35867</v>
      </c>
      <c r="E170" s="388">
        <v>36250</v>
      </c>
      <c r="F170" s="388">
        <v>36062</v>
      </c>
      <c r="G170" s="388">
        <v>36098</v>
      </c>
      <c r="H170" s="388"/>
      <c r="I170" s="388">
        <v>35950</v>
      </c>
      <c r="J170" s="389"/>
      <c r="K170" s="389"/>
      <c r="L170" s="389"/>
      <c r="M170" s="390"/>
      <c r="N170" s="357"/>
    </row>
    <row r="171" spans="1:14">
      <c r="A171" s="1"/>
      <c r="B171" s="357"/>
      <c r="C171" s="391" t="s">
        <v>267</v>
      </c>
      <c r="D171" s="392">
        <f>D170-D169</f>
        <v>131</v>
      </c>
      <c r="E171" s="393">
        <f>E170-E169</f>
        <v>152</v>
      </c>
      <c r="F171" s="393">
        <f>F170-F169</f>
        <v>112</v>
      </c>
      <c r="G171" s="393">
        <f>G170-G169</f>
        <v>36</v>
      </c>
      <c r="H171" s="393"/>
      <c r="I171" s="393">
        <f>I170-I169</f>
        <v>83</v>
      </c>
      <c r="J171" s="394"/>
      <c r="K171" s="394"/>
      <c r="L171" s="394"/>
      <c r="M171" s="357"/>
      <c r="N171" s="357"/>
    </row>
    <row r="172" spans="1:14">
      <c r="A172" s="1"/>
      <c r="B172" s="395"/>
      <c r="C172" s="395"/>
      <c r="D172" s="395"/>
      <c r="E172" s="395"/>
      <c r="F172" s="395"/>
      <c r="G172" s="395"/>
      <c r="H172" s="395"/>
      <c r="I172" s="395"/>
      <c r="J172" s="395"/>
      <c r="K172" s="395"/>
      <c r="L172" s="395"/>
      <c r="M172" s="395"/>
      <c r="N172" s="1"/>
    </row>
    <row r="173" spans="1:14">
      <c r="C173" s="130" t="s">
        <v>268</v>
      </c>
      <c r="D173" s="132">
        <f t="shared" ref="D173:J173" si="1">COUNT(D125:D163)</f>
        <v>39</v>
      </c>
      <c r="E173" s="132">
        <f t="shared" si="1"/>
        <v>39</v>
      </c>
      <c r="F173" s="132">
        <f t="shared" si="1"/>
        <v>39</v>
      </c>
      <c r="G173" s="132">
        <f t="shared" si="1"/>
        <v>39</v>
      </c>
      <c r="H173" s="132">
        <f t="shared" si="1"/>
        <v>39</v>
      </c>
      <c r="I173" s="132">
        <f t="shared" si="1"/>
        <v>38</v>
      </c>
      <c r="J173" s="132">
        <f t="shared" si="1"/>
        <v>39</v>
      </c>
      <c r="M173" s="133">
        <f>SUM(D173:L173)</f>
        <v>272</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95"/>
  <sheetViews>
    <sheetView zoomScale="87" zoomScaleNormal="87" workbookViewId="0">
      <selection activeCell="J186" sqref="J186"/>
    </sheetView>
  </sheetViews>
  <sheetFormatPr baseColWidth="10" defaultColWidth="8.7109375" defaultRowHeight="16"/>
  <cols>
    <col min="1" max="1" width="2.7109375" style="134" customWidth="1"/>
    <col min="2" max="2" width="11.7109375" style="134" customWidth="1"/>
    <col min="3" max="256" width="9.7109375" style="134" customWidth="1"/>
  </cols>
  <sheetData>
    <row r="1" spans="1:15" ht="18">
      <c r="A1" s="1"/>
      <c r="B1" s="135" t="s">
        <v>269</v>
      </c>
      <c r="C1" s="135"/>
      <c r="D1" s="135"/>
      <c r="E1" s="135"/>
      <c r="F1" s="135"/>
      <c r="G1" s="135"/>
      <c r="H1" s="135"/>
      <c r="I1" s="135"/>
      <c r="J1" s="135"/>
      <c r="K1" s="135"/>
      <c r="L1" s="135"/>
      <c r="M1" s="135"/>
      <c r="N1" s="135"/>
      <c r="O1" s="1"/>
    </row>
    <row r="2" spans="1:15">
      <c r="A2" s="1"/>
      <c r="B2" s="136"/>
      <c r="C2" s="396" t="s">
        <v>270</v>
      </c>
      <c r="D2" s="397"/>
      <c r="E2" s="396"/>
      <c r="F2" s="396"/>
      <c r="G2" s="396"/>
      <c r="H2" s="396"/>
      <c r="I2" s="396"/>
      <c r="J2" s="397" t="s">
        <v>271</v>
      </c>
      <c r="K2" s="137"/>
      <c r="L2" s="396"/>
      <c r="M2" s="396"/>
      <c r="N2" s="396"/>
      <c r="O2" s="357"/>
    </row>
    <row r="3" spans="1:15" ht="34">
      <c r="A3" s="1"/>
      <c r="B3" s="398" t="s">
        <v>272</v>
      </c>
      <c r="C3" s="399" t="s">
        <v>273</v>
      </c>
      <c r="D3" s="398" t="s">
        <v>183</v>
      </c>
      <c r="E3" s="399" t="s">
        <v>80</v>
      </c>
      <c r="F3" s="399" t="s">
        <v>274</v>
      </c>
      <c r="G3" s="399" t="s">
        <v>275</v>
      </c>
      <c r="H3" s="400" t="s">
        <v>276</v>
      </c>
      <c r="I3" s="399" t="s">
        <v>189</v>
      </c>
      <c r="J3" s="398" t="s">
        <v>80</v>
      </c>
      <c r="K3" s="399" t="s">
        <v>274</v>
      </c>
      <c r="L3" s="399" t="s">
        <v>275</v>
      </c>
      <c r="M3" s="400" t="s">
        <v>276</v>
      </c>
      <c r="N3" s="399" t="s">
        <v>189</v>
      </c>
      <c r="O3" s="357"/>
    </row>
    <row r="4" spans="1:15">
      <c r="A4" s="1"/>
      <c r="B4" s="401">
        <v>35943</v>
      </c>
      <c r="C4" s="402">
        <v>60</v>
      </c>
      <c r="D4" s="403">
        <v>8.4</v>
      </c>
      <c r="E4" s="404">
        <v>8</v>
      </c>
      <c r="F4" s="404">
        <v>5.6</v>
      </c>
      <c r="G4" s="404">
        <v>5.6</v>
      </c>
      <c r="H4" s="404"/>
      <c r="I4" s="404">
        <v>4.9000000000000004</v>
      </c>
      <c r="J4" s="405">
        <f t="shared" ref="J4:J35" si="0">IF(OR(COUNT($D4)=0,COUNT(E4)=0),"--",($D4-E4)/$D4*100)</f>
        <v>4.7619047619047654</v>
      </c>
      <c r="K4" s="406">
        <f t="shared" ref="K4:K35" si="1">IF(OR(COUNT($D4)=0,COUNT(F4)=0),"--",($D4-F4)/$D4*100)</f>
        <v>33.333333333333343</v>
      </c>
      <c r="L4" s="406">
        <f t="shared" ref="L4:L35" si="2">IF(OR(COUNT($D4)=0,COUNT(G4)=0),"--",($D4-G4)/$D4*100)</f>
        <v>33.333333333333343</v>
      </c>
      <c r="M4" s="406" t="str">
        <f t="shared" ref="M4:M35" si="3">IF(OR(COUNT($D4)=0,COUNT(H4)=0),"--",($D4-H4)/$D4*100)</f>
        <v>--</v>
      </c>
      <c r="N4" s="406">
        <f t="shared" ref="N4:N35" si="4">IF(OR(COUNT($D4)=0,COUNT(I4)=0),"--",($D4-I4)/$D4*100)</f>
        <v>41.666666666666664</v>
      </c>
      <c r="O4" s="357"/>
    </row>
    <row r="5" spans="1:15">
      <c r="A5" s="1"/>
      <c r="B5" s="407">
        <v>35950</v>
      </c>
      <c r="C5" s="392">
        <v>55</v>
      </c>
      <c r="D5" s="408">
        <v>7.4</v>
      </c>
      <c r="E5" s="409">
        <v>7.2</v>
      </c>
      <c r="F5" s="409">
        <v>4.9000000000000004</v>
      </c>
      <c r="G5" s="409">
        <v>4.5999999999999996</v>
      </c>
      <c r="H5" s="409"/>
      <c r="I5" s="409">
        <v>4.5999999999999996</v>
      </c>
      <c r="J5" s="410">
        <f t="shared" si="0"/>
        <v>2.7027027027027049</v>
      </c>
      <c r="K5" s="411">
        <f t="shared" si="1"/>
        <v>33.783783783783782</v>
      </c>
      <c r="L5" s="411">
        <f t="shared" si="2"/>
        <v>37.837837837837846</v>
      </c>
      <c r="M5" s="411" t="str">
        <f t="shared" si="3"/>
        <v>--</v>
      </c>
      <c r="N5" s="411">
        <f t="shared" si="4"/>
        <v>37.837837837837846</v>
      </c>
      <c r="O5" s="357"/>
    </row>
    <row r="6" spans="1:15">
      <c r="A6" s="1"/>
      <c r="B6" s="407">
        <v>35984</v>
      </c>
      <c r="C6" s="392">
        <v>75</v>
      </c>
      <c r="D6" s="408">
        <v>7.2</v>
      </c>
      <c r="E6" s="409">
        <v>7.6</v>
      </c>
      <c r="F6" s="409">
        <v>4.4000000000000004</v>
      </c>
      <c r="G6" s="409">
        <v>4.3</v>
      </c>
      <c r="H6" s="409">
        <v>4.0999999999999996</v>
      </c>
      <c r="I6" s="409">
        <v>1.4</v>
      </c>
      <c r="J6" s="410">
        <f t="shared" si="0"/>
        <v>-5.5555555555555483</v>
      </c>
      <c r="K6" s="411">
        <f t="shared" si="1"/>
        <v>38.888888888888886</v>
      </c>
      <c r="L6" s="411">
        <f t="shared" si="2"/>
        <v>40.277777777777779</v>
      </c>
      <c r="M6" s="411">
        <f t="shared" si="3"/>
        <v>43.055555555555564</v>
      </c>
      <c r="N6" s="411">
        <f t="shared" si="4"/>
        <v>80.555555555555557</v>
      </c>
      <c r="O6" s="357"/>
    </row>
    <row r="7" spans="1:15">
      <c r="A7" s="1"/>
      <c r="B7" s="407">
        <v>35991</v>
      </c>
      <c r="C7" s="392">
        <v>75</v>
      </c>
      <c r="D7" s="408">
        <v>7.8</v>
      </c>
      <c r="E7" s="409">
        <v>7.4</v>
      </c>
      <c r="F7" s="409">
        <v>5.2</v>
      </c>
      <c r="G7" s="409">
        <v>4.2</v>
      </c>
      <c r="H7" s="409">
        <v>4.0999999999999996</v>
      </c>
      <c r="I7" s="409">
        <v>1.6</v>
      </c>
      <c r="J7" s="410">
        <f t="shared" si="0"/>
        <v>5.1282051282051215</v>
      </c>
      <c r="K7" s="411">
        <f t="shared" si="1"/>
        <v>33.333333333333329</v>
      </c>
      <c r="L7" s="411">
        <f t="shared" si="2"/>
        <v>46.153846153846153</v>
      </c>
      <c r="M7" s="411">
        <f t="shared" si="3"/>
        <v>47.435897435897438</v>
      </c>
      <c r="N7" s="411">
        <f t="shared" si="4"/>
        <v>79.487179487179489</v>
      </c>
      <c r="O7" s="357"/>
    </row>
    <row r="8" spans="1:15">
      <c r="A8" s="1"/>
      <c r="B8" s="407">
        <v>35998</v>
      </c>
      <c r="C8" s="392">
        <v>80</v>
      </c>
      <c r="D8" s="408">
        <v>7.6</v>
      </c>
      <c r="E8" s="409">
        <v>7.9</v>
      </c>
      <c r="F8" s="409">
        <v>5.2</v>
      </c>
      <c r="G8" s="409">
        <v>4.2</v>
      </c>
      <c r="H8" s="409">
        <v>4</v>
      </c>
      <c r="I8" s="409">
        <v>1.8</v>
      </c>
      <c r="J8" s="410">
        <f t="shared" si="0"/>
        <v>-3.9473684210526412</v>
      </c>
      <c r="K8" s="411">
        <f t="shared" si="1"/>
        <v>31.578947368421044</v>
      </c>
      <c r="L8" s="411">
        <f t="shared" si="2"/>
        <v>44.73684210526315</v>
      </c>
      <c r="M8" s="411">
        <f t="shared" si="3"/>
        <v>47.368421052631575</v>
      </c>
      <c r="N8" s="411">
        <f t="shared" si="4"/>
        <v>76.31578947368422</v>
      </c>
      <c r="O8" s="357"/>
    </row>
    <row r="9" spans="1:15">
      <c r="A9" s="1"/>
      <c r="B9" s="407">
        <v>36005</v>
      </c>
      <c r="C9" s="392">
        <v>85</v>
      </c>
      <c r="D9" s="408">
        <v>8</v>
      </c>
      <c r="E9" s="409">
        <v>8.1</v>
      </c>
      <c r="F9" s="409">
        <v>4.2</v>
      </c>
      <c r="G9" s="409">
        <v>4.3</v>
      </c>
      <c r="H9" s="409">
        <v>4.3</v>
      </c>
      <c r="I9" s="409">
        <v>2.5</v>
      </c>
      <c r="J9" s="410">
        <f t="shared" si="0"/>
        <v>-1.2499999999999956</v>
      </c>
      <c r="K9" s="411">
        <f t="shared" si="1"/>
        <v>47.5</v>
      </c>
      <c r="L9" s="411">
        <f t="shared" si="2"/>
        <v>46.25</v>
      </c>
      <c r="M9" s="411">
        <f t="shared" si="3"/>
        <v>46.25</v>
      </c>
      <c r="N9" s="411">
        <f t="shared" si="4"/>
        <v>68.75</v>
      </c>
      <c r="O9" s="357"/>
    </row>
    <row r="10" spans="1:15">
      <c r="A10" s="1"/>
      <c r="B10" s="407">
        <v>36013</v>
      </c>
      <c r="C10" s="392">
        <v>90</v>
      </c>
      <c r="D10" s="408">
        <v>8.6</v>
      </c>
      <c r="E10" s="409">
        <v>9.1999999999999993</v>
      </c>
      <c r="F10" s="409">
        <v>4.5999999999999996</v>
      </c>
      <c r="G10" s="409">
        <v>4.4000000000000004</v>
      </c>
      <c r="H10" s="409">
        <v>4.5</v>
      </c>
      <c r="I10" s="409">
        <v>2.2000000000000002</v>
      </c>
      <c r="J10" s="410">
        <f t="shared" si="0"/>
        <v>-6.9767441860465071</v>
      </c>
      <c r="K10" s="411">
        <f t="shared" si="1"/>
        <v>46.511627906976742</v>
      </c>
      <c r="L10" s="411">
        <f t="shared" si="2"/>
        <v>48.837209302325576</v>
      </c>
      <c r="M10" s="411">
        <f t="shared" si="3"/>
        <v>47.674418604651159</v>
      </c>
      <c r="N10" s="411">
        <f t="shared" si="4"/>
        <v>74.418604651162795</v>
      </c>
      <c r="O10" s="357"/>
    </row>
    <row r="11" spans="1:15">
      <c r="A11" s="1"/>
      <c r="B11" s="407">
        <v>36019</v>
      </c>
      <c r="C11" s="392">
        <v>90</v>
      </c>
      <c r="D11" s="408">
        <v>8.4</v>
      </c>
      <c r="E11" s="409">
        <v>8.6</v>
      </c>
      <c r="F11" s="409">
        <v>4.8</v>
      </c>
      <c r="G11" s="409">
        <v>4.5999999999999996</v>
      </c>
      <c r="H11" s="409">
        <v>4.7</v>
      </c>
      <c r="I11" s="409">
        <v>2.9</v>
      </c>
      <c r="J11" s="410">
        <f t="shared" si="0"/>
        <v>-2.3809523809523725</v>
      </c>
      <c r="K11" s="411">
        <f t="shared" si="1"/>
        <v>42.857142857142861</v>
      </c>
      <c r="L11" s="411">
        <f t="shared" si="2"/>
        <v>45.238095238095241</v>
      </c>
      <c r="M11" s="411">
        <f t="shared" si="3"/>
        <v>44.047619047619044</v>
      </c>
      <c r="N11" s="411">
        <f t="shared" si="4"/>
        <v>65.476190476190482</v>
      </c>
      <c r="O11" s="357"/>
    </row>
    <row r="12" spans="1:15">
      <c r="A12" s="1"/>
      <c r="B12" s="407">
        <v>36026</v>
      </c>
      <c r="C12" s="392">
        <v>90</v>
      </c>
      <c r="D12" s="408">
        <v>9</v>
      </c>
      <c r="E12" s="409">
        <v>9.6</v>
      </c>
      <c r="F12" s="409">
        <v>4.7</v>
      </c>
      <c r="G12" s="409">
        <v>4.5</v>
      </c>
      <c r="H12" s="409">
        <v>4.5</v>
      </c>
      <c r="I12" s="409">
        <v>1.7</v>
      </c>
      <c r="J12" s="410">
        <f t="shared" si="0"/>
        <v>-6.6666666666666625</v>
      </c>
      <c r="K12" s="411">
        <f t="shared" si="1"/>
        <v>47.777777777777771</v>
      </c>
      <c r="L12" s="411">
        <f t="shared" si="2"/>
        <v>50</v>
      </c>
      <c r="M12" s="411">
        <f t="shared" si="3"/>
        <v>50</v>
      </c>
      <c r="N12" s="411">
        <f t="shared" si="4"/>
        <v>81.111111111111114</v>
      </c>
      <c r="O12" s="357"/>
    </row>
    <row r="13" spans="1:15">
      <c r="A13" s="1"/>
      <c r="B13" s="407">
        <v>36033</v>
      </c>
      <c r="C13" s="392">
        <v>90</v>
      </c>
      <c r="D13" s="408">
        <v>9.1999999999999993</v>
      </c>
      <c r="E13" s="409">
        <v>9</v>
      </c>
      <c r="F13" s="409">
        <v>4.5</v>
      </c>
      <c r="G13" s="409">
        <v>4.5</v>
      </c>
      <c r="H13" s="409">
        <v>4.3</v>
      </c>
      <c r="I13" s="409">
        <v>2.2000000000000002</v>
      </c>
      <c r="J13" s="410">
        <f t="shared" si="0"/>
        <v>2.1739130434782532</v>
      </c>
      <c r="K13" s="411">
        <f t="shared" si="1"/>
        <v>51.086956521739125</v>
      </c>
      <c r="L13" s="411">
        <f t="shared" si="2"/>
        <v>51.086956521739125</v>
      </c>
      <c r="M13" s="411">
        <f t="shared" si="3"/>
        <v>53.260869565217398</v>
      </c>
      <c r="N13" s="411">
        <f t="shared" si="4"/>
        <v>76.086956521739125</v>
      </c>
      <c r="O13" s="357"/>
    </row>
    <row r="14" spans="1:15">
      <c r="A14" s="1"/>
      <c r="B14" s="407">
        <v>36040</v>
      </c>
      <c r="C14" s="392">
        <v>90</v>
      </c>
      <c r="D14" s="408">
        <v>9.1999999999999993</v>
      </c>
      <c r="E14" s="409">
        <v>9.1999999999999993</v>
      </c>
      <c r="F14" s="409">
        <v>4.5999999999999996</v>
      </c>
      <c r="G14" s="409">
        <v>4.5</v>
      </c>
      <c r="H14" s="409">
        <v>4.4000000000000004</v>
      </c>
      <c r="I14" s="409">
        <v>2.2000000000000002</v>
      </c>
      <c r="J14" s="410">
        <f t="shared" si="0"/>
        <v>0</v>
      </c>
      <c r="K14" s="411">
        <f t="shared" si="1"/>
        <v>50</v>
      </c>
      <c r="L14" s="411">
        <f t="shared" si="2"/>
        <v>51.086956521739125</v>
      </c>
      <c r="M14" s="411">
        <f t="shared" si="3"/>
        <v>52.173913043478251</v>
      </c>
      <c r="N14" s="411">
        <f t="shared" si="4"/>
        <v>76.086956521739125</v>
      </c>
      <c r="O14" s="357"/>
    </row>
    <row r="15" spans="1:15">
      <c r="A15" s="1"/>
      <c r="B15" s="407">
        <v>36047</v>
      </c>
      <c r="C15" s="392">
        <v>100</v>
      </c>
      <c r="D15" s="408">
        <v>9.8000000000000007</v>
      </c>
      <c r="E15" s="409">
        <v>10.6</v>
      </c>
      <c r="F15" s="409">
        <v>5</v>
      </c>
      <c r="G15" s="409">
        <v>4.8</v>
      </c>
      <c r="H15" s="409">
        <v>4.8</v>
      </c>
      <c r="I15" s="409">
        <v>2.6</v>
      </c>
      <c r="J15" s="410">
        <f t="shared" si="0"/>
        <v>-8.1632653061224367</v>
      </c>
      <c r="K15" s="411">
        <f t="shared" si="1"/>
        <v>48.979591836734699</v>
      </c>
      <c r="L15" s="411">
        <f t="shared" si="2"/>
        <v>51.020408163265309</v>
      </c>
      <c r="M15" s="411">
        <f t="shared" si="3"/>
        <v>51.020408163265309</v>
      </c>
      <c r="N15" s="411">
        <f t="shared" si="4"/>
        <v>73.469387755102048</v>
      </c>
      <c r="O15" s="357"/>
    </row>
    <row r="16" spans="1:15">
      <c r="A16" s="1"/>
      <c r="B16" s="407">
        <v>36054</v>
      </c>
      <c r="C16" s="392">
        <v>90</v>
      </c>
      <c r="D16" s="408">
        <v>10.4</v>
      </c>
      <c r="E16" s="409">
        <v>10.199999999999999</v>
      </c>
      <c r="F16" s="409">
        <v>5.3</v>
      </c>
      <c r="G16" s="409">
        <v>5.2</v>
      </c>
      <c r="H16" s="409">
        <v>4.9000000000000004</v>
      </c>
      <c r="I16" s="409">
        <v>2.8</v>
      </c>
      <c r="J16" s="410">
        <f t="shared" si="0"/>
        <v>1.9230769230769333</v>
      </c>
      <c r="K16" s="411">
        <f t="shared" si="1"/>
        <v>49.03846153846154</v>
      </c>
      <c r="L16" s="411">
        <f t="shared" si="2"/>
        <v>50</v>
      </c>
      <c r="M16" s="411">
        <f t="shared" si="3"/>
        <v>52.884615384615387</v>
      </c>
      <c r="N16" s="411">
        <f t="shared" si="4"/>
        <v>73.07692307692308</v>
      </c>
      <c r="O16" s="357"/>
    </row>
    <row r="17" spans="1:15">
      <c r="A17" s="1"/>
      <c r="B17" s="407">
        <v>36061</v>
      </c>
      <c r="C17" s="392">
        <v>80</v>
      </c>
      <c r="D17" s="408">
        <v>9.4</v>
      </c>
      <c r="E17" s="409">
        <v>10.4</v>
      </c>
      <c r="F17" s="409">
        <v>4.9000000000000004</v>
      </c>
      <c r="G17" s="409">
        <v>4.7</v>
      </c>
      <c r="H17" s="409">
        <v>4.9000000000000004</v>
      </c>
      <c r="I17" s="409">
        <v>2.9</v>
      </c>
      <c r="J17" s="410">
        <f t="shared" si="0"/>
        <v>-10.638297872340425</v>
      </c>
      <c r="K17" s="411">
        <f t="shared" si="1"/>
        <v>47.87234042553191</v>
      </c>
      <c r="L17" s="411">
        <f t="shared" si="2"/>
        <v>50</v>
      </c>
      <c r="M17" s="411">
        <f t="shared" si="3"/>
        <v>47.87234042553191</v>
      </c>
      <c r="N17" s="411">
        <f t="shared" si="4"/>
        <v>69.148936170212764</v>
      </c>
      <c r="O17" s="357"/>
    </row>
    <row r="18" spans="1:15">
      <c r="A18" s="1"/>
      <c r="B18" s="407">
        <v>36068</v>
      </c>
      <c r="C18" s="392">
        <v>75</v>
      </c>
      <c r="D18" s="408">
        <v>10</v>
      </c>
      <c r="E18" s="409">
        <v>9.8000000000000007</v>
      </c>
      <c r="F18" s="409">
        <v>5.7</v>
      </c>
      <c r="G18" s="409">
        <v>5.5</v>
      </c>
      <c r="H18" s="409">
        <v>5.4</v>
      </c>
      <c r="I18" s="409">
        <v>3.7</v>
      </c>
      <c r="J18" s="410">
        <f t="shared" si="0"/>
        <v>1.9999999999999927</v>
      </c>
      <c r="K18" s="411">
        <f t="shared" si="1"/>
        <v>43</v>
      </c>
      <c r="L18" s="411">
        <f t="shared" si="2"/>
        <v>45</v>
      </c>
      <c r="M18" s="411">
        <f t="shared" si="3"/>
        <v>46</v>
      </c>
      <c r="N18" s="411">
        <f t="shared" si="4"/>
        <v>63</v>
      </c>
      <c r="O18" s="357"/>
    </row>
    <row r="19" spans="1:15">
      <c r="A19" s="1"/>
      <c r="B19" s="407">
        <v>36075</v>
      </c>
      <c r="C19" s="392">
        <v>55</v>
      </c>
      <c r="D19" s="408">
        <v>9</v>
      </c>
      <c r="E19" s="409">
        <v>9.1999999999999993</v>
      </c>
      <c r="F19" s="409">
        <v>5.8</v>
      </c>
      <c r="G19" s="409">
        <v>5.5</v>
      </c>
      <c r="H19" s="409">
        <v>5.7</v>
      </c>
      <c r="I19" s="409">
        <v>3.9</v>
      </c>
      <c r="J19" s="410">
        <f t="shared" si="0"/>
        <v>-2.2222222222222143</v>
      </c>
      <c r="K19" s="411">
        <f t="shared" si="1"/>
        <v>35.555555555555557</v>
      </c>
      <c r="L19" s="411">
        <f t="shared" si="2"/>
        <v>38.888888888888893</v>
      </c>
      <c r="M19" s="411">
        <f t="shared" si="3"/>
        <v>36.666666666666664</v>
      </c>
      <c r="N19" s="411">
        <f t="shared" si="4"/>
        <v>56.666666666666664</v>
      </c>
      <c r="O19" s="357"/>
    </row>
    <row r="20" spans="1:15">
      <c r="A20" s="1"/>
      <c r="B20" s="407">
        <v>36082</v>
      </c>
      <c r="C20" s="392">
        <v>50</v>
      </c>
      <c r="D20" s="408">
        <v>10.6</v>
      </c>
      <c r="E20" s="409">
        <v>11.4</v>
      </c>
      <c r="F20" s="409">
        <v>5.6</v>
      </c>
      <c r="G20" s="409">
        <v>5.5</v>
      </c>
      <c r="H20" s="409">
        <v>5.5</v>
      </c>
      <c r="I20" s="409">
        <v>3.9</v>
      </c>
      <c r="J20" s="410">
        <f t="shared" si="0"/>
        <v>-7.547169811320761</v>
      </c>
      <c r="K20" s="411">
        <f t="shared" si="1"/>
        <v>47.169811320754718</v>
      </c>
      <c r="L20" s="411">
        <f t="shared" si="2"/>
        <v>48.113207547169814</v>
      </c>
      <c r="M20" s="411">
        <f t="shared" si="3"/>
        <v>48.113207547169814</v>
      </c>
      <c r="N20" s="411">
        <f t="shared" si="4"/>
        <v>63.20754716981132</v>
      </c>
      <c r="O20" s="357"/>
    </row>
    <row r="21" spans="1:15">
      <c r="A21" s="1"/>
      <c r="B21" s="407">
        <v>36096</v>
      </c>
      <c r="C21" s="392">
        <v>55</v>
      </c>
      <c r="D21" s="408">
        <v>8.8000000000000007</v>
      </c>
      <c r="E21" s="409">
        <v>9.6</v>
      </c>
      <c r="F21" s="409">
        <v>5.6</v>
      </c>
      <c r="G21" s="409">
        <v>5.4</v>
      </c>
      <c r="H21" s="409">
        <v>5.4</v>
      </c>
      <c r="I21" s="409">
        <v>3.5</v>
      </c>
      <c r="J21" s="410">
        <f t="shared" si="0"/>
        <v>-9.0909090909090793</v>
      </c>
      <c r="K21" s="411">
        <f t="shared" si="1"/>
        <v>36.363636363636367</v>
      </c>
      <c r="L21" s="411">
        <f t="shared" si="2"/>
        <v>38.636363636363633</v>
      </c>
      <c r="M21" s="411">
        <f t="shared" si="3"/>
        <v>38.636363636363633</v>
      </c>
      <c r="N21" s="411">
        <f t="shared" si="4"/>
        <v>60.227272727272727</v>
      </c>
      <c r="O21" s="357"/>
    </row>
    <row r="22" spans="1:15">
      <c r="A22" s="1"/>
      <c r="B22" s="407">
        <v>36103</v>
      </c>
      <c r="C22" s="392">
        <v>65</v>
      </c>
      <c r="D22" s="408">
        <v>8</v>
      </c>
      <c r="E22" s="409">
        <v>8</v>
      </c>
      <c r="F22" s="409">
        <v>5</v>
      </c>
      <c r="G22" s="409">
        <v>5.0999999999999996</v>
      </c>
      <c r="H22" s="409">
        <v>5.2</v>
      </c>
      <c r="I22" s="409">
        <v>3.7</v>
      </c>
      <c r="J22" s="410">
        <f t="shared" si="0"/>
        <v>0</v>
      </c>
      <c r="K22" s="411">
        <f t="shared" si="1"/>
        <v>37.5</v>
      </c>
      <c r="L22" s="411">
        <f t="shared" si="2"/>
        <v>36.250000000000007</v>
      </c>
      <c r="M22" s="411">
        <f t="shared" si="3"/>
        <v>35</v>
      </c>
      <c r="N22" s="411">
        <f t="shared" si="4"/>
        <v>53.75</v>
      </c>
      <c r="O22" s="357"/>
    </row>
    <row r="23" spans="1:15">
      <c r="A23" s="1"/>
      <c r="B23" s="407">
        <v>36111</v>
      </c>
      <c r="C23" s="392">
        <v>65</v>
      </c>
      <c r="D23" s="408">
        <v>7.8</v>
      </c>
      <c r="E23" s="409">
        <v>8</v>
      </c>
      <c r="F23" s="409">
        <v>5</v>
      </c>
      <c r="G23" s="409">
        <v>4.9000000000000004</v>
      </c>
      <c r="H23" s="409">
        <v>4.8</v>
      </c>
      <c r="I23" s="409">
        <v>3.7</v>
      </c>
      <c r="J23" s="410">
        <f t="shared" si="0"/>
        <v>-2.5641025641025665</v>
      </c>
      <c r="K23" s="411">
        <f t="shared" si="1"/>
        <v>35.897435897435898</v>
      </c>
      <c r="L23" s="411">
        <f t="shared" si="2"/>
        <v>37.179487179487175</v>
      </c>
      <c r="M23" s="411">
        <f t="shared" si="3"/>
        <v>38.461538461538467</v>
      </c>
      <c r="N23" s="411">
        <f t="shared" si="4"/>
        <v>52.564102564102569</v>
      </c>
      <c r="O23" s="357"/>
    </row>
    <row r="24" spans="1:15">
      <c r="A24" s="1"/>
      <c r="B24" s="407">
        <v>36116</v>
      </c>
      <c r="C24" s="392">
        <v>65</v>
      </c>
      <c r="D24" s="408">
        <v>8.1999999999999993</v>
      </c>
      <c r="E24" s="409">
        <v>8.4</v>
      </c>
      <c r="F24" s="409">
        <v>5.3</v>
      </c>
      <c r="G24" s="409">
        <v>5.2</v>
      </c>
      <c r="H24" s="409">
        <v>5.3</v>
      </c>
      <c r="I24" s="409">
        <v>4</v>
      </c>
      <c r="J24" s="410">
        <f t="shared" si="0"/>
        <v>-2.4390243902439157</v>
      </c>
      <c r="K24" s="411">
        <f t="shared" si="1"/>
        <v>35.365853658536587</v>
      </c>
      <c r="L24" s="411">
        <f t="shared" si="2"/>
        <v>36.58536585365853</v>
      </c>
      <c r="M24" s="411">
        <f t="shared" si="3"/>
        <v>35.365853658536587</v>
      </c>
      <c r="N24" s="411">
        <f t="shared" si="4"/>
        <v>51.219512195121951</v>
      </c>
      <c r="O24" s="357"/>
    </row>
    <row r="25" spans="1:15">
      <c r="A25" s="1"/>
      <c r="B25" s="407">
        <v>36124</v>
      </c>
      <c r="C25" s="392">
        <v>55</v>
      </c>
      <c r="D25" s="408">
        <v>7.6</v>
      </c>
      <c r="E25" s="409">
        <v>7.6</v>
      </c>
      <c r="F25" s="409">
        <v>5.0999999999999996</v>
      </c>
      <c r="G25" s="409">
        <v>4.9000000000000004</v>
      </c>
      <c r="H25" s="409">
        <v>4.5999999999999996</v>
      </c>
      <c r="I25" s="409">
        <v>4</v>
      </c>
      <c r="J25" s="410">
        <f t="shared" si="0"/>
        <v>0</v>
      </c>
      <c r="K25" s="411">
        <f t="shared" si="1"/>
        <v>32.894736842105267</v>
      </c>
      <c r="L25" s="411">
        <f t="shared" si="2"/>
        <v>35.526315789473678</v>
      </c>
      <c r="M25" s="411">
        <f t="shared" si="3"/>
        <v>39.473684210526315</v>
      </c>
      <c r="N25" s="411">
        <f t="shared" si="4"/>
        <v>47.368421052631575</v>
      </c>
      <c r="O25" s="357"/>
    </row>
    <row r="26" spans="1:15">
      <c r="A26" s="1"/>
      <c r="B26" s="407">
        <v>36131</v>
      </c>
      <c r="C26" s="392">
        <v>60</v>
      </c>
      <c r="D26" s="408">
        <v>7.8</v>
      </c>
      <c r="E26" s="409">
        <v>7.8</v>
      </c>
      <c r="F26" s="409">
        <v>4.8</v>
      </c>
      <c r="G26" s="409">
        <v>4.9000000000000004</v>
      </c>
      <c r="H26" s="409">
        <v>4.8</v>
      </c>
      <c r="I26" s="409"/>
      <c r="J26" s="410">
        <f t="shared" si="0"/>
        <v>0</v>
      </c>
      <c r="K26" s="411">
        <f t="shared" si="1"/>
        <v>38.461538461538467</v>
      </c>
      <c r="L26" s="411">
        <f t="shared" si="2"/>
        <v>37.179487179487175</v>
      </c>
      <c r="M26" s="411">
        <f t="shared" si="3"/>
        <v>38.461538461538467</v>
      </c>
      <c r="N26" s="411" t="str">
        <f t="shared" si="4"/>
        <v>--</v>
      </c>
      <c r="O26" s="357"/>
    </row>
    <row r="27" spans="1:15">
      <c r="A27" s="1"/>
      <c r="B27" s="407">
        <v>36138</v>
      </c>
      <c r="C27" s="392">
        <v>55</v>
      </c>
      <c r="D27" s="408">
        <v>8</v>
      </c>
      <c r="E27" s="409">
        <v>8</v>
      </c>
      <c r="F27" s="409">
        <v>5.3</v>
      </c>
      <c r="G27" s="409">
        <v>5.2</v>
      </c>
      <c r="H27" s="409">
        <v>5.3</v>
      </c>
      <c r="I27" s="409"/>
      <c r="J27" s="410">
        <f t="shared" si="0"/>
        <v>0</v>
      </c>
      <c r="K27" s="411">
        <f t="shared" si="1"/>
        <v>33.75</v>
      </c>
      <c r="L27" s="411">
        <f t="shared" si="2"/>
        <v>35</v>
      </c>
      <c r="M27" s="411">
        <f t="shared" si="3"/>
        <v>33.75</v>
      </c>
      <c r="N27" s="411" t="str">
        <f t="shared" si="4"/>
        <v>--</v>
      </c>
      <c r="O27" s="357"/>
    </row>
    <row r="28" spans="1:15">
      <c r="A28" s="1"/>
      <c r="B28" s="407">
        <v>36145</v>
      </c>
      <c r="C28" s="392">
        <v>55</v>
      </c>
      <c r="D28" s="408">
        <v>7.8</v>
      </c>
      <c r="E28" s="409">
        <v>7.8</v>
      </c>
      <c r="F28" s="409">
        <v>5.5</v>
      </c>
      <c r="G28" s="409">
        <v>5.2</v>
      </c>
      <c r="H28" s="409">
        <v>5.0999999999999996</v>
      </c>
      <c r="I28" s="409"/>
      <c r="J28" s="410">
        <f t="shared" si="0"/>
        <v>0</v>
      </c>
      <c r="K28" s="411">
        <f t="shared" si="1"/>
        <v>29.487179487179489</v>
      </c>
      <c r="L28" s="411">
        <f t="shared" si="2"/>
        <v>33.333333333333329</v>
      </c>
      <c r="M28" s="411">
        <f t="shared" si="3"/>
        <v>34.61538461538462</v>
      </c>
      <c r="N28" s="411" t="str">
        <f t="shared" si="4"/>
        <v>--</v>
      </c>
      <c r="O28" s="357"/>
    </row>
    <row r="29" spans="1:15">
      <c r="A29" s="1"/>
      <c r="B29" s="407">
        <v>36152</v>
      </c>
      <c r="C29" s="392">
        <v>60</v>
      </c>
      <c r="D29" s="408">
        <v>7.5</v>
      </c>
      <c r="E29" s="409">
        <v>8</v>
      </c>
      <c r="F29" s="409">
        <v>5.4</v>
      </c>
      <c r="G29" s="409">
        <v>5.2</v>
      </c>
      <c r="H29" s="409">
        <v>5.0999999999999996</v>
      </c>
      <c r="I29" s="409"/>
      <c r="J29" s="410">
        <f t="shared" si="0"/>
        <v>-6.666666666666667</v>
      </c>
      <c r="K29" s="411">
        <f t="shared" si="1"/>
        <v>27.999999999999996</v>
      </c>
      <c r="L29" s="411">
        <f t="shared" si="2"/>
        <v>30.666666666666664</v>
      </c>
      <c r="M29" s="411">
        <f t="shared" si="3"/>
        <v>32.000000000000007</v>
      </c>
      <c r="N29" s="411" t="str">
        <f t="shared" si="4"/>
        <v>--</v>
      </c>
      <c r="O29" s="357"/>
    </row>
    <row r="30" spans="1:15">
      <c r="A30" s="1"/>
      <c r="B30" s="407">
        <v>36159</v>
      </c>
      <c r="C30" s="392">
        <v>60</v>
      </c>
      <c r="D30" s="408">
        <v>8</v>
      </c>
      <c r="E30" s="409">
        <v>8.4</v>
      </c>
      <c r="F30" s="409">
        <v>5.5</v>
      </c>
      <c r="G30" s="409">
        <v>5.4</v>
      </c>
      <c r="H30" s="409">
        <v>5.3</v>
      </c>
      <c r="I30" s="409"/>
      <c r="J30" s="410">
        <f t="shared" si="0"/>
        <v>-5.0000000000000044</v>
      </c>
      <c r="K30" s="411">
        <f t="shared" si="1"/>
        <v>31.25</v>
      </c>
      <c r="L30" s="411">
        <f t="shared" si="2"/>
        <v>32.499999999999993</v>
      </c>
      <c r="M30" s="411">
        <f t="shared" si="3"/>
        <v>33.75</v>
      </c>
      <c r="N30" s="411" t="str">
        <f t="shared" si="4"/>
        <v>--</v>
      </c>
      <c r="O30" s="357"/>
    </row>
    <row r="31" spans="1:15">
      <c r="A31" s="1"/>
      <c r="B31" s="407">
        <v>36164</v>
      </c>
      <c r="C31" s="392">
        <v>60</v>
      </c>
      <c r="D31" s="408">
        <v>8.4</v>
      </c>
      <c r="E31" s="409">
        <v>8.1999999999999993</v>
      </c>
      <c r="F31" s="409">
        <v>5.5</v>
      </c>
      <c r="G31" s="409">
        <v>5.4</v>
      </c>
      <c r="H31" s="409">
        <v>5.4</v>
      </c>
      <c r="I31" s="409"/>
      <c r="J31" s="410">
        <f t="shared" si="0"/>
        <v>2.3809523809523938</v>
      </c>
      <c r="K31" s="411">
        <f t="shared" si="1"/>
        <v>34.523809523809526</v>
      </c>
      <c r="L31" s="411">
        <f t="shared" si="2"/>
        <v>35.714285714285715</v>
      </c>
      <c r="M31" s="411">
        <f t="shared" si="3"/>
        <v>35.714285714285715</v>
      </c>
      <c r="N31" s="411" t="str">
        <f t="shared" si="4"/>
        <v>--</v>
      </c>
      <c r="O31" s="357"/>
    </row>
    <row r="32" spans="1:15">
      <c r="A32" s="1"/>
      <c r="B32" s="407">
        <v>36166</v>
      </c>
      <c r="C32" s="392">
        <v>60</v>
      </c>
      <c r="D32" s="408">
        <v>8.1999999999999993</v>
      </c>
      <c r="E32" s="409">
        <v>8.1999999999999993</v>
      </c>
      <c r="F32" s="409">
        <v>5.5</v>
      </c>
      <c r="G32" s="409">
        <v>5.4</v>
      </c>
      <c r="H32" s="409">
        <v>5.5</v>
      </c>
      <c r="I32" s="409"/>
      <c r="J32" s="410">
        <f t="shared" si="0"/>
        <v>0</v>
      </c>
      <c r="K32" s="411">
        <f t="shared" si="1"/>
        <v>32.926829268292678</v>
      </c>
      <c r="L32" s="411">
        <f t="shared" si="2"/>
        <v>34.146341463414629</v>
      </c>
      <c r="M32" s="411">
        <f t="shared" si="3"/>
        <v>32.926829268292678</v>
      </c>
      <c r="N32" s="411" t="str">
        <f t="shared" si="4"/>
        <v>--</v>
      </c>
      <c r="O32" s="357"/>
    </row>
    <row r="33" spans="1:15">
      <c r="A33" s="1"/>
      <c r="B33" s="407">
        <v>36173</v>
      </c>
      <c r="C33" s="392">
        <v>60</v>
      </c>
      <c r="D33" s="408">
        <v>7.1</v>
      </c>
      <c r="E33" s="409">
        <v>7</v>
      </c>
      <c r="F33" s="409">
        <v>5.2</v>
      </c>
      <c r="G33" s="409">
        <v>5.4</v>
      </c>
      <c r="H33" s="409">
        <v>5.4</v>
      </c>
      <c r="I33" s="409"/>
      <c r="J33" s="410">
        <f t="shared" si="0"/>
        <v>1.4084507042253471</v>
      </c>
      <c r="K33" s="411">
        <f t="shared" si="1"/>
        <v>26.760563380281681</v>
      </c>
      <c r="L33" s="411">
        <f t="shared" si="2"/>
        <v>23.943661971830977</v>
      </c>
      <c r="M33" s="411">
        <f t="shared" si="3"/>
        <v>23.943661971830977</v>
      </c>
      <c r="N33" s="411" t="str">
        <f t="shared" si="4"/>
        <v>--</v>
      </c>
      <c r="O33" s="357"/>
    </row>
    <row r="34" spans="1:15">
      <c r="A34" s="1"/>
      <c r="B34" s="407">
        <v>36180</v>
      </c>
      <c r="C34" s="392">
        <v>55</v>
      </c>
      <c r="D34" s="408">
        <v>8.6999999999999993</v>
      </c>
      <c r="E34" s="409">
        <v>8.1</v>
      </c>
      <c r="F34" s="409">
        <v>5.6</v>
      </c>
      <c r="G34" s="409">
        <v>5.7</v>
      </c>
      <c r="H34" s="409">
        <v>5.7</v>
      </c>
      <c r="I34" s="409"/>
      <c r="J34" s="410">
        <f t="shared" si="0"/>
        <v>6.8965517241379279</v>
      </c>
      <c r="K34" s="411">
        <f t="shared" si="1"/>
        <v>35.632183908045981</v>
      </c>
      <c r="L34" s="411">
        <f t="shared" si="2"/>
        <v>34.482758620689644</v>
      </c>
      <c r="M34" s="411">
        <f t="shared" si="3"/>
        <v>34.482758620689644</v>
      </c>
      <c r="N34" s="411" t="str">
        <f t="shared" si="4"/>
        <v>--</v>
      </c>
      <c r="O34" s="357"/>
    </row>
    <row r="35" spans="1:15">
      <c r="A35" s="1"/>
      <c r="B35" s="407">
        <v>36187</v>
      </c>
      <c r="C35" s="392">
        <v>55</v>
      </c>
      <c r="D35" s="408">
        <v>8.6</v>
      </c>
      <c r="E35" s="409">
        <v>8.1</v>
      </c>
      <c r="F35" s="409">
        <v>5.6</v>
      </c>
      <c r="G35" s="409">
        <v>5.8</v>
      </c>
      <c r="H35" s="409">
        <v>5.7</v>
      </c>
      <c r="I35" s="409"/>
      <c r="J35" s="410">
        <f t="shared" si="0"/>
        <v>5.8139534883720927</v>
      </c>
      <c r="K35" s="411">
        <f t="shared" si="1"/>
        <v>34.883720930232556</v>
      </c>
      <c r="L35" s="411">
        <f t="shared" si="2"/>
        <v>32.558139534883715</v>
      </c>
      <c r="M35" s="411">
        <f t="shared" si="3"/>
        <v>33.720930232558132</v>
      </c>
      <c r="N35" s="411" t="str">
        <f t="shared" si="4"/>
        <v>--</v>
      </c>
      <c r="O35" s="357"/>
    </row>
    <row r="36" spans="1:15">
      <c r="A36" s="1"/>
      <c r="B36" s="407">
        <v>36194</v>
      </c>
      <c r="C36" s="392">
        <v>55</v>
      </c>
      <c r="D36" s="408">
        <v>8</v>
      </c>
      <c r="E36" s="409">
        <v>8</v>
      </c>
      <c r="F36" s="409">
        <v>5.7</v>
      </c>
      <c r="G36" s="409">
        <v>5.7</v>
      </c>
      <c r="H36" s="409">
        <v>5.7</v>
      </c>
      <c r="I36" s="409"/>
      <c r="J36" s="410">
        <f t="shared" ref="J36:J67" si="5">IF(OR(COUNT($D36)=0,COUNT(E36)=0),"--",($D36-E36)/$D36*100)</f>
        <v>0</v>
      </c>
      <c r="K36" s="411">
        <f t="shared" ref="K36:K67" si="6">IF(OR(COUNT($D36)=0,COUNT(F36)=0),"--",($D36-F36)/$D36*100)</f>
        <v>28.749999999999996</v>
      </c>
      <c r="L36" s="411">
        <f t="shared" ref="L36:L67" si="7">IF(OR(COUNT($D36)=0,COUNT(G36)=0),"--",($D36-G36)/$D36*100)</f>
        <v>28.749999999999996</v>
      </c>
      <c r="M36" s="411">
        <f t="shared" ref="M36:M67" si="8">IF(OR(COUNT($D36)=0,COUNT(H36)=0),"--",($D36-H36)/$D36*100)</f>
        <v>28.749999999999996</v>
      </c>
      <c r="N36" s="411" t="str">
        <f t="shared" ref="N36:N67" si="9">IF(OR(COUNT($D36)=0,COUNT(I36)=0),"--",($D36-I36)/$D36*100)</f>
        <v>--</v>
      </c>
      <c r="O36" s="357"/>
    </row>
    <row r="37" spans="1:15">
      <c r="A37" s="1"/>
      <c r="B37" s="407">
        <v>36201</v>
      </c>
      <c r="C37" s="392">
        <v>55</v>
      </c>
      <c r="D37" s="408">
        <v>8.6999999999999993</v>
      </c>
      <c r="E37" s="409">
        <v>8.8000000000000007</v>
      </c>
      <c r="F37" s="409">
        <v>5.8</v>
      </c>
      <c r="G37" s="409">
        <v>5.8</v>
      </c>
      <c r="H37" s="409">
        <v>5.9</v>
      </c>
      <c r="I37" s="409"/>
      <c r="J37" s="410">
        <f t="shared" si="5"/>
        <v>-1.1494252873563382</v>
      </c>
      <c r="K37" s="411">
        <f t="shared" si="6"/>
        <v>33.333333333333329</v>
      </c>
      <c r="L37" s="411">
        <f t="shared" si="7"/>
        <v>33.333333333333329</v>
      </c>
      <c r="M37" s="411">
        <f t="shared" si="8"/>
        <v>32.183908045976999</v>
      </c>
      <c r="N37" s="411" t="str">
        <f t="shared" si="9"/>
        <v>--</v>
      </c>
      <c r="O37" s="357"/>
    </row>
    <row r="38" spans="1:15">
      <c r="A38" s="1"/>
      <c r="B38" s="407">
        <v>36208</v>
      </c>
      <c r="C38" s="392">
        <v>55</v>
      </c>
      <c r="D38" s="408">
        <v>8.1</v>
      </c>
      <c r="E38" s="409">
        <v>8</v>
      </c>
      <c r="F38" s="409">
        <v>5.9</v>
      </c>
      <c r="G38" s="409">
        <v>5.7</v>
      </c>
      <c r="H38" s="409">
        <v>5.6</v>
      </c>
      <c r="I38" s="409"/>
      <c r="J38" s="410">
        <f t="shared" si="5"/>
        <v>1.2345679012345634</v>
      </c>
      <c r="K38" s="411">
        <f t="shared" si="6"/>
        <v>27.160493827160487</v>
      </c>
      <c r="L38" s="411">
        <f t="shared" si="7"/>
        <v>29.629629629629623</v>
      </c>
      <c r="M38" s="411">
        <f t="shared" si="8"/>
        <v>30.864197530864203</v>
      </c>
      <c r="N38" s="411" t="str">
        <f t="shared" si="9"/>
        <v>--</v>
      </c>
      <c r="O38" s="357"/>
    </row>
    <row r="39" spans="1:15">
      <c r="A39" s="1"/>
      <c r="B39" s="407">
        <v>36214</v>
      </c>
      <c r="C39" s="392">
        <v>55</v>
      </c>
      <c r="D39" s="408">
        <v>8.5</v>
      </c>
      <c r="E39" s="409">
        <v>7.7</v>
      </c>
      <c r="F39" s="409">
        <v>6</v>
      </c>
      <c r="G39" s="409">
        <v>5.5</v>
      </c>
      <c r="H39" s="409">
        <v>5.7</v>
      </c>
      <c r="I39" s="409"/>
      <c r="J39" s="410">
        <f t="shared" si="5"/>
        <v>9.4117647058823515</v>
      </c>
      <c r="K39" s="411">
        <f t="shared" si="6"/>
        <v>29.411764705882355</v>
      </c>
      <c r="L39" s="411">
        <f t="shared" si="7"/>
        <v>35.294117647058826</v>
      </c>
      <c r="M39" s="411">
        <f t="shared" si="8"/>
        <v>32.941176470588232</v>
      </c>
      <c r="N39" s="411" t="str">
        <f t="shared" si="9"/>
        <v>--</v>
      </c>
      <c r="O39" s="357"/>
    </row>
    <row r="40" spans="1:15">
      <c r="A40" s="1"/>
      <c r="B40" s="407">
        <v>36222</v>
      </c>
      <c r="C40" s="392">
        <v>55</v>
      </c>
      <c r="D40" s="408">
        <v>7.6</v>
      </c>
      <c r="E40" s="409">
        <v>7.6</v>
      </c>
      <c r="F40" s="409">
        <v>5.4</v>
      </c>
      <c r="G40" s="409">
        <v>5.2</v>
      </c>
      <c r="H40" s="409">
        <v>5.2</v>
      </c>
      <c r="I40" s="409"/>
      <c r="J40" s="410">
        <f t="shared" si="5"/>
        <v>0</v>
      </c>
      <c r="K40" s="411">
        <f t="shared" si="6"/>
        <v>28.947368421052623</v>
      </c>
      <c r="L40" s="411">
        <f t="shared" si="7"/>
        <v>31.578947368421044</v>
      </c>
      <c r="M40" s="411">
        <f t="shared" si="8"/>
        <v>31.578947368421044</v>
      </c>
      <c r="N40" s="411" t="str">
        <f t="shared" si="9"/>
        <v>--</v>
      </c>
      <c r="O40" s="357"/>
    </row>
    <row r="41" spans="1:15">
      <c r="A41" s="1"/>
      <c r="B41" s="407">
        <v>36227</v>
      </c>
      <c r="C41" s="392">
        <v>60</v>
      </c>
      <c r="D41" s="408">
        <v>8.5</v>
      </c>
      <c r="E41" s="409">
        <v>8.5</v>
      </c>
      <c r="F41" s="409">
        <v>6</v>
      </c>
      <c r="G41" s="409">
        <v>6</v>
      </c>
      <c r="H41" s="409">
        <v>5.8</v>
      </c>
      <c r="I41" s="409"/>
      <c r="J41" s="410">
        <f t="shared" si="5"/>
        <v>0</v>
      </c>
      <c r="K41" s="411">
        <f t="shared" si="6"/>
        <v>29.411764705882355</v>
      </c>
      <c r="L41" s="411">
        <f t="shared" si="7"/>
        <v>29.411764705882355</v>
      </c>
      <c r="M41" s="411">
        <f t="shared" si="8"/>
        <v>31.764705882352946</v>
      </c>
      <c r="N41" s="411" t="str">
        <f t="shared" si="9"/>
        <v>--</v>
      </c>
      <c r="O41" s="357"/>
    </row>
    <row r="42" spans="1:15">
      <c r="A42" s="1"/>
      <c r="B42" s="407">
        <v>36234</v>
      </c>
      <c r="C42" s="392">
        <v>60</v>
      </c>
      <c r="D42" s="408">
        <v>8.4</v>
      </c>
      <c r="E42" s="409">
        <v>8.4</v>
      </c>
      <c r="F42" s="409">
        <v>5.7</v>
      </c>
      <c r="G42" s="409">
        <v>5.7</v>
      </c>
      <c r="H42" s="409">
        <v>5.8</v>
      </c>
      <c r="I42" s="409"/>
      <c r="J42" s="410">
        <f t="shared" si="5"/>
        <v>0</v>
      </c>
      <c r="K42" s="411">
        <f t="shared" si="6"/>
        <v>32.142857142857146</v>
      </c>
      <c r="L42" s="411">
        <f t="shared" si="7"/>
        <v>32.142857142857146</v>
      </c>
      <c r="M42" s="411">
        <f t="shared" si="8"/>
        <v>30.95238095238096</v>
      </c>
      <c r="N42" s="411" t="str">
        <f t="shared" si="9"/>
        <v>--</v>
      </c>
      <c r="O42" s="357"/>
    </row>
    <row r="43" spans="1:15">
      <c r="A43" s="1"/>
      <c r="B43" s="407">
        <v>36241</v>
      </c>
      <c r="C43" s="392">
        <v>65</v>
      </c>
      <c r="D43" s="408">
        <v>7.2</v>
      </c>
      <c r="E43" s="409">
        <v>7.2</v>
      </c>
      <c r="F43" s="409">
        <v>4.7</v>
      </c>
      <c r="G43" s="409">
        <v>4.8</v>
      </c>
      <c r="H43" s="409">
        <v>4.8</v>
      </c>
      <c r="I43" s="409"/>
      <c r="J43" s="410">
        <f t="shared" si="5"/>
        <v>0</v>
      </c>
      <c r="K43" s="411">
        <f t="shared" si="6"/>
        <v>34.722222222222221</v>
      </c>
      <c r="L43" s="411">
        <f t="shared" si="7"/>
        <v>33.333333333333336</v>
      </c>
      <c r="M43" s="411">
        <f t="shared" si="8"/>
        <v>33.333333333333336</v>
      </c>
      <c r="N43" s="411" t="str">
        <f t="shared" si="9"/>
        <v>--</v>
      </c>
      <c r="O43" s="357"/>
    </row>
    <row r="44" spans="1:15">
      <c r="A44" s="1"/>
      <c r="B44" s="407">
        <v>36248</v>
      </c>
      <c r="C44" s="392">
        <v>65</v>
      </c>
      <c r="D44" s="408">
        <v>6.8</v>
      </c>
      <c r="E44" s="409">
        <v>6.8</v>
      </c>
      <c r="F44" s="409">
        <v>4.7</v>
      </c>
      <c r="G44" s="409">
        <v>4.8</v>
      </c>
      <c r="H44" s="409">
        <v>4.8</v>
      </c>
      <c r="I44" s="409"/>
      <c r="J44" s="410">
        <f t="shared" si="5"/>
        <v>0</v>
      </c>
      <c r="K44" s="411">
        <f t="shared" si="6"/>
        <v>30.882352941176467</v>
      </c>
      <c r="L44" s="411">
        <f t="shared" si="7"/>
        <v>29.411764705882355</v>
      </c>
      <c r="M44" s="411">
        <f t="shared" si="8"/>
        <v>29.411764705882355</v>
      </c>
      <c r="N44" s="411" t="str">
        <f t="shared" si="9"/>
        <v>--</v>
      </c>
      <c r="O44" s="357"/>
    </row>
    <row r="45" spans="1:15">
      <c r="A45" s="1"/>
      <c r="B45" s="407">
        <v>36256</v>
      </c>
      <c r="C45" s="392">
        <v>70</v>
      </c>
      <c r="D45" s="408">
        <v>7.2</v>
      </c>
      <c r="E45" s="409">
        <v>7.2</v>
      </c>
      <c r="F45" s="409">
        <v>5.2</v>
      </c>
      <c r="G45" s="409">
        <v>5</v>
      </c>
      <c r="H45" s="409">
        <v>5</v>
      </c>
      <c r="I45" s="409"/>
      <c r="J45" s="410">
        <f t="shared" si="5"/>
        <v>0</v>
      </c>
      <c r="K45" s="411">
        <f t="shared" si="6"/>
        <v>27.777777777777779</v>
      </c>
      <c r="L45" s="411">
        <f t="shared" si="7"/>
        <v>30.555555555555557</v>
      </c>
      <c r="M45" s="411">
        <f t="shared" si="8"/>
        <v>30.555555555555557</v>
      </c>
      <c r="N45" s="411" t="str">
        <f t="shared" si="9"/>
        <v>--</v>
      </c>
      <c r="O45" s="357"/>
    </row>
    <row r="46" spans="1:15">
      <c r="A46" s="1"/>
      <c r="B46" s="407">
        <v>36262</v>
      </c>
      <c r="C46" s="392">
        <v>70</v>
      </c>
      <c r="D46" s="408">
        <v>7.5</v>
      </c>
      <c r="E46" s="409">
        <v>7.7</v>
      </c>
      <c r="F46" s="409">
        <v>5.0999999999999996</v>
      </c>
      <c r="G46" s="409">
        <v>4.9000000000000004</v>
      </c>
      <c r="H46" s="409">
        <v>5.0999999999999996</v>
      </c>
      <c r="I46" s="409"/>
      <c r="J46" s="410">
        <f t="shared" si="5"/>
        <v>-2.6666666666666687</v>
      </c>
      <c r="K46" s="411">
        <f t="shared" si="6"/>
        <v>32.000000000000007</v>
      </c>
      <c r="L46" s="411">
        <f t="shared" si="7"/>
        <v>34.666666666666664</v>
      </c>
      <c r="M46" s="411">
        <f t="shared" si="8"/>
        <v>32.000000000000007</v>
      </c>
      <c r="N46" s="411" t="str">
        <f t="shared" si="9"/>
        <v>--</v>
      </c>
      <c r="O46" s="357"/>
    </row>
    <row r="47" spans="1:15">
      <c r="A47" s="1"/>
      <c r="B47" s="407">
        <v>36269</v>
      </c>
      <c r="C47" s="392">
        <v>65</v>
      </c>
      <c r="D47" s="408">
        <v>8.8000000000000007</v>
      </c>
      <c r="E47" s="409">
        <v>8.6</v>
      </c>
      <c r="F47" s="409">
        <v>5</v>
      </c>
      <c r="G47" s="409">
        <v>4.8</v>
      </c>
      <c r="H47" s="409">
        <v>4.8</v>
      </c>
      <c r="I47" s="409"/>
      <c r="J47" s="410">
        <f t="shared" si="5"/>
        <v>2.2727272727272845</v>
      </c>
      <c r="K47" s="411">
        <f t="shared" si="6"/>
        <v>43.181818181818187</v>
      </c>
      <c r="L47" s="411">
        <f t="shared" si="7"/>
        <v>45.45454545454546</v>
      </c>
      <c r="M47" s="411">
        <f t="shared" si="8"/>
        <v>45.45454545454546</v>
      </c>
      <c r="N47" s="411" t="str">
        <f t="shared" si="9"/>
        <v>--</v>
      </c>
      <c r="O47" s="357"/>
    </row>
    <row r="48" spans="1:15">
      <c r="A48" s="1"/>
      <c r="B48" s="407">
        <v>36276</v>
      </c>
      <c r="C48" s="392">
        <v>65</v>
      </c>
      <c r="D48" s="408">
        <v>8.1</v>
      </c>
      <c r="E48" s="409">
        <v>8.6999999999999993</v>
      </c>
      <c r="F48" s="409">
        <v>4.9000000000000004</v>
      </c>
      <c r="G48" s="409">
        <v>4.8</v>
      </c>
      <c r="H48" s="409">
        <v>4.8</v>
      </c>
      <c r="I48" s="409"/>
      <c r="J48" s="410">
        <f t="shared" si="5"/>
        <v>-7.407407407407403</v>
      </c>
      <c r="K48" s="411">
        <f t="shared" si="6"/>
        <v>39.506172839506164</v>
      </c>
      <c r="L48" s="411">
        <f t="shared" si="7"/>
        <v>40.74074074074074</v>
      </c>
      <c r="M48" s="411">
        <f t="shared" si="8"/>
        <v>40.74074074074074</v>
      </c>
      <c r="N48" s="411" t="str">
        <f t="shared" si="9"/>
        <v>--</v>
      </c>
      <c r="O48" s="357"/>
    </row>
    <row r="49" spans="1:15">
      <c r="A49" s="1"/>
      <c r="B49" s="407">
        <v>36283</v>
      </c>
      <c r="C49" s="392">
        <v>65</v>
      </c>
      <c r="D49" s="408">
        <v>8</v>
      </c>
      <c r="E49" s="409">
        <v>8.6</v>
      </c>
      <c r="F49" s="409">
        <v>4.9000000000000004</v>
      </c>
      <c r="G49" s="409">
        <v>5.0999999999999996</v>
      </c>
      <c r="H49" s="409">
        <v>4.8</v>
      </c>
      <c r="I49" s="409"/>
      <c r="J49" s="410">
        <f t="shared" si="5"/>
        <v>-7.4999999999999956</v>
      </c>
      <c r="K49" s="411">
        <f t="shared" si="6"/>
        <v>38.749999999999993</v>
      </c>
      <c r="L49" s="411">
        <f t="shared" si="7"/>
        <v>36.250000000000007</v>
      </c>
      <c r="M49" s="411">
        <f t="shared" si="8"/>
        <v>40</v>
      </c>
      <c r="N49" s="411" t="str">
        <f t="shared" si="9"/>
        <v>--</v>
      </c>
      <c r="O49" s="357"/>
    </row>
    <row r="50" spans="1:15">
      <c r="A50" s="1"/>
      <c r="B50" s="407">
        <v>36290</v>
      </c>
      <c r="C50" s="392">
        <v>65</v>
      </c>
      <c r="D50" s="408">
        <v>7.4</v>
      </c>
      <c r="E50" s="409">
        <v>7.8</v>
      </c>
      <c r="F50" s="409">
        <v>4.8</v>
      </c>
      <c r="G50" s="409">
        <v>4.5999999999999996</v>
      </c>
      <c r="H50" s="409">
        <v>4.7</v>
      </c>
      <c r="I50" s="409"/>
      <c r="J50" s="410">
        <f t="shared" si="5"/>
        <v>-5.4054054054053982</v>
      </c>
      <c r="K50" s="411">
        <f t="shared" si="6"/>
        <v>35.135135135135144</v>
      </c>
      <c r="L50" s="411">
        <f t="shared" si="7"/>
        <v>37.837837837837846</v>
      </c>
      <c r="M50" s="411">
        <f t="shared" si="8"/>
        <v>36.486486486486484</v>
      </c>
      <c r="N50" s="411" t="str">
        <f t="shared" si="9"/>
        <v>--</v>
      </c>
      <c r="O50" s="357"/>
    </row>
    <row r="51" spans="1:15">
      <c r="A51" s="1"/>
      <c r="B51" s="407">
        <v>36297</v>
      </c>
      <c r="C51" s="392">
        <v>65</v>
      </c>
      <c r="D51" s="408">
        <v>7</v>
      </c>
      <c r="E51" s="409">
        <v>7.2</v>
      </c>
      <c r="F51" s="409">
        <v>4.4000000000000004</v>
      </c>
      <c r="G51" s="409">
        <v>4.3</v>
      </c>
      <c r="H51" s="409">
        <v>4.0999999999999996</v>
      </c>
      <c r="I51" s="409"/>
      <c r="J51" s="410">
        <f t="shared" si="5"/>
        <v>-2.8571428571428599</v>
      </c>
      <c r="K51" s="411">
        <f t="shared" si="6"/>
        <v>37.142857142857139</v>
      </c>
      <c r="L51" s="411">
        <f t="shared" si="7"/>
        <v>38.571428571428577</v>
      </c>
      <c r="M51" s="411">
        <f t="shared" si="8"/>
        <v>41.428571428571431</v>
      </c>
      <c r="N51" s="411" t="str">
        <f t="shared" si="9"/>
        <v>--</v>
      </c>
      <c r="O51" s="357"/>
    </row>
    <row r="52" spans="1:15">
      <c r="A52" s="1"/>
      <c r="B52" s="407">
        <v>36305</v>
      </c>
      <c r="C52" s="392">
        <v>65</v>
      </c>
      <c r="D52" s="408">
        <v>7.8</v>
      </c>
      <c r="E52" s="409">
        <v>8.1999999999999993</v>
      </c>
      <c r="F52" s="409">
        <v>4.9000000000000004</v>
      </c>
      <c r="G52" s="409">
        <v>4.8</v>
      </c>
      <c r="H52" s="409">
        <v>4.9000000000000004</v>
      </c>
      <c r="I52" s="409">
        <v>1</v>
      </c>
      <c r="J52" s="410">
        <f t="shared" si="5"/>
        <v>-5.1282051282051215</v>
      </c>
      <c r="K52" s="411">
        <f t="shared" si="6"/>
        <v>37.179487179487175</v>
      </c>
      <c r="L52" s="411">
        <f t="shared" si="7"/>
        <v>38.461538461538467</v>
      </c>
      <c r="M52" s="411">
        <f t="shared" si="8"/>
        <v>37.179487179487175</v>
      </c>
      <c r="N52" s="411">
        <f t="shared" si="9"/>
        <v>87.179487179487182</v>
      </c>
      <c r="O52" s="357"/>
    </row>
    <row r="53" spans="1:15">
      <c r="A53" s="1"/>
      <c r="B53" s="407">
        <v>36311</v>
      </c>
      <c r="C53" s="392">
        <v>65</v>
      </c>
      <c r="D53" s="408">
        <v>7.8</v>
      </c>
      <c r="E53" s="409">
        <v>8</v>
      </c>
      <c r="F53" s="409">
        <v>5.0999999999999996</v>
      </c>
      <c r="G53" s="409">
        <v>5</v>
      </c>
      <c r="H53" s="409">
        <v>4.9000000000000004</v>
      </c>
      <c r="I53" s="409">
        <v>1.3</v>
      </c>
      <c r="J53" s="410">
        <f t="shared" si="5"/>
        <v>-2.5641025641025665</v>
      </c>
      <c r="K53" s="411">
        <f t="shared" si="6"/>
        <v>34.61538461538462</v>
      </c>
      <c r="L53" s="411">
        <f t="shared" si="7"/>
        <v>35.897435897435898</v>
      </c>
      <c r="M53" s="411">
        <f t="shared" si="8"/>
        <v>37.179487179487175</v>
      </c>
      <c r="N53" s="411">
        <f t="shared" si="9"/>
        <v>83.333333333333343</v>
      </c>
      <c r="O53" s="357"/>
    </row>
    <row r="54" spans="1:15">
      <c r="A54" s="1"/>
      <c r="B54" s="407">
        <v>36318</v>
      </c>
      <c r="C54" s="392">
        <v>75</v>
      </c>
      <c r="D54" s="408">
        <v>7.8</v>
      </c>
      <c r="E54" s="409">
        <v>9</v>
      </c>
      <c r="F54" s="409">
        <v>5.0999999999999996</v>
      </c>
      <c r="G54" s="409">
        <v>5.0999999999999996</v>
      </c>
      <c r="H54" s="409">
        <v>4.8</v>
      </c>
      <c r="I54" s="409">
        <v>1.3</v>
      </c>
      <c r="J54" s="410">
        <f t="shared" si="5"/>
        <v>-15.384615384615389</v>
      </c>
      <c r="K54" s="411">
        <f t="shared" si="6"/>
        <v>34.61538461538462</v>
      </c>
      <c r="L54" s="411">
        <f t="shared" si="7"/>
        <v>34.61538461538462</v>
      </c>
      <c r="M54" s="411">
        <f t="shared" si="8"/>
        <v>38.461538461538467</v>
      </c>
      <c r="N54" s="411">
        <f t="shared" si="9"/>
        <v>83.333333333333343</v>
      </c>
      <c r="O54" s="357"/>
    </row>
    <row r="55" spans="1:15">
      <c r="A55" s="1"/>
      <c r="B55" s="407">
        <v>36325</v>
      </c>
      <c r="C55" s="392">
        <v>80</v>
      </c>
      <c r="D55" s="408">
        <v>8.4</v>
      </c>
      <c r="E55" s="409">
        <v>8.9</v>
      </c>
      <c r="F55" s="409">
        <v>4.9000000000000004</v>
      </c>
      <c r="G55" s="409">
        <v>5</v>
      </c>
      <c r="H55" s="409">
        <v>5</v>
      </c>
      <c r="I55" s="409">
        <v>1.6</v>
      </c>
      <c r="J55" s="410">
        <f t="shared" si="5"/>
        <v>-5.9523809523809517</v>
      </c>
      <c r="K55" s="411">
        <f t="shared" si="6"/>
        <v>41.666666666666664</v>
      </c>
      <c r="L55" s="411">
        <f t="shared" si="7"/>
        <v>40.476190476190474</v>
      </c>
      <c r="M55" s="411">
        <f t="shared" si="8"/>
        <v>40.476190476190474</v>
      </c>
      <c r="N55" s="411">
        <f t="shared" si="9"/>
        <v>80.952380952380949</v>
      </c>
      <c r="O55" s="357"/>
    </row>
    <row r="56" spans="1:15">
      <c r="A56" s="1"/>
      <c r="B56" s="407">
        <v>36332</v>
      </c>
      <c r="C56" s="392">
        <v>80</v>
      </c>
      <c r="D56" s="408">
        <v>9</v>
      </c>
      <c r="E56" s="409">
        <v>9.4</v>
      </c>
      <c r="F56" s="409"/>
      <c r="G56" s="409"/>
      <c r="H56" s="409">
        <v>5</v>
      </c>
      <c r="I56" s="409">
        <v>1.8</v>
      </c>
      <c r="J56" s="410">
        <f t="shared" si="5"/>
        <v>-4.4444444444444482</v>
      </c>
      <c r="K56" s="411" t="str">
        <f t="shared" si="6"/>
        <v>--</v>
      </c>
      <c r="L56" s="411" t="str">
        <f t="shared" si="7"/>
        <v>--</v>
      </c>
      <c r="M56" s="411">
        <f t="shared" si="8"/>
        <v>44.444444444444443</v>
      </c>
      <c r="N56" s="411">
        <f t="shared" si="9"/>
        <v>80</v>
      </c>
      <c r="O56" s="357"/>
    </row>
    <row r="57" spans="1:15">
      <c r="A57" s="1"/>
      <c r="B57" s="407">
        <v>36339</v>
      </c>
      <c r="C57" s="392">
        <v>75</v>
      </c>
      <c r="D57" s="408">
        <v>9</v>
      </c>
      <c r="E57" s="409">
        <v>9</v>
      </c>
      <c r="F57" s="409"/>
      <c r="G57" s="409"/>
      <c r="H57" s="409">
        <v>4.9000000000000004</v>
      </c>
      <c r="I57" s="409">
        <v>1.7</v>
      </c>
      <c r="J57" s="410">
        <f t="shared" si="5"/>
        <v>0</v>
      </c>
      <c r="K57" s="411" t="str">
        <f t="shared" si="6"/>
        <v>--</v>
      </c>
      <c r="L57" s="411" t="str">
        <f t="shared" si="7"/>
        <v>--</v>
      </c>
      <c r="M57" s="411">
        <f t="shared" si="8"/>
        <v>45.55555555555555</v>
      </c>
      <c r="N57" s="411">
        <f t="shared" si="9"/>
        <v>81.111111111111114</v>
      </c>
      <c r="O57" s="357"/>
    </row>
    <row r="58" spans="1:15">
      <c r="A58" s="1"/>
      <c r="B58" s="407">
        <v>36346</v>
      </c>
      <c r="C58" s="392">
        <v>65</v>
      </c>
      <c r="D58" s="408">
        <v>8.8000000000000007</v>
      </c>
      <c r="E58" s="409">
        <v>8.6</v>
      </c>
      <c r="F58" s="409"/>
      <c r="G58" s="409"/>
      <c r="H58" s="409">
        <v>5</v>
      </c>
      <c r="I58" s="409">
        <v>2.2999999999999998</v>
      </c>
      <c r="J58" s="410">
        <f t="shared" si="5"/>
        <v>2.2727272727272845</v>
      </c>
      <c r="K58" s="411" t="str">
        <f t="shared" si="6"/>
        <v>--</v>
      </c>
      <c r="L58" s="411" t="str">
        <f t="shared" si="7"/>
        <v>--</v>
      </c>
      <c r="M58" s="411">
        <f t="shared" si="8"/>
        <v>43.181818181818187</v>
      </c>
      <c r="N58" s="411">
        <f t="shared" si="9"/>
        <v>73.86363636363636</v>
      </c>
      <c r="O58" s="357"/>
    </row>
    <row r="59" spans="1:15">
      <c r="A59" s="1"/>
      <c r="B59" s="407">
        <v>36353</v>
      </c>
      <c r="C59" s="392">
        <v>70</v>
      </c>
      <c r="D59" s="408">
        <v>9</v>
      </c>
      <c r="E59" s="409">
        <v>9.8000000000000007</v>
      </c>
      <c r="F59" s="409"/>
      <c r="G59" s="409"/>
      <c r="H59" s="409">
        <v>5.4</v>
      </c>
      <c r="I59" s="409">
        <v>2.2000000000000002</v>
      </c>
      <c r="J59" s="410">
        <f t="shared" si="5"/>
        <v>-8.8888888888888964</v>
      </c>
      <c r="K59" s="411" t="str">
        <f t="shared" si="6"/>
        <v>--</v>
      </c>
      <c r="L59" s="411" t="str">
        <f t="shared" si="7"/>
        <v>--</v>
      </c>
      <c r="M59" s="411">
        <f t="shared" si="8"/>
        <v>40</v>
      </c>
      <c r="N59" s="411">
        <f t="shared" si="9"/>
        <v>75.555555555555557</v>
      </c>
      <c r="O59" s="357"/>
    </row>
    <row r="60" spans="1:15">
      <c r="A60" s="1"/>
      <c r="B60" s="407">
        <v>36360</v>
      </c>
      <c r="C60" s="392">
        <v>78</v>
      </c>
      <c r="D60" s="408">
        <v>11.2</v>
      </c>
      <c r="E60" s="409"/>
      <c r="F60" s="409"/>
      <c r="G60" s="409"/>
      <c r="H60" s="409">
        <v>5.4</v>
      </c>
      <c r="I60" s="409">
        <v>2.8</v>
      </c>
      <c r="J60" s="410" t="str">
        <f t="shared" si="5"/>
        <v>--</v>
      </c>
      <c r="K60" s="411" t="str">
        <f t="shared" si="6"/>
        <v>--</v>
      </c>
      <c r="L60" s="411" t="str">
        <f t="shared" si="7"/>
        <v>--</v>
      </c>
      <c r="M60" s="411">
        <f t="shared" si="8"/>
        <v>51.785714285714278</v>
      </c>
      <c r="N60" s="411">
        <f t="shared" si="9"/>
        <v>74.999999999999986</v>
      </c>
      <c r="O60" s="357"/>
    </row>
    <row r="61" spans="1:15">
      <c r="A61" s="1"/>
      <c r="B61" s="407">
        <v>36367</v>
      </c>
      <c r="C61" s="392">
        <v>85</v>
      </c>
      <c r="D61" s="408">
        <v>15</v>
      </c>
      <c r="E61" s="409">
        <v>17.600000000000001</v>
      </c>
      <c r="F61" s="409"/>
      <c r="G61" s="409"/>
      <c r="H61" s="409">
        <v>5.9</v>
      </c>
      <c r="I61" s="409">
        <v>3.1</v>
      </c>
      <c r="J61" s="410">
        <f t="shared" si="5"/>
        <v>-17.333333333333343</v>
      </c>
      <c r="K61" s="411" t="str">
        <f t="shared" si="6"/>
        <v>--</v>
      </c>
      <c r="L61" s="411" t="str">
        <f t="shared" si="7"/>
        <v>--</v>
      </c>
      <c r="M61" s="411">
        <f t="shared" si="8"/>
        <v>60.666666666666671</v>
      </c>
      <c r="N61" s="411">
        <f t="shared" si="9"/>
        <v>79.333333333333329</v>
      </c>
      <c r="O61" s="357"/>
    </row>
    <row r="62" spans="1:15">
      <c r="A62" s="1"/>
      <c r="B62" s="407">
        <v>36375</v>
      </c>
      <c r="C62" s="392">
        <v>85</v>
      </c>
      <c r="D62" s="408">
        <v>12</v>
      </c>
      <c r="E62" s="409">
        <v>12.4</v>
      </c>
      <c r="F62" s="409"/>
      <c r="G62" s="409"/>
      <c r="H62" s="409">
        <v>5.4</v>
      </c>
      <c r="I62" s="409">
        <v>2.6</v>
      </c>
      <c r="J62" s="410">
        <f t="shared" si="5"/>
        <v>-3.3333333333333361</v>
      </c>
      <c r="K62" s="411" t="str">
        <f t="shared" si="6"/>
        <v>--</v>
      </c>
      <c r="L62" s="411" t="str">
        <f t="shared" si="7"/>
        <v>--</v>
      </c>
      <c r="M62" s="411">
        <f t="shared" si="8"/>
        <v>54.999999999999993</v>
      </c>
      <c r="N62" s="411">
        <f t="shared" si="9"/>
        <v>78.333333333333329</v>
      </c>
      <c r="O62" s="357"/>
    </row>
    <row r="63" spans="1:15">
      <c r="A63" s="1"/>
      <c r="B63" s="407">
        <v>36381</v>
      </c>
      <c r="C63" s="392">
        <v>85</v>
      </c>
      <c r="D63" s="408">
        <v>12.8</v>
      </c>
      <c r="E63" s="409">
        <v>12.4</v>
      </c>
      <c r="F63" s="409"/>
      <c r="G63" s="409"/>
      <c r="H63" s="409">
        <v>5.8</v>
      </c>
      <c r="I63" s="409">
        <v>2.9</v>
      </c>
      <c r="J63" s="410">
        <f t="shared" si="5"/>
        <v>3.1250000000000027</v>
      </c>
      <c r="K63" s="411" t="str">
        <f t="shared" si="6"/>
        <v>--</v>
      </c>
      <c r="L63" s="411" t="str">
        <f t="shared" si="7"/>
        <v>--</v>
      </c>
      <c r="M63" s="411">
        <f t="shared" si="8"/>
        <v>54.6875</v>
      </c>
      <c r="N63" s="411">
        <f t="shared" si="9"/>
        <v>77.34375</v>
      </c>
      <c r="O63" s="357"/>
    </row>
    <row r="64" spans="1:15">
      <c r="A64" s="1"/>
      <c r="B64" s="407">
        <v>36388</v>
      </c>
      <c r="C64" s="392">
        <v>100</v>
      </c>
      <c r="D64" s="408">
        <v>13</v>
      </c>
      <c r="E64" s="409">
        <v>10.5</v>
      </c>
      <c r="F64" s="409"/>
      <c r="G64" s="409"/>
      <c r="H64" s="409">
        <v>5.7</v>
      </c>
      <c r="I64" s="409">
        <v>2.5</v>
      </c>
      <c r="J64" s="410">
        <f t="shared" si="5"/>
        <v>19.230769230769234</v>
      </c>
      <c r="K64" s="411" t="str">
        <f t="shared" si="6"/>
        <v>--</v>
      </c>
      <c r="L64" s="411" t="str">
        <f t="shared" si="7"/>
        <v>--</v>
      </c>
      <c r="M64" s="411">
        <f t="shared" si="8"/>
        <v>56.153846153846153</v>
      </c>
      <c r="N64" s="411">
        <f t="shared" si="9"/>
        <v>80.769230769230774</v>
      </c>
      <c r="O64" s="357"/>
    </row>
    <row r="65" spans="1:15">
      <c r="A65" s="1"/>
      <c r="B65" s="407">
        <v>36395</v>
      </c>
      <c r="C65" s="392">
        <v>100</v>
      </c>
      <c r="D65" s="408">
        <v>12</v>
      </c>
      <c r="E65" s="409">
        <v>12</v>
      </c>
      <c r="F65" s="409"/>
      <c r="G65" s="409"/>
      <c r="H65" s="409">
        <v>5.4</v>
      </c>
      <c r="I65" s="409">
        <v>2.5</v>
      </c>
      <c r="J65" s="410">
        <f t="shared" si="5"/>
        <v>0</v>
      </c>
      <c r="K65" s="411" t="str">
        <f t="shared" si="6"/>
        <v>--</v>
      </c>
      <c r="L65" s="411" t="str">
        <f t="shared" si="7"/>
        <v>--</v>
      </c>
      <c r="M65" s="411">
        <f t="shared" si="8"/>
        <v>54.999999999999993</v>
      </c>
      <c r="N65" s="411">
        <f t="shared" si="9"/>
        <v>79.166666666666657</v>
      </c>
      <c r="O65" s="357"/>
    </row>
    <row r="66" spans="1:15">
      <c r="A66" s="1"/>
      <c r="B66" s="407">
        <v>36402</v>
      </c>
      <c r="C66" s="392">
        <v>100</v>
      </c>
      <c r="D66" s="408">
        <v>11.6</v>
      </c>
      <c r="E66" s="409">
        <v>12</v>
      </c>
      <c r="F66" s="409"/>
      <c r="G66" s="409"/>
      <c r="H66" s="409">
        <v>5.5</v>
      </c>
      <c r="I66" s="409">
        <v>2.8</v>
      </c>
      <c r="J66" s="410">
        <f t="shared" si="5"/>
        <v>-3.4482758620689689</v>
      </c>
      <c r="K66" s="411" t="str">
        <f t="shared" si="6"/>
        <v>--</v>
      </c>
      <c r="L66" s="411" t="str">
        <f t="shared" si="7"/>
        <v>--</v>
      </c>
      <c r="M66" s="411">
        <f t="shared" si="8"/>
        <v>52.586206896551722</v>
      </c>
      <c r="N66" s="411">
        <f t="shared" si="9"/>
        <v>75.862068965517253</v>
      </c>
      <c r="O66" s="357"/>
    </row>
    <row r="67" spans="1:15">
      <c r="A67" s="1"/>
      <c r="B67" s="407">
        <v>36411</v>
      </c>
      <c r="C67" s="392">
        <v>100</v>
      </c>
      <c r="D67" s="408">
        <v>10.8</v>
      </c>
      <c r="E67" s="409">
        <v>11.2</v>
      </c>
      <c r="F67" s="409"/>
      <c r="G67" s="409"/>
      <c r="H67" s="409">
        <v>5.8</v>
      </c>
      <c r="I67" s="409">
        <v>3.2</v>
      </c>
      <c r="J67" s="410">
        <f t="shared" si="5"/>
        <v>-3.7037037037036904</v>
      </c>
      <c r="K67" s="411" t="str">
        <f t="shared" si="6"/>
        <v>--</v>
      </c>
      <c r="L67" s="411" t="str">
        <f t="shared" si="7"/>
        <v>--</v>
      </c>
      <c r="M67" s="411">
        <f t="shared" si="8"/>
        <v>46.296296296296305</v>
      </c>
      <c r="N67" s="411">
        <f t="shared" si="9"/>
        <v>70.370370370370367</v>
      </c>
      <c r="O67" s="357"/>
    </row>
    <row r="68" spans="1:15">
      <c r="A68" s="1"/>
      <c r="B68" s="407">
        <v>36416</v>
      </c>
      <c r="C68" s="392">
        <v>100</v>
      </c>
      <c r="D68" s="408">
        <v>11.2</v>
      </c>
      <c r="E68" s="409">
        <v>11.2</v>
      </c>
      <c r="F68" s="409"/>
      <c r="G68" s="409"/>
      <c r="H68" s="409">
        <v>5.3</v>
      </c>
      <c r="I68" s="409">
        <v>3</v>
      </c>
      <c r="J68" s="410">
        <f t="shared" ref="J68:J99" si="10">IF(OR(COUNT($D68)=0,COUNT(E68)=0),"--",($D68-E68)/$D68*100)</f>
        <v>0</v>
      </c>
      <c r="K68" s="411" t="str">
        <f t="shared" ref="K68:K99" si="11">IF(OR(COUNT($D68)=0,COUNT(F68)=0),"--",($D68-F68)/$D68*100)</f>
        <v>--</v>
      </c>
      <c r="L68" s="411" t="str">
        <f t="shared" ref="L68:L99" si="12">IF(OR(COUNT($D68)=0,COUNT(G68)=0),"--",($D68-G68)/$D68*100)</f>
        <v>--</v>
      </c>
      <c r="M68" s="411">
        <f t="shared" ref="M68:M99" si="13">IF(OR(COUNT($D68)=0,COUNT(H68)=0),"--",($D68-H68)/$D68*100)</f>
        <v>52.678571428571431</v>
      </c>
      <c r="N68" s="411">
        <f t="shared" ref="N68:N99" si="14">IF(OR(COUNT($D68)=0,COUNT(I68)=0),"--",($D68-I68)/$D68*100)</f>
        <v>73.214285714285708</v>
      </c>
      <c r="O68" s="357"/>
    </row>
    <row r="69" spans="1:15">
      <c r="A69" s="1"/>
      <c r="B69" s="407">
        <v>36423</v>
      </c>
      <c r="C69" s="392">
        <v>100</v>
      </c>
      <c r="D69" s="408">
        <v>12.4</v>
      </c>
      <c r="E69" s="409">
        <v>13.6</v>
      </c>
      <c r="F69" s="409"/>
      <c r="G69" s="409"/>
      <c r="H69" s="409">
        <v>5.8</v>
      </c>
      <c r="I69" s="409">
        <v>3.9</v>
      </c>
      <c r="J69" s="410">
        <f t="shared" si="10"/>
        <v>-9.6774193548387046</v>
      </c>
      <c r="K69" s="411" t="str">
        <f t="shared" si="11"/>
        <v>--</v>
      </c>
      <c r="L69" s="411" t="str">
        <f t="shared" si="12"/>
        <v>--</v>
      </c>
      <c r="M69" s="411">
        <f t="shared" si="13"/>
        <v>53.225806451612911</v>
      </c>
      <c r="N69" s="411">
        <f t="shared" si="14"/>
        <v>68.548387096774192</v>
      </c>
      <c r="O69" s="357"/>
    </row>
    <row r="70" spans="1:15">
      <c r="A70" s="1"/>
      <c r="B70" s="407">
        <v>36431</v>
      </c>
      <c r="C70" s="392">
        <v>100</v>
      </c>
      <c r="D70" s="408">
        <v>13</v>
      </c>
      <c r="E70" s="409">
        <v>12.7</v>
      </c>
      <c r="F70" s="409"/>
      <c r="G70" s="409"/>
      <c r="H70" s="409">
        <v>5.5</v>
      </c>
      <c r="I70" s="409">
        <v>3.9</v>
      </c>
      <c r="J70" s="410">
        <f t="shared" si="10"/>
        <v>2.3076923076923128</v>
      </c>
      <c r="K70" s="411" t="str">
        <f t="shared" si="11"/>
        <v>--</v>
      </c>
      <c r="L70" s="411" t="str">
        <f t="shared" si="12"/>
        <v>--</v>
      </c>
      <c r="M70" s="411">
        <f t="shared" si="13"/>
        <v>57.692307692307686</v>
      </c>
      <c r="N70" s="411">
        <f t="shared" si="14"/>
        <v>70</v>
      </c>
      <c r="O70" s="357"/>
    </row>
    <row r="71" spans="1:15">
      <c r="A71" s="1"/>
      <c r="B71" s="407">
        <v>36437</v>
      </c>
      <c r="C71" s="392">
        <v>100</v>
      </c>
      <c r="D71" s="408">
        <v>12.8</v>
      </c>
      <c r="E71" s="409">
        <v>13.2</v>
      </c>
      <c r="F71" s="409"/>
      <c r="G71" s="409"/>
      <c r="H71" s="409">
        <v>5.5</v>
      </c>
      <c r="I71" s="409">
        <v>4</v>
      </c>
      <c r="J71" s="410">
        <f t="shared" si="10"/>
        <v>-3.1249999999999889</v>
      </c>
      <c r="K71" s="411" t="str">
        <f t="shared" si="11"/>
        <v>--</v>
      </c>
      <c r="L71" s="411" t="str">
        <f t="shared" si="12"/>
        <v>--</v>
      </c>
      <c r="M71" s="411">
        <f t="shared" si="13"/>
        <v>57.03125</v>
      </c>
      <c r="N71" s="411">
        <f t="shared" si="14"/>
        <v>68.75</v>
      </c>
      <c r="O71" s="357"/>
    </row>
    <row r="72" spans="1:15">
      <c r="A72" s="1"/>
      <c r="B72" s="407">
        <v>36445</v>
      </c>
      <c r="C72" s="392">
        <v>92</v>
      </c>
      <c r="D72" s="408">
        <v>12.4</v>
      </c>
      <c r="E72" s="409">
        <v>14</v>
      </c>
      <c r="F72" s="409"/>
      <c r="G72" s="409"/>
      <c r="H72" s="409">
        <v>6</v>
      </c>
      <c r="I72" s="409">
        <v>4.2</v>
      </c>
      <c r="J72" s="410">
        <f t="shared" si="10"/>
        <v>-12.90322580645161</v>
      </c>
      <c r="K72" s="411" t="str">
        <f t="shared" si="11"/>
        <v>--</v>
      </c>
      <c r="L72" s="411" t="str">
        <f t="shared" si="12"/>
        <v>--</v>
      </c>
      <c r="M72" s="411">
        <f t="shared" si="13"/>
        <v>51.612903225806448</v>
      </c>
      <c r="N72" s="411">
        <f t="shared" si="14"/>
        <v>66.129032258064512</v>
      </c>
      <c r="O72" s="357"/>
    </row>
    <row r="73" spans="1:15">
      <c r="A73" s="1"/>
      <c r="B73" s="407">
        <v>36451</v>
      </c>
      <c r="C73" s="392">
        <v>87</v>
      </c>
      <c r="D73" s="408">
        <v>11.6</v>
      </c>
      <c r="E73" s="409">
        <v>12</v>
      </c>
      <c r="F73" s="409"/>
      <c r="G73" s="409"/>
      <c r="H73" s="409">
        <v>5.8</v>
      </c>
      <c r="I73" s="409">
        <v>4.2</v>
      </c>
      <c r="J73" s="410">
        <f t="shared" si="10"/>
        <v>-3.4482758620689689</v>
      </c>
      <c r="K73" s="411" t="str">
        <f t="shared" si="11"/>
        <v>--</v>
      </c>
      <c r="L73" s="411" t="str">
        <f t="shared" si="12"/>
        <v>--</v>
      </c>
      <c r="M73" s="411">
        <f t="shared" si="13"/>
        <v>50</v>
      </c>
      <c r="N73" s="411">
        <f t="shared" si="14"/>
        <v>63.793103448275858</v>
      </c>
      <c r="O73" s="357"/>
    </row>
    <row r="74" spans="1:15">
      <c r="A74" s="1"/>
      <c r="B74" s="407">
        <v>36458</v>
      </c>
      <c r="C74" s="392">
        <v>87</v>
      </c>
      <c r="D74" s="408">
        <v>11.2</v>
      </c>
      <c r="E74" s="409">
        <v>12</v>
      </c>
      <c r="F74" s="409"/>
      <c r="G74" s="409"/>
      <c r="H74" s="409">
        <v>5.7</v>
      </c>
      <c r="I74" s="409">
        <v>4.4000000000000004</v>
      </c>
      <c r="J74" s="410">
        <f t="shared" si="10"/>
        <v>-7.1428571428571495</v>
      </c>
      <c r="K74" s="411" t="str">
        <f t="shared" si="11"/>
        <v>--</v>
      </c>
      <c r="L74" s="411" t="str">
        <f t="shared" si="12"/>
        <v>--</v>
      </c>
      <c r="M74" s="411">
        <f t="shared" si="13"/>
        <v>49.107142857142854</v>
      </c>
      <c r="N74" s="411">
        <f t="shared" si="14"/>
        <v>60.714285714285708</v>
      </c>
      <c r="O74" s="357"/>
    </row>
    <row r="75" spans="1:15">
      <c r="A75" s="1"/>
      <c r="B75" s="407">
        <v>36465</v>
      </c>
      <c r="C75" s="392">
        <v>88</v>
      </c>
      <c r="D75" s="408">
        <v>11.2</v>
      </c>
      <c r="E75" s="409">
        <v>11.6</v>
      </c>
      <c r="F75" s="409"/>
      <c r="G75" s="409"/>
      <c r="H75" s="409">
        <v>5.9</v>
      </c>
      <c r="I75" s="409">
        <v>4.3</v>
      </c>
      <c r="J75" s="410">
        <f t="shared" si="10"/>
        <v>-3.5714285714285747</v>
      </c>
      <c r="K75" s="411" t="str">
        <f t="shared" si="11"/>
        <v>--</v>
      </c>
      <c r="L75" s="411" t="str">
        <f t="shared" si="12"/>
        <v>--</v>
      </c>
      <c r="M75" s="411">
        <f t="shared" si="13"/>
        <v>47.321428571428562</v>
      </c>
      <c r="N75" s="411">
        <f t="shared" si="14"/>
        <v>61.607142857142861</v>
      </c>
      <c r="O75" s="357"/>
    </row>
    <row r="76" spans="1:15">
      <c r="A76" s="1"/>
      <c r="B76" s="407">
        <v>36472</v>
      </c>
      <c r="C76" s="392">
        <v>92</v>
      </c>
      <c r="D76" s="408">
        <v>12.6</v>
      </c>
      <c r="E76" s="409">
        <v>13.6</v>
      </c>
      <c r="F76" s="409"/>
      <c r="G76" s="409"/>
      <c r="H76" s="409">
        <v>5.6</v>
      </c>
      <c r="I76" s="409">
        <v>4.2</v>
      </c>
      <c r="J76" s="410">
        <f t="shared" si="10"/>
        <v>-7.9365079365079358</v>
      </c>
      <c r="K76" s="411" t="str">
        <f t="shared" si="11"/>
        <v>--</v>
      </c>
      <c r="L76" s="411" t="str">
        <f t="shared" si="12"/>
        <v>--</v>
      </c>
      <c r="M76" s="411">
        <f t="shared" si="13"/>
        <v>55.555555555555557</v>
      </c>
      <c r="N76" s="411">
        <f t="shared" si="14"/>
        <v>66.666666666666657</v>
      </c>
      <c r="O76" s="357"/>
    </row>
    <row r="77" spans="1:15">
      <c r="A77" s="1"/>
      <c r="B77" s="407">
        <v>36479</v>
      </c>
      <c r="C77" s="392">
        <v>88</v>
      </c>
      <c r="D77" s="408">
        <v>12.4</v>
      </c>
      <c r="E77" s="409">
        <v>13.6</v>
      </c>
      <c r="F77" s="409"/>
      <c r="G77" s="409"/>
      <c r="H77" s="409"/>
      <c r="I77" s="409">
        <v>5.9</v>
      </c>
      <c r="J77" s="410">
        <f t="shared" si="10"/>
        <v>-9.6774193548387046</v>
      </c>
      <c r="K77" s="411" t="str">
        <f t="shared" si="11"/>
        <v>--</v>
      </c>
      <c r="L77" s="411" t="str">
        <f t="shared" si="12"/>
        <v>--</v>
      </c>
      <c r="M77" s="411" t="str">
        <f t="shared" si="13"/>
        <v>--</v>
      </c>
      <c r="N77" s="411">
        <f t="shared" si="14"/>
        <v>52.419354838709673</v>
      </c>
      <c r="O77" s="357"/>
    </row>
    <row r="78" spans="1:15">
      <c r="A78" s="1"/>
      <c r="B78" s="407">
        <v>36486</v>
      </c>
      <c r="C78" s="392">
        <v>82</v>
      </c>
      <c r="D78" s="408">
        <v>11.6</v>
      </c>
      <c r="E78" s="409">
        <v>10.8</v>
      </c>
      <c r="F78" s="409"/>
      <c r="G78" s="409"/>
      <c r="H78" s="409"/>
      <c r="I78" s="409">
        <v>5.4</v>
      </c>
      <c r="J78" s="410">
        <f t="shared" si="10"/>
        <v>6.8965517241379226</v>
      </c>
      <c r="K78" s="411" t="str">
        <f t="shared" si="11"/>
        <v>--</v>
      </c>
      <c r="L78" s="411" t="str">
        <f t="shared" si="12"/>
        <v>--</v>
      </c>
      <c r="M78" s="411" t="str">
        <f t="shared" si="13"/>
        <v>--</v>
      </c>
      <c r="N78" s="411">
        <f t="shared" si="14"/>
        <v>53.448275862068961</v>
      </c>
      <c r="O78" s="357"/>
    </row>
    <row r="79" spans="1:15">
      <c r="A79" s="1"/>
      <c r="B79" s="407">
        <v>36493</v>
      </c>
      <c r="C79" s="392">
        <v>82</v>
      </c>
      <c r="D79" s="408">
        <v>11.2</v>
      </c>
      <c r="E79" s="409">
        <v>11.2</v>
      </c>
      <c r="F79" s="409"/>
      <c r="G79" s="409"/>
      <c r="H79" s="409"/>
      <c r="I79" s="409">
        <v>5.6</v>
      </c>
      <c r="J79" s="410">
        <f t="shared" si="10"/>
        <v>0</v>
      </c>
      <c r="K79" s="411" t="str">
        <f t="shared" si="11"/>
        <v>--</v>
      </c>
      <c r="L79" s="411" t="str">
        <f t="shared" si="12"/>
        <v>--</v>
      </c>
      <c r="M79" s="411" t="str">
        <f t="shared" si="13"/>
        <v>--</v>
      </c>
      <c r="N79" s="411">
        <f t="shared" si="14"/>
        <v>50</v>
      </c>
      <c r="O79" s="357"/>
    </row>
    <row r="80" spans="1:15">
      <c r="A80" s="1"/>
      <c r="B80" s="407">
        <v>36500</v>
      </c>
      <c r="C80" s="392">
        <v>82</v>
      </c>
      <c r="D80" s="408">
        <v>11.1</v>
      </c>
      <c r="E80" s="409">
        <v>11.3</v>
      </c>
      <c r="F80" s="409"/>
      <c r="G80" s="409"/>
      <c r="H80" s="409"/>
      <c r="I80" s="409">
        <v>5.8</v>
      </c>
      <c r="J80" s="410">
        <f t="shared" si="10"/>
        <v>-1.8018018018018116</v>
      </c>
      <c r="K80" s="411" t="str">
        <f t="shared" si="11"/>
        <v>--</v>
      </c>
      <c r="L80" s="411" t="str">
        <f t="shared" si="12"/>
        <v>--</v>
      </c>
      <c r="M80" s="411" t="str">
        <f t="shared" si="13"/>
        <v>--</v>
      </c>
      <c r="N80" s="411">
        <f t="shared" si="14"/>
        <v>47.747747747747752</v>
      </c>
      <c r="O80" s="357"/>
    </row>
    <row r="81" spans="1:15">
      <c r="A81" s="1"/>
      <c r="B81" s="407">
        <v>36507</v>
      </c>
      <c r="C81" s="392">
        <v>82</v>
      </c>
      <c r="D81" s="408">
        <v>13.6</v>
      </c>
      <c r="E81" s="409">
        <v>12.7</v>
      </c>
      <c r="F81" s="409"/>
      <c r="G81" s="409"/>
      <c r="H81" s="409"/>
      <c r="I81" s="409">
        <v>5.8</v>
      </c>
      <c r="J81" s="410">
        <f t="shared" si="10"/>
        <v>6.6176470588235325</v>
      </c>
      <c r="K81" s="411" t="str">
        <f t="shared" si="11"/>
        <v>--</v>
      </c>
      <c r="L81" s="411" t="str">
        <f t="shared" si="12"/>
        <v>--</v>
      </c>
      <c r="M81" s="411" t="str">
        <f t="shared" si="13"/>
        <v>--</v>
      </c>
      <c r="N81" s="411">
        <f t="shared" si="14"/>
        <v>57.352941176470587</v>
      </c>
      <c r="O81" s="357"/>
    </row>
    <row r="82" spans="1:15">
      <c r="A82" s="1"/>
      <c r="B82" s="407">
        <v>36514</v>
      </c>
      <c r="C82" s="392">
        <v>90</v>
      </c>
      <c r="D82" s="408">
        <v>11.9</v>
      </c>
      <c r="E82" s="409">
        <v>12.3</v>
      </c>
      <c r="F82" s="409"/>
      <c r="G82" s="409"/>
      <c r="H82" s="409"/>
      <c r="I82" s="409">
        <v>6.3</v>
      </c>
      <c r="J82" s="410">
        <f t="shared" si="10"/>
        <v>-3.3613445378151288</v>
      </c>
      <c r="K82" s="411" t="str">
        <f t="shared" si="11"/>
        <v>--</v>
      </c>
      <c r="L82" s="411" t="str">
        <f t="shared" si="12"/>
        <v>--</v>
      </c>
      <c r="M82" s="411" t="str">
        <f t="shared" si="13"/>
        <v>--</v>
      </c>
      <c r="N82" s="411">
        <f t="shared" si="14"/>
        <v>47.058823529411768</v>
      </c>
      <c r="O82" s="357"/>
    </row>
    <row r="83" spans="1:15">
      <c r="A83" s="1"/>
      <c r="B83" s="407">
        <v>36521</v>
      </c>
      <c r="C83" s="392">
        <v>88</v>
      </c>
      <c r="D83" s="408">
        <v>12.6</v>
      </c>
      <c r="E83" s="409">
        <v>12.6</v>
      </c>
      <c r="F83" s="409"/>
      <c r="G83" s="409"/>
      <c r="H83" s="409"/>
      <c r="I83" s="409">
        <v>6</v>
      </c>
      <c r="J83" s="410">
        <f t="shared" si="10"/>
        <v>0</v>
      </c>
      <c r="K83" s="411" t="str">
        <f t="shared" si="11"/>
        <v>--</v>
      </c>
      <c r="L83" s="411" t="str">
        <f t="shared" si="12"/>
        <v>--</v>
      </c>
      <c r="M83" s="411" t="str">
        <f t="shared" si="13"/>
        <v>--</v>
      </c>
      <c r="N83" s="411">
        <f t="shared" si="14"/>
        <v>52.380952380952387</v>
      </c>
      <c r="O83" s="357"/>
    </row>
    <row r="84" spans="1:15">
      <c r="A84" s="1"/>
      <c r="B84" s="407">
        <v>36528</v>
      </c>
      <c r="C84" s="392">
        <v>88</v>
      </c>
      <c r="D84" s="408">
        <v>12.2</v>
      </c>
      <c r="E84" s="409">
        <v>12.1</v>
      </c>
      <c r="F84" s="409"/>
      <c r="G84" s="409"/>
      <c r="H84" s="409"/>
      <c r="I84" s="409">
        <v>6.4</v>
      </c>
      <c r="J84" s="410">
        <f t="shared" si="10"/>
        <v>0.81967213114753812</v>
      </c>
      <c r="K84" s="411" t="str">
        <f t="shared" si="11"/>
        <v>--</v>
      </c>
      <c r="L84" s="411" t="str">
        <f t="shared" si="12"/>
        <v>--</v>
      </c>
      <c r="M84" s="411" t="str">
        <f t="shared" si="13"/>
        <v>--</v>
      </c>
      <c r="N84" s="411">
        <f t="shared" si="14"/>
        <v>47.540983606557369</v>
      </c>
      <c r="O84" s="357"/>
    </row>
    <row r="85" spans="1:15">
      <c r="A85" s="1"/>
      <c r="B85" s="407">
        <v>36535</v>
      </c>
      <c r="C85" s="392">
        <v>87</v>
      </c>
      <c r="D85" s="408">
        <v>12.6</v>
      </c>
      <c r="E85" s="409">
        <v>11.7</v>
      </c>
      <c r="F85" s="409"/>
      <c r="G85" s="409"/>
      <c r="H85" s="409"/>
      <c r="I85" s="409">
        <v>6.3</v>
      </c>
      <c r="J85" s="410">
        <f t="shared" si="10"/>
        <v>7.142857142857145</v>
      </c>
      <c r="K85" s="411" t="str">
        <f t="shared" si="11"/>
        <v>--</v>
      </c>
      <c r="L85" s="411" t="str">
        <f t="shared" si="12"/>
        <v>--</v>
      </c>
      <c r="M85" s="411" t="str">
        <f t="shared" si="13"/>
        <v>--</v>
      </c>
      <c r="N85" s="411">
        <f t="shared" si="14"/>
        <v>50</v>
      </c>
      <c r="O85" s="357"/>
    </row>
    <row r="86" spans="1:15">
      <c r="A86" s="1"/>
      <c r="B86" s="407">
        <v>36542</v>
      </c>
      <c r="C86" s="392">
        <v>87</v>
      </c>
      <c r="D86" s="408">
        <v>11.9</v>
      </c>
      <c r="E86" s="409">
        <v>12.2</v>
      </c>
      <c r="F86" s="409"/>
      <c r="G86" s="409"/>
      <c r="H86" s="409"/>
      <c r="I86" s="409">
        <v>5.8</v>
      </c>
      <c r="J86" s="410">
        <f t="shared" si="10"/>
        <v>-2.5210084033613356</v>
      </c>
      <c r="K86" s="411" t="str">
        <f t="shared" si="11"/>
        <v>--</v>
      </c>
      <c r="L86" s="411" t="str">
        <f t="shared" si="12"/>
        <v>--</v>
      </c>
      <c r="M86" s="411" t="str">
        <f t="shared" si="13"/>
        <v>--</v>
      </c>
      <c r="N86" s="411">
        <f t="shared" si="14"/>
        <v>51.260504201680682</v>
      </c>
      <c r="O86" s="357"/>
    </row>
    <row r="87" spans="1:15">
      <c r="A87" s="1"/>
      <c r="B87" s="407">
        <v>36549</v>
      </c>
      <c r="C87" s="392">
        <v>87</v>
      </c>
      <c r="D87" s="408">
        <v>12.5</v>
      </c>
      <c r="E87" s="409"/>
      <c r="F87" s="409">
        <v>6</v>
      </c>
      <c r="G87" s="409">
        <v>6.5</v>
      </c>
      <c r="H87" s="409"/>
      <c r="I87" s="409">
        <v>5.9</v>
      </c>
      <c r="J87" s="410" t="str">
        <f t="shared" si="10"/>
        <v>--</v>
      </c>
      <c r="K87" s="411">
        <f t="shared" si="11"/>
        <v>52</v>
      </c>
      <c r="L87" s="411">
        <f t="shared" si="12"/>
        <v>48</v>
      </c>
      <c r="M87" s="411" t="str">
        <f t="shared" si="13"/>
        <v>--</v>
      </c>
      <c r="N87" s="411">
        <f t="shared" si="14"/>
        <v>52.800000000000004</v>
      </c>
      <c r="O87" s="357"/>
    </row>
    <row r="88" spans="1:15">
      <c r="A88" s="1"/>
      <c r="B88" s="407">
        <v>36557</v>
      </c>
      <c r="C88" s="392">
        <v>95</v>
      </c>
      <c r="D88" s="408">
        <v>12.7</v>
      </c>
      <c r="E88" s="409"/>
      <c r="F88" s="409">
        <v>6.4</v>
      </c>
      <c r="G88" s="409">
        <v>6.5</v>
      </c>
      <c r="H88" s="409"/>
      <c r="I88" s="409">
        <v>6.1</v>
      </c>
      <c r="J88" s="410" t="str">
        <f t="shared" si="10"/>
        <v>--</v>
      </c>
      <c r="K88" s="411">
        <f t="shared" si="11"/>
        <v>49.606299212598422</v>
      </c>
      <c r="L88" s="411">
        <f t="shared" si="12"/>
        <v>48.818897637795274</v>
      </c>
      <c r="M88" s="411" t="str">
        <f t="shared" si="13"/>
        <v>--</v>
      </c>
      <c r="N88" s="411">
        <f t="shared" si="14"/>
        <v>51.968503937007867</v>
      </c>
      <c r="O88" s="357"/>
    </row>
    <row r="89" spans="1:15">
      <c r="A89" s="1"/>
      <c r="B89" s="407">
        <v>36563</v>
      </c>
      <c r="C89" s="392">
        <v>95</v>
      </c>
      <c r="D89" s="408">
        <v>12.1</v>
      </c>
      <c r="E89" s="409"/>
      <c r="F89" s="409">
        <v>6.2</v>
      </c>
      <c r="G89" s="409">
        <v>6.4</v>
      </c>
      <c r="H89" s="409"/>
      <c r="I89" s="409">
        <v>6.4</v>
      </c>
      <c r="J89" s="410" t="str">
        <f t="shared" si="10"/>
        <v>--</v>
      </c>
      <c r="K89" s="411">
        <f t="shared" si="11"/>
        <v>48.760330578512395</v>
      </c>
      <c r="L89" s="411">
        <f t="shared" si="12"/>
        <v>47.107438016528917</v>
      </c>
      <c r="M89" s="411" t="str">
        <f t="shared" si="13"/>
        <v>--</v>
      </c>
      <c r="N89" s="411">
        <f t="shared" si="14"/>
        <v>47.107438016528917</v>
      </c>
      <c r="O89" s="357"/>
    </row>
    <row r="90" spans="1:15">
      <c r="A90" s="1"/>
      <c r="B90" s="407">
        <v>36570</v>
      </c>
      <c r="C90" s="392">
        <v>95</v>
      </c>
      <c r="D90" s="408">
        <v>12.6</v>
      </c>
      <c r="E90" s="409"/>
      <c r="F90" s="409">
        <v>6.7</v>
      </c>
      <c r="G90" s="409">
        <v>6.6</v>
      </c>
      <c r="H90" s="409"/>
      <c r="I90" s="409">
        <v>6.3</v>
      </c>
      <c r="J90" s="410" t="str">
        <f t="shared" si="10"/>
        <v>--</v>
      </c>
      <c r="K90" s="411">
        <f t="shared" si="11"/>
        <v>46.825396825396822</v>
      </c>
      <c r="L90" s="411">
        <f t="shared" si="12"/>
        <v>47.61904761904762</v>
      </c>
      <c r="M90" s="411" t="str">
        <f t="shared" si="13"/>
        <v>--</v>
      </c>
      <c r="N90" s="411">
        <f t="shared" si="14"/>
        <v>50</v>
      </c>
      <c r="O90" s="357"/>
    </row>
    <row r="91" spans="1:15">
      <c r="A91" s="1"/>
      <c r="B91" s="407">
        <v>36578</v>
      </c>
      <c r="C91" s="392">
        <v>95</v>
      </c>
      <c r="D91" s="408">
        <v>11.8</v>
      </c>
      <c r="E91" s="409">
        <v>11.7</v>
      </c>
      <c r="F91" s="409"/>
      <c r="G91" s="409"/>
      <c r="H91" s="409"/>
      <c r="I91" s="409">
        <v>6.1</v>
      </c>
      <c r="J91" s="410">
        <f t="shared" si="10"/>
        <v>0.84745762711865602</v>
      </c>
      <c r="K91" s="411" t="str">
        <f t="shared" si="11"/>
        <v>--</v>
      </c>
      <c r="L91" s="411" t="str">
        <f t="shared" si="12"/>
        <v>--</v>
      </c>
      <c r="M91" s="411" t="str">
        <f t="shared" si="13"/>
        <v>--</v>
      </c>
      <c r="N91" s="411">
        <f t="shared" si="14"/>
        <v>48.305084745762713</v>
      </c>
      <c r="O91" s="357"/>
    </row>
    <row r="92" spans="1:15">
      <c r="A92" s="1"/>
      <c r="B92" s="407">
        <v>36585</v>
      </c>
      <c r="C92" s="392">
        <v>95</v>
      </c>
      <c r="D92" s="408">
        <v>12.4</v>
      </c>
      <c r="E92" s="409"/>
      <c r="F92" s="409"/>
      <c r="G92" s="409">
        <v>6.2</v>
      </c>
      <c r="H92" s="409"/>
      <c r="I92" s="409">
        <v>6</v>
      </c>
      <c r="J92" s="410" t="str">
        <f t="shared" si="10"/>
        <v>--</v>
      </c>
      <c r="K92" s="411" t="str">
        <f t="shared" si="11"/>
        <v>--</v>
      </c>
      <c r="L92" s="411">
        <f t="shared" si="12"/>
        <v>50</v>
      </c>
      <c r="M92" s="411" t="str">
        <f t="shared" si="13"/>
        <v>--</v>
      </c>
      <c r="N92" s="411">
        <f t="shared" si="14"/>
        <v>51.612903225806448</v>
      </c>
      <c r="O92" s="357"/>
    </row>
    <row r="93" spans="1:15">
      <c r="A93" s="1"/>
      <c r="B93" s="407">
        <v>36592</v>
      </c>
      <c r="C93" s="392">
        <v>95</v>
      </c>
      <c r="D93" s="408">
        <v>11.5</v>
      </c>
      <c r="E93" s="409"/>
      <c r="F93" s="409">
        <v>6</v>
      </c>
      <c r="G93" s="409"/>
      <c r="H93" s="409"/>
      <c r="I93" s="409">
        <v>6</v>
      </c>
      <c r="J93" s="410" t="str">
        <f t="shared" si="10"/>
        <v>--</v>
      </c>
      <c r="K93" s="411">
        <f t="shared" si="11"/>
        <v>47.826086956521742</v>
      </c>
      <c r="L93" s="411" t="str">
        <f t="shared" si="12"/>
        <v>--</v>
      </c>
      <c r="M93" s="411" t="str">
        <f t="shared" si="13"/>
        <v>--</v>
      </c>
      <c r="N93" s="411">
        <f t="shared" si="14"/>
        <v>47.826086956521742</v>
      </c>
      <c r="O93" s="357"/>
    </row>
    <row r="94" spans="1:15">
      <c r="A94" s="1"/>
      <c r="B94" s="407">
        <v>36598</v>
      </c>
      <c r="C94" s="392">
        <v>95</v>
      </c>
      <c r="D94" s="408">
        <v>11.6</v>
      </c>
      <c r="E94" s="409"/>
      <c r="F94" s="409">
        <v>6.1</v>
      </c>
      <c r="G94" s="409">
        <v>6.2</v>
      </c>
      <c r="H94" s="409"/>
      <c r="I94" s="409">
        <v>5.9</v>
      </c>
      <c r="J94" s="410" t="str">
        <f t="shared" si="10"/>
        <v>--</v>
      </c>
      <c r="K94" s="411">
        <f t="shared" si="11"/>
        <v>47.413793103448278</v>
      </c>
      <c r="L94" s="411">
        <f t="shared" si="12"/>
        <v>46.551724137931032</v>
      </c>
      <c r="M94" s="411" t="str">
        <f t="shared" si="13"/>
        <v>--</v>
      </c>
      <c r="N94" s="411">
        <f t="shared" si="14"/>
        <v>49.137931034482754</v>
      </c>
      <c r="O94" s="357"/>
    </row>
    <row r="95" spans="1:15">
      <c r="A95" s="1"/>
      <c r="B95" s="407">
        <v>36605</v>
      </c>
      <c r="C95" s="392">
        <v>95</v>
      </c>
      <c r="D95" s="408">
        <v>12.3</v>
      </c>
      <c r="E95" s="409"/>
      <c r="F95" s="409">
        <v>6.5</v>
      </c>
      <c r="G95" s="409">
        <v>6.5</v>
      </c>
      <c r="H95" s="409"/>
      <c r="I95" s="409">
        <v>6.5</v>
      </c>
      <c r="J95" s="410" t="str">
        <f t="shared" si="10"/>
        <v>--</v>
      </c>
      <c r="K95" s="411">
        <f t="shared" si="11"/>
        <v>47.154471544715449</v>
      </c>
      <c r="L95" s="411">
        <f t="shared" si="12"/>
        <v>47.154471544715449</v>
      </c>
      <c r="M95" s="411" t="str">
        <f t="shared" si="13"/>
        <v>--</v>
      </c>
      <c r="N95" s="411">
        <f t="shared" si="14"/>
        <v>47.154471544715449</v>
      </c>
      <c r="O95" s="357"/>
    </row>
    <row r="96" spans="1:15">
      <c r="A96" s="1"/>
      <c r="B96" s="407">
        <v>36612</v>
      </c>
      <c r="C96" s="392">
        <v>95</v>
      </c>
      <c r="D96" s="408">
        <v>12.2</v>
      </c>
      <c r="E96" s="409"/>
      <c r="F96" s="409">
        <v>6.5</v>
      </c>
      <c r="G96" s="409">
        <v>6.3</v>
      </c>
      <c r="H96" s="409"/>
      <c r="I96" s="409">
        <v>6.3</v>
      </c>
      <c r="J96" s="410" t="str">
        <f t="shared" si="10"/>
        <v>--</v>
      </c>
      <c r="K96" s="411">
        <f t="shared" si="11"/>
        <v>46.721311475409834</v>
      </c>
      <c r="L96" s="411">
        <f t="shared" si="12"/>
        <v>48.360655737704917</v>
      </c>
      <c r="M96" s="411" t="str">
        <f t="shared" si="13"/>
        <v>--</v>
      </c>
      <c r="N96" s="411">
        <f t="shared" si="14"/>
        <v>48.360655737704917</v>
      </c>
      <c r="O96" s="357"/>
    </row>
    <row r="97" spans="1:15">
      <c r="A97" s="1"/>
      <c r="B97" s="407">
        <v>36619</v>
      </c>
      <c r="C97" s="392">
        <v>95</v>
      </c>
      <c r="D97" s="408">
        <v>10.3</v>
      </c>
      <c r="E97" s="409"/>
      <c r="F97" s="409">
        <v>4.9000000000000004</v>
      </c>
      <c r="G97" s="409">
        <v>4.9000000000000004</v>
      </c>
      <c r="H97" s="409"/>
      <c r="I97" s="409">
        <v>4.8</v>
      </c>
      <c r="J97" s="410" t="str">
        <f t="shared" si="10"/>
        <v>--</v>
      </c>
      <c r="K97" s="411">
        <f t="shared" si="11"/>
        <v>52.427184466019419</v>
      </c>
      <c r="L97" s="411">
        <f t="shared" si="12"/>
        <v>52.427184466019419</v>
      </c>
      <c r="M97" s="411" t="str">
        <f t="shared" si="13"/>
        <v>--</v>
      </c>
      <c r="N97" s="411">
        <f t="shared" si="14"/>
        <v>53.398058252427191</v>
      </c>
      <c r="O97" s="357"/>
    </row>
    <row r="98" spans="1:15">
      <c r="A98" s="1"/>
      <c r="B98" s="407">
        <v>36626</v>
      </c>
      <c r="C98" s="392">
        <v>92</v>
      </c>
      <c r="D98" s="408">
        <v>10.4</v>
      </c>
      <c r="E98" s="409"/>
      <c r="F98" s="409">
        <v>5.3</v>
      </c>
      <c r="G98" s="409">
        <v>5</v>
      </c>
      <c r="H98" s="409"/>
      <c r="I98" s="409">
        <v>5.0999999999999996</v>
      </c>
      <c r="J98" s="410" t="str">
        <f t="shared" si="10"/>
        <v>--</v>
      </c>
      <c r="K98" s="411">
        <f t="shared" si="11"/>
        <v>49.03846153846154</v>
      </c>
      <c r="L98" s="411">
        <f t="shared" si="12"/>
        <v>51.923076923076927</v>
      </c>
      <c r="M98" s="411" t="str">
        <f t="shared" si="13"/>
        <v>--</v>
      </c>
      <c r="N98" s="411">
        <f t="shared" si="14"/>
        <v>50.961538461538467</v>
      </c>
      <c r="O98" s="357"/>
    </row>
    <row r="99" spans="1:15">
      <c r="A99" s="1"/>
      <c r="B99" s="407">
        <v>36633</v>
      </c>
      <c r="C99" s="392">
        <v>82</v>
      </c>
      <c r="D99" s="408">
        <v>8.3000000000000007</v>
      </c>
      <c r="E99" s="409"/>
      <c r="F99" s="409">
        <v>5.3</v>
      </c>
      <c r="G99" s="409">
        <v>5</v>
      </c>
      <c r="H99" s="409"/>
      <c r="I99" s="409">
        <v>5.0999999999999996</v>
      </c>
      <c r="J99" s="410" t="str">
        <f t="shared" si="10"/>
        <v>--</v>
      </c>
      <c r="K99" s="411">
        <f t="shared" si="11"/>
        <v>36.144578313253021</v>
      </c>
      <c r="L99" s="411">
        <f t="shared" si="12"/>
        <v>39.759036144578317</v>
      </c>
      <c r="M99" s="411" t="str">
        <f t="shared" si="13"/>
        <v>--</v>
      </c>
      <c r="N99" s="411">
        <f t="shared" si="14"/>
        <v>38.55421686746989</v>
      </c>
      <c r="O99" s="357"/>
    </row>
    <row r="100" spans="1:15">
      <c r="A100" s="1"/>
      <c r="B100" s="407">
        <v>36641</v>
      </c>
      <c r="C100" s="392">
        <v>82</v>
      </c>
      <c r="D100" s="408">
        <v>9.3000000000000007</v>
      </c>
      <c r="E100" s="409"/>
      <c r="F100" s="409">
        <v>5.3</v>
      </c>
      <c r="G100" s="409">
        <v>5.0999999999999996</v>
      </c>
      <c r="H100" s="409"/>
      <c r="I100" s="409">
        <v>5.3</v>
      </c>
      <c r="J100" s="410" t="str">
        <f t="shared" ref="J100:J131" si="15">IF(OR(COUNT($D100)=0,COUNT(E100)=0),"--",($D100-E100)/$D100*100)</f>
        <v>--</v>
      </c>
      <c r="K100" s="411">
        <f t="shared" ref="K100:K131" si="16">IF(OR(COUNT($D100)=0,COUNT(F100)=0),"--",($D100-F100)/$D100*100)</f>
        <v>43.010752688172047</v>
      </c>
      <c r="L100" s="411">
        <f t="shared" ref="L100:L131" si="17">IF(OR(COUNT($D100)=0,COUNT(G100)=0),"--",($D100-G100)/$D100*100)</f>
        <v>45.161290322580655</v>
      </c>
      <c r="M100" s="411" t="str">
        <f t="shared" ref="M100:M131" si="18">IF(OR(COUNT($D100)=0,COUNT(H100)=0),"--",($D100-H100)/$D100*100)</f>
        <v>--</v>
      </c>
      <c r="N100" s="411">
        <f t="shared" ref="N100:N131" si="19">IF(OR(COUNT($D100)=0,COUNT(I100)=0),"--",($D100-I100)/$D100*100)</f>
        <v>43.010752688172047</v>
      </c>
      <c r="O100" s="357"/>
    </row>
    <row r="101" spans="1:15">
      <c r="A101" s="1"/>
      <c r="B101" s="407">
        <v>36647</v>
      </c>
      <c r="C101" s="392">
        <v>86</v>
      </c>
      <c r="D101" s="408">
        <v>9.1999999999999993</v>
      </c>
      <c r="E101" s="409"/>
      <c r="F101" s="409">
        <v>5.0999999999999996</v>
      </c>
      <c r="G101" s="409">
        <v>4.9000000000000004</v>
      </c>
      <c r="H101" s="409"/>
      <c r="I101" s="409">
        <v>5.2</v>
      </c>
      <c r="J101" s="410" t="str">
        <f t="shared" si="15"/>
        <v>--</v>
      </c>
      <c r="K101" s="411">
        <f t="shared" si="16"/>
        <v>44.565217391304344</v>
      </c>
      <c r="L101" s="411">
        <f t="shared" si="17"/>
        <v>46.739130434782602</v>
      </c>
      <c r="M101" s="411" t="str">
        <f t="shared" si="18"/>
        <v>--</v>
      </c>
      <c r="N101" s="411">
        <f t="shared" si="19"/>
        <v>43.478260869565212</v>
      </c>
      <c r="O101" s="357"/>
    </row>
    <row r="102" spans="1:15">
      <c r="A102" s="1"/>
      <c r="B102" s="407">
        <v>36654</v>
      </c>
      <c r="C102" s="392">
        <v>86</v>
      </c>
      <c r="D102" s="408">
        <v>8.4</v>
      </c>
      <c r="E102" s="409"/>
      <c r="F102" s="409">
        <v>4.9000000000000004</v>
      </c>
      <c r="G102" s="409">
        <v>5.3</v>
      </c>
      <c r="H102" s="409"/>
      <c r="I102" s="409">
        <v>5.0999999999999996</v>
      </c>
      <c r="J102" s="410" t="str">
        <f t="shared" si="15"/>
        <v>--</v>
      </c>
      <c r="K102" s="411">
        <f t="shared" si="16"/>
        <v>41.666666666666664</v>
      </c>
      <c r="L102" s="411">
        <f t="shared" si="17"/>
        <v>36.904761904761905</v>
      </c>
      <c r="M102" s="411" t="str">
        <f t="shared" si="18"/>
        <v>--</v>
      </c>
      <c r="N102" s="411">
        <f t="shared" si="19"/>
        <v>39.285714285714292</v>
      </c>
      <c r="O102" s="357"/>
    </row>
    <row r="103" spans="1:15">
      <c r="A103" s="1"/>
      <c r="B103" s="407">
        <v>36661</v>
      </c>
      <c r="C103" s="392">
        <v>86</v>
      </c>
      <c r="D103" s="408">
        <v>8</v>
      </c>
      <c r="E103" s="409"/>
      <c r="F103" s="409">
        <v>4.8</v>
      </c>
      <c r="G103" s="409">
        <v>4.8</v>
      </c>
      <c r="H103" s="409"/>
      <c r="I103" s="409">
        <v>4.8</v>
      </c>
      <c r="J103" s="410" t="str">
        <f t="shared" si="15"/>
        <v>--</v>
      </c>
      <c r="K103" s="411">
        <f t="shared" si="16"/>
        <v>40</v>
      </c>
      <c r="L103" s="411">
        <f t="shared" si="17"/>
        <v>40</v>
      </c>
      <c r="M103" s="411" t="str">
        <f t="shared" si="18"/>
        <v>--</v>
      </c>
      <c r="N103" s="411">
        <f t="shared" si="19"/>
        <v>40</v>
      </c>
      <c r="O103" s="357"/>
    </row>
    <row r="104" spans="1:15">
      <c r="A104" s="1"/>
      <c r="B104" s="407">
        <v>36669</v>
      </c>
      <c r="C104" s="392">
        <v>74</v>
      </c>
      <c r="D104" s="408">
        <v>8.6</v>
      </c>
      <c r="E104" s="409"/>
      <c r="F104" s="409">
        <v>5.0999999999999996</v>
      </c>
      <c r="G104" s="409">
        <v>5</v>
      </c>
      <c r="H104" s="409">
        <v>5.2</v>
      </c>
      <c r="I104" s="409">
        <v>1.3</v>
      </c>
      <c r="J104" s="410" t="str">
        <f t="shared" si="15"/>
        <v>--</v>
      </c>
      <c r="K104" s="411">
        <f t="shared" si="16"/>
        <v>40.697674418604649</v>
      </c>
      <c r="L104" s="411">
        <f t="shared" si="17"/>
        <v>41.860465116279066</v>
      </c>
      <c r="M104" s="411">
        <f t="shared" si="18"/>
        <v>39.534883720930232</v>
      </c>
      <c r="N104" s="411">
        <f t="shared" si="19"/>
        <v>84.88372093023257</v>
      </c>
      <c r="O104" s="357"/>
    </row>
    <row r="105" spans="1:15">
      <c r="A105" s="1"/>
      <c r="B105" s="407">
        <v>36675</v>
      </c>
      <c r="C105" s="392">
        <v>74</v>
      </c>
      <c r="D105" s="408">
        <v>8.6</v>
      </c>
      <c r="E105" s="409"/>
      <c r="F105" s="409">
        <v>5.0999999999999996</v>
      </c>
      <c r="G105" s="409">
        <v>5</v>
      </c>
      <c r="H105" s="409">
        <v>5.2</v>
      </c>
      <c r="I105" s="409">
        <v>1.3</v>
      </c>
      <c r="J105" s="410" t="str">
        <f t="shared" si="15"/>
        <v>--</v>
      </c>
      <c r="K105" s="411">
        <f t="shared" si="16"/>
        <v>40.697674418604649</v>
      </c>
      <c r="L105" s="411">
        <f t="shared" si="17"/>
        <v>41.860465116279066</v>
      </c>
      <c r="M105" s="411">
        <f t="shared" si="18"/>
        <v>39.534883720930232</v>
      </c>
      <c r="N105" s="411">
        <f t="shared" si="19"/>
        <v>84.88372093023257</v>
      </c>
      <c r="O105" s="357"/>
    </row>
    <row r="106" spans="1:15">
      <c r="A106" s="1"/>
      <c r="B106" s="407">
        <v>36682</v>
      </c>
      <c r="C106" s="392">
        <v>72</v>
      </c>
      <c r="D106" s="408">
        <v>7</v>
      </c>
      <c r="E106" s="409"/>
      <c r="F106" s="409">
        <v>5</v>
      </c>
      <c r="G106" s="409">
        <v>4.5999999999999996</v>
      </c>
      <c r="H106" s="409">
        <v>4.7</v>
      </c>
      <c r="I106" s="409">
        <v>1</v>
      </c>
      <c r="J106" s="410" t="str">
        <f t="shared" si="15"/>
        <v>--</v>
      </c>
      <c r="K106" s="411">
        <f t="shared" si="16"/>
        <v>28.571428571428569</v>
      </c>
      <c r="L106" s="411">
        <f t="shared" si="17"/>
        <v>34.285714285714292</v>
      </c>
      <c r="M106" s="411">
        <f t="shared" si="18"/>
        <v>32.857142857142854</v>
      </c>
      <c r="N106" s="411">
        <f t="shared" si="19"/>
        <v>85.714285714285708</v>
      </c>
      <c r="O106" s="357"/>
    </row>
    <row r="107" spans="1:15">
      <c r="A107" s="1"/>
      <c r="B107" s="407">
        <v>36689</v>
      </c>
      <c r="C107" s="392">
        <v>70</v>
      </c>
      <c r="D107" s="408">
        <v>6.6</v>
      </c>
      <c r="E107" s="409"/>
      <c r="F107" s="409">
        <v>4.4000000000000004</v>
      </c>
      <c r="G107" s="409">
        <v>4.3</v>
      </c>
      <c r="H107" s="409">
        <v>4.5</v>
      </c>
      <c r="I107" s="409">
        <v>1</v>
      </c>
      <c r="J107" s="410" t="str">
        <f t="shared" si="15"/>
        <v>--</v>
      </c>
      <c r="K107" s="411">
        <f t="shared" si="16"/>
        <v>33.333333333333329</v>
      </c>
      <c r="L107" s="411">
        <f t="shared" si="17"/>
        <v>34.848484848484844</v>
      </c>
      <c r="M107" s="411">
        <f t="shared" si="18"/>
        <v>31.818181818181813</v>
      </c>
      <c r="N107" s="411">
        <f t="shared" si="19"/>
        <v>84.848484848484844</v>
      </c>
      <c r="O107" s="357"/>
    </row>
    <row r="108" spans="1:15">
      <c r="A108" s="1"/>
      <c r="B108" s="407">
        <v>36696</v>
      </c>
      <c r="C108" s="392">
        <v>65</v>
      </c>
      <c r="D108" s="408">
        <v>8.6999999999999993</v>
      </c>
      <c r="E108" s="409"/>
      <c r="F108" s="409"/>
      <c r="G108" s="409">
        <v>4.8</v>
      </c>
      <c r="H108" s="409">
        <v>4.5999999999999996</v>
      </c>
      <c r="I108" s="409">
        <v>1</v>
      </c>
      <c r="J108" s="410" t="str">
        <f t="shared" si="15"/>
        <v>--</v>
      </c>
      <c r="K108" s="411" t="str">
        <f t="shared" si="16"/>
        <v>--</v>
      </c>
      <c r="L108" s="411">
        <f t="shared" si="17"/>
        <v>44.827586206896548</v>
      </c>
      <c r="M108" s="411">
        <f t="shared" si="18"/>
        <v>47.126436781609193</v>
      </c>
      <c r="N108" s="411">
        <f t="shared" si="19"/>
        <v>88.505747126436788</v>
      </c>
      <c r="O108" s="357"/>
    </row>
    <row r="109" spans="1:15">
      <c r="A109" s="1"/>
      <c r="B109" s="407">
        <v>36703</v>
      </c>
      <c r="C109" s="392">
        <v>80</v>
      </c>
      <c r="D109" s="408">
        <v>7.7</v>
      </c>
      <c r="E109" s="409"/>
      <c r="F109" s="409"/>
      <c r="G109" s="409">
        <v>4.9000000000000004</v>
      </c>
      <c r="H109" s="409">
        <v>4.5</v>
      </c>
      <c r="I109" s="409">
        <v>1.2</v>
      </c>
      <c r="J109" s="410" t="str">
        <f t="shared" si="15"/>
        <v>--</v>
      </c>
      <c r="K109" s="411" t="str">
        <f t="shared" si="16"/>
        <v>--</v>
      </c>
      <c r="L109" s="411">
        <f t="shared" si="17"/>
        <v>36.36363636363636</v>
      </c>
      <c r="M109" s="411">
        <f t="shared" si="18"/>
        <v>41.558441558441558</v>
      </c>
      <c r="N109" s="411">
        <f t="shared" si="19"/>
        <v>84.415584415584405</v>
      </c>
      <c r="O109" s="357"/>
    </row>
    <row r="110" spans="1:15">
      <c r="A110" s="1"/>
      <c r="B110" s="407">
        <v>36710</v>
      </c>
      <c r="C110" s="392">
        <v>85</v>
      </c>
      <c r="D110" s="408">
        <v>8.4</v>
      </c>
      <c r="E110" s="409"/>
      <c r="F110" s="409"/>
      <c r="G110" s="409">
        <v>4.5</v>
      </c>
      <c r="H110" s="409">
        <v>4.4000000000000004</v>
      </c>
      <c r="I110" s="409">
        <v>1.1000000000000001</v>
      </c>
      <c r="J110" s="410" t="str">
        <f t="shared" si="15"/>
        <v>--</v>
      </c>
      <c r="K110" s="411" t="str">
        <f t="shared" si="16"/>
        <v>--</v>
      </c>
      <c r="L110" s="411">
        <f t="shared" si="17"/>
        <v>46.428571428571431</v>
      </c>
      <c r="M110" s="411">
        <f t="shared" si="18"/>
        <v>47.619047619047613</v>
      </c>
      <c r="N110" s="411">
        <f t="shared" si="19"/>
        <v>86.904761904761912</v>
      </c>
      <c r="O110" s="357"/>
    </row>
    <row r="111" spans="1:15">
      <c r="A111" s="1"/>
      <c r="B111" s="407">
        <v>36717</v>
      </c>
      <c r="C111" s="392">
        <v>85</v>
      </c>
      <c r="D111" s="408">
        <v>8.8000000000000007</v>
      </c>
      <c r="E111" s="409"/>
      <c r="F111" s="409"/>
      <c r="G111" s="409">
        <v>4.8</v>
      </c>
      <c r="H111" s="409">
        <v>4.5</v>
      </c>
      <c r="I111" s="409">
        <v>1.5</v>
      </c>
      <c r="J111" s="410" t="str">
        <f t="shared" si="15"/>
        <v>--</v>
      </c>
      <c r="K111" s="411" t="str">
        <f t="shared" si="16"/>
        <v>--</v>
      </c>
      <c r="L111" s="411">
        <f t="shared" si="17"/>
        <v>45.45454545454546</v>
      </c>
      <c r="M111" s="411">
        <f t="shared" si="18"/>
        <v>48.863636363636367</v>
      </c>
      <c r="N111" s="411">
        <f t="shared" si="19"/>
        <v>82.954545454545453</v>
      </c>
      <c r="O111" s="357"/>
    </row>
    <row r="112" spans="1:15">
      <c r="A112" s="1"/>
      <c r="B112" s="407">
        <v>36724</v>
      </c>
      <c r="C112" s="392">
        <v>85</v>
      </c>
      <c r="D112" s="408">
        <v>10.199999999999999</v>
      </c>
      <c r="E112" s="409"/>
      <c r="F112" s="409"/>
      <c r="G112" s="409">
        <v>5</v>
      </c>
      <c r="H112" s="409">
        <v>5.2</v>
      </c>
      <c r="I112" s="409">
        <v>2.7</v>
      </c>
      <c r="J112" s="410" t="str">
        <f t="shared" si="15"/>
        <v>--</v>
      </c>
      <c r="K112" s="411" t="str">
        <f t="shared" si="16"/>
        <v>--</v>
      </c>
      <c r="L112" s="411">
        <f t="shared" si="17"/>
        <v>50.980392156862742</v>
      </c>
      <c r="M112" s="411">
        <f t="shared" si="18"/>
        <v>49.019607843137244</v>
      </c>
      <c r="N112" s="411">
        <f t="shared" si="19"/>
        <v>73.52941176470587</v>
      </c>
      <c r="O112" s="357"/>
    </row>
    <row r="113" spans="1:15">
      <c r="A113" s="1"/>
      <c r="B113" s="407">
        <v>36731</v>
      </c>
      <c r="C113" s="392">
        <v>80</v>
      </c>
      <c r="D113" s="408">
        <v>8.4</v>
      </c>
      <c r="E113" s="409"/>
      <c r="F113" s="409"/>
      <c r="G113" s="409">
        <v>4.7</v>
      </c>
      <c r="H113" s="409">
        <v>4.7</v>
      </c>
      <c r="I113" s="409">
        <v>2.2000000000000002</v>
      </c>
      <c r="J113" s="410" t="str">
        <f t="shared" si="15"/>
        <v>--</v>
      </c>
      <c r="K113" s="411" t="str">
        <f t="shared" si="16"/>
        <v>--</v>
      </c>
      <c r="L113" s="411">
        <f t="shared" si="17"/>
        <v>44.047619047619044</v>
      </c>
      <c r="M113" s="411">
        <f t="shared" si="18"/>
        <v>44.047619047619044</v>
      </c>
      <c r="N113" s="411">
        <f t="shared" si="19"/>
        <v>73.80952380952381</v>
      </c>
      <c r="O113" s="357"/>
    </row>
    <row r="114" spans="1:15">
      <c r="A114" s="1"/>
      <c r="B114" s="407">
        <v>36738</v>
      </c>
      <c r="C114" s="392">
        <v>75</v>
      </c>
      <c r="D114" s="408">
        <v>8.6999999999999993</v>
      </c>
      <c r="E114" s="409"/>
      <c r="F114" s="409"/>
      <c r="G114" s="409">
        <v>5</v>
      </c>
      <c r="H114" s="409">
        <v>5.0999999999999996</v>
      </c>
      <c r="I114" s="409">
        <v>2.8</v>
      </c>
      <c r="J114" s="410" t="str">
        <f t="shared" si="15"/>
        <v>--</v>
      </c>
      <c r="K114" s="411" t="str">
        <f t="shared" si="16"/>
        <v>--</v>
      </c>
      <c r="L114" s="411">
        <f t="shared" si="17"/>
        <v>42.528735632183903</v>
      </c>
      <c r="M114" s="411">
        <f t="shared" si="18"/>
        <v>41.379310344827587</v>
      </c>
      <c r="N114" s="411">
        <f t="shared" si="19"/>
        <v>67.81609195402298</v>
      </c>
      <c r="O114" s="357"/>
    </row>
    <row r="115" spans="1:15">
      <c r="A115" s="1"/>
      <c r="B115" s="407">
        <v>36746</v>
      </c>
      <c r="C115" s="392">
        <v>75</v>
      </c>
      <c r="D115" s="408">
        <v>8.8000000000000007</v>
      </c>
      <c r="E115" s="409"/>
      <c r="F115" s="409"/>
      <c r="G115" s="409">
        <v>4.7</v>
      </c>
      <c r="H115" s="409">
        <v>4.7</v>
      </c>
      <c r="I115" s="409">
        <v>2.5</v>
      </c>
      <c r="J115" s="410" t="str">
        <f t="shared" si="15"/>
        <v>--</v>
      </c>
      <c r="K115" s="411" t="str">
        <f t="shared" si="16"/>
        <v>--</v>
      </c>
      <c r="L115" s="411">
        <f t="shared" si="17"/>
        <v>46.590909090909093</v>
      </c>
      <c r="M115" s="411">
        <f t="shared" si="18"/>
        <v>46.590909090909093</v>
      </c>
      <c r="N115" s="411">
        <f t="shared" si="19"/>
        <v>71.590909090909093</v>
      </c>
      <c r="O115" s="357"/>
    </row>
    <row r="116" spans="1:15">
      <c r="A116" s="1"/>
      <c r="B116" s="407">
        <v>36752</v>
      </c>
      <c r="C116" s="392">
        <v>75</v>
      </c>
      <c r="D116" s="408">
        <v>8.4</v>
      </c>
      <c r="E116" s="409"/>
      <c r="F116" s="409"/>
      <c r="G116" s="409">
        <v>5.0999999999999996</v>
      </c>
      <c r="H116" s="409">
        <v>5.3</v>
      </c>
      <c r="I116" s="409">
        <v>2.9</v>
      </c>
      <c r="J116" s="410" t="str">
        <f t="shared" si="15"/>
        <v>--</v>
      </c>
      <c r="K116" s="411" t="str">
        <f t="shared" si="16"/>
        <v>--</v>
      </c>
      <c r="L116" s="411">
        <f t="shared" si="17"/>
        <v>39.285714285714292</v>
      </c>
      <c r="M116" s="411">
        <f t="shared" si="18"/>
        <v>36.904761904761905</v>
      </c>
      <c r="N116" s="411">
        <f t="shared" si="19"/>
        <v>65.476190476190482</v>
      </c>
      <c r="O116" s="357"/>
    </row>
    <row r="117" spans="1:15">
      <c r="A117" s="1"/>
      <c r="B117" s="407">
        <v>36759</v>
      </c>
      <c r="C117" s="392">
        <v>75</v>
      </c>
      <c r="D117" s="408">
        <v>8.6</v>
      </c>
      <c r="E117" s="409"/>
      <c r="F117" s="409"/>
      <c r="G117" s="409">
        <v>4.8</v>
      </c>
      <c r="H117" s="409">
        <v>4.7</v>
      </c>
      <c r="I117" s="409">
        <v>1.9</v>
      </c>
      <c r="J117" s="410" t="str">
        <f t="shared" si="15"/>
        <v>--</v>
      </c>
      <c r="K117" s="411" t="str">
        <f t="shared" si="16"/>
        <v>--</v>
      </c>
      <c r="L117" s="411">
        <f t="shared" si="17"/>
        <v>44.186046511627907</v>
      </c>
      <c r="M117" s="411">
        <f t="shared" si="18"/>
        <v>45.348837209302324</v>
      </c>
      <c r="N117" s="411">
        <f t="shared" si="19"/>
        <v>77.906976744186039</v>
      </c>
      <c r="O117" s="357"/>
    </row>
    <row r="118" spans="1:15">
      <c r="A118" s="1"/>
      <c r="B118" s="407">
        <v>36766</v>
      </c>
      <c r="C118" s="392">
        <v>85</v>
      </c>
      <c r="D118" s="408">
        <v>9</v>
      </c>
      <c r="E118" s="409"/>
      <c r="F118" s="409"/>
      <c r="G118" s="409">
        <v>4.5999999999999996</v>
      </c>
      <c r="H118" s="409">
        <v>4.5999999999999996</v>
      </c>
      <c r="I118" s="409">
        <v>2.4</v>
      </c>
      <c r="J118" s="410" t="str">
        <f t="shared" si="15"/>
        <v>--</v>
      </c>
      <c r="K118" s="411" t="str">
        <f t="shared" si="16"/>
        <v>--</v>
      </c>
      <c r="L118" s="411">
        <f t="shared" si="17"/>
        <v>48.888888888888893</v>
      </c>
      <c r="M118" s="411">
        <f t="shared" si="18"/>
        <v>48.888888888888893</v>
      </c>
      <c r="N118" s="411">
        <f t="shared" si="19"/>
        <v>73.333333333333329</v>
      </c>
      <c r="O118" s="357"/>
    </row>
    <row r="119" spans="1:15">
      <c r="A119" s="1"/>
      <c r="B119" s="407">
        <v>36774</v>
      </c>
      <c r="C119" s="392">
        <v>85</v>
      </c>
      <c r="D119" s="408">
        <v>8.9</v>
      </c>
      <c r="E119" s="409"/>
      <c r="F119" s="409"/>
      <c r="G119" s="409">
        <v>4.5999999999999996</v>
      </c>
      <c r="H119" s="409">
        <v>4.5</v>
      </c>
      <c r="I119" s="409">
        <v>2.7</v>
      </c>
      <c r="J119" s="410" t="str">
        <f t="shared" si="15"/>
        <v>--</v>
      </c>
      <c r="K119" s="411" t="str">
        <f t="shared" si="16"/>
        <v>--</v>
      </c>
      <c r="L119" s="411">
        <f t="shared" si="17"/>
        <v>48.314606741573044</v>
      </c>
      <c r="M119" s="411">
        <f t="shared" si="18"/>
        <v>49.438202247191015</v>
      </c>
      <c r="N119" s="411">
        <f t="shared" si="19"/>
        <v>69.662921348314612</v>
      </c>
      <c r="O119" s="357"/>
    </row>
    <row r="120" spans="1:15">
      <c r="A120" s="1"/>
      <c r="B120" s="407">
        <v>36780</v>
      </c>
      <c r="C120" s="392">
        <v>85</v>
      </c>
      <c r="D120" s="408">
        <v>8.4</v>
      </c>
      <c r="E120" s="409"/>
      <c r="F120" s="409"/>
      <c r="G120" s="409">
        <v>4.4000000000000004</v>
      </c>
      <c r="H120" s="409">
        <v>4.5999999999999996</v>
      </c>
      <c r="I120" s="409">
        <v>2.8</v>
      </c>
      <c r="J120" s="410" t="str">
        <f t="shared" si="15"/>
        <v>--</v>
      </c>
      <c r="K120" s="411" t="str">
        <f t="shared" si="16"/>
        <v>--</v>
      </c>
      <c r="L120" s="411">
        <f t="shared" si="17"/>
        <v>47.619047619047613</v>
      </c>
      <c r="M120" s="411">
        <f t="shared" si="18"/>
        <v>45.238095238095241</v>
      </c>
      <c r="N120" s="411">
        <f t="shared" si="19"/>
        <v>66.666666666666671</v>
      </c>
      <c r="O120" s="357"/>
    </row>
    <row r="121" spans="1:15">
      <c r="A121" s="1"/>
      <c r="B121" s="407">
        <v>36787</v>
      </c>
      <c r="C121" s="392">
        <v>85</v>
      </c>
      <c r="D121" s="408">
        <v>8</v>
      </c>
      <c r="E121" s="409"/>
      <c r="F121" s="409"/>
      <c r="G121" s="409">
        <v>4.4000000000000004</v>
      </c>
      <c r="H121" s="409">
        <v>4.3</v>
      </c>
      <c r="I121" s="409">
        <v>2.9</v>
      </c>
      <c r="J121" s="410" t="str">
        <f t="shared" si="15"/>
        <v>--</v>
      </c>
      <c r="K121" s="411" t="str">
        <f t="shared" si="16"/>
        <v>--</v>
      </c>
      <c r="L121" s="411">
        <f t="shared" si="17"/>
        <v>44.999999999999993</v>
      </c>
      <c r="M121" s="411">
        <f t="shared" si="18"/>
        <v>46.25</v>
      </c>
      <c r="N121" s="411">
        <f t="shared" si="19"/>
        <v>63.749999999999993</v>
      </c>
      <c r="O121" s="357"/>
    </row>
    <row r="122" spans="1:15">
      <c r="A122" s="1"/>
      <c r="B122" s="407">
        <v>36794</v>
      </c>
      <c r="C122" s="392">
        <v>90</v>
      </c>
      <c r="D122" s="408">
        <v>7</v>
      </c>
      <c r="E122" s="409"/>
      <c r="F122" s="409"/>
      <c r="G122" s="409">
        <v>4.0999999999999996</v>
      </c>
      <c r="H122" s="409">
        <v>4.2</v>
      </c>
      <c r="I122" s="409">
        <v>2.5</v>
      </c>
      <c r="J122" s="410" t="str">
        <f t="shared" si="15"/>
        <v>--</v>
      </c>
      <c r="K122" s="411" t="str">
        <f t="shared" si="16"/>
        <v>--</v>
      </c>
      <c r="L122" s="411">
        <f t="shared" si="17"/>
        <v>41.428571428571431</v>
      </c>
      <c r="M122" s="411">
        <f t="shared" si="18"/>
        <v>40</v>
      </c>
      <c r="N122" s="411">
        <f t="shared" si="19"/>
        <v>64.285714285714292</v>
      </c>
      <c r="O122" s="357"/>
    </row>
    <row r="123" spans="1:15">
      <c r="A123" s="1"/>
      <c r="B123" s="407">
        <v>36802</v>
      </c>
      <c r="C123" s="392">
        <v>80</v>
      </c>
      <c r="D123" s="408">
        <v>8</v>
      </c>
      <c r="E123" s="409">
        <v>7.4</v>
      </c>
      <c r="F123" s="409"/>
      <c r="G123" s="409">
        <v>4.4000000000000004</v>
      </c>
      <c r="H123" s="409">
        <v>4.0999999999999996</v>
      </c>
      <c r="I123" s="409">
        <v>2.9</v>
      </c>
      <c r="J123" s="410">
        <f t="shared" si="15"/>
        <v>7.4999999999999956</v>
      </c>
      <c r="K123" s="411" t="str">
        <f t="shared" si="16"/>
        <v>--</v>
      </c>
      <c r="L123" s="411">
        <f t="shared" si="17"/>
        <v>44.999999999999993</v>
      </c>
      <c r="M123" s="411">
        <f t="shared" si="18"/>
        <v>48.750000000000007</v>
      </c>
      <c r="N123" s="411">
        <f t="shared" si="19"/>
        <v>63.749999999999993</v>
      </c>
      <c r="O123" s="357"/>
    </row>
    <row r="124" spans="1:15">
      <c r="A124" s="1"/>
      <c r="B124" s="407">
        <v>36809</v>
      </c>
      <c r="C124" s="392">
        <v>65</v>
      </c>
      <c r="D124" s="408">
        <v>8.6</v>
      </c>
      <c r="E124" s="409"/>
      <c r="F124" s="409"/>
      <c r="G124" s="409">
        <v>5</v>
      </c>
      <c r="H124" s="409">
        <v>4.8</v>
      </c>
      <c r="I124" s="409">
        <v>3.6</v>
      </c>
      <c r="J124" s="410" t="str">
        <f t="shared" si="15"/>
        <v>--</v>
      </c>
      <c r="K124" s="411" t="str">
        <f t="shared" si="16"/>
        <v>--</v>
      </c>
      <c r="L124" s="411">
        <f t="shared" si="17"/>
        <v>41.860465116279066</v>
      </c>
      <c r="M124" s="411">
        <f t="shared" si="18"/>
        <v>44.186046511627907</v>
      </c>
      <c r="N124" s="411">
        <f t="shared" si="19"/>
        <v>58.139534883720934</v>
      </c>
      <c r="O124" s="357"/>
    </row>
    <row r="125" spans="1:15">
      <c r="A125" s="1"/>
      <c r="B125" s="407">
        <v>36815</v>
      </c>
      <c r="C125" s="392">
        <v>65</v>
      </c>
      <c r="D125" s="408">
        <v>8.1999999999999993</v>
      </c>
      <c r="E125" s="409"/>
      <c r="F125" s="409"/>
      <c r="G125" s="409">
        <v>4.8</v>
      </c>
      <c r="H125" s="409">
        <v>4.5999999999999996</v>
      </c>
      <c r="I125" s="409">
        <v>3.6</v>
      </c>
      <c r="J125" s="410" t="str">
        <f t="shared" si="15"/>
        <v>--</v>
      </c>
      <c r="K125" s="411" t="str">
        <f t="shared" si="16"/>
        <v>--</v>
      </c>
      <c r="L125" s="411">
        <f t="shared" si="17"/>
        <v>41.463414634146339</v>
      </c>
      <c r="M125" s="411">
        <f t="shared" si="18"/>
        <v>43.902439024390247</v>
      </c>
      <c r="N125" s="411">
        <f t="shared" si="19"/>
        <v>56.09756097560976</v>
      </c>
      <c r="O125" s="357"/>
    </row>
    <row r="126" spans="1:15">
      <c r="A126" s="1"/>
      <c r="B126" s="407">
        <v>36822</v>
      </c>
      <c r="C126" s="392">
        <v>65</v>
      </c>
      <c r="D126" s="408">
        <v>8.1</v>
      </c>
      <c r="E126" s="409"/>
      <c r="F126" s="409"/>
      <c r="G126" s="409">
        <v>4.8</v>
      </c>
      <c r="H126" s="409">
        <v>4.7</v>
      </c>
      <c r="I126" s="409">
        <v>3.6</v>
      </c>
      <c r="J126" s="410" t="str">
        <f t="shared" si="15"/>
        <v>--</v>
      </c>
      <c r="K126" s="411" t="str">
        <f t="shared" si="16"/>
        <v>--</v>
      </c>
      <c r="L126" s="411">
        <f t="shared" si="17"/>
        <v>40.74074074074074</v>
      </c>
      <c r="M126" s="411">
        <f t="shared" si="18"/>
        <v>41.975308641975303</v>
      </c>
      <c r="N126" s="411">
        <f t="shared" si="19"/>
        <v>55.555555555555557</v>
      </c>
      <c r="O126" s="357"/>
    </row>
    <row r="127" spans="1:15">
      <c r="A127" s="1"/>
      <c r="B127" s="407">
        <v>36830</v>
      </c>
      <c r="C127" s="392">
        <v>60</v>
      </c>
      <c r="D127" s="408">
        <v>7.8</v>
      </c>
      <c r="E127" s="409"/>
      <c r="F127" s="409"/>
      <c r="G127" s="409">
        <v>4.5</v>
      </c>
      <c r="H127" s="409">
        <v>4.4000000000000004</v>
      </c>
      <c r="I127" s="409">
        <v>3.6</v>
      </c>
      <c r="J127" s="410" t="str">
        <f t="shared" si="15"/>
        <v>--</v>
      </c>
      <c r="K127" s="411" t="str">
        <f t="shared" si="16"/>
        <v>--</v>
      </c>
      <c r="L127" s="411">
        <f t="shared" si="17"/>
        <v>42.307692307692307</v>
      </c>
      <c r="M127" s="411">
        <f t="shared" si="18"/>
        <v>43.589743589743584</v>
      </c>
      <c r="N127" s="411">
        <f t="shared" si="19"/>
        <v>53.846153846153847</v>
      </c>
      <c r="O127" s="357"/>
    </row>
    <row r="128" spans="1:15">
      <c r="A128" s="1"/>
      <c r="B128" s="407">
        <v>36837</v>
      </c>
      <c r="C128" s="392">
        <v>55</v>
      </c>
      <c r="D128" s="408">
        <v>7.6</v>
      </c>
      <c r="E128" s="409"/>
      <c r="F128" s="409"/>
      <c r="G128" s="409">
        <v>4.5</v>
      </c>
      <c r="H128" s="409">
        <v>4.4000000000000004</v>
      </c>
      <c r="I128" s="409">
        <v>3.6</v>
      </c>
      <c r="J128" s="410" t="str">
        <f t="shared" si="15"/>
        <v>--</v>
      </c>
      <c r="K128" s="411" t="str">
        <f t="shared" si="16"/>
        <v>--</v>
      </c>
      <c r="L128" s="411">
        <f t="shared" si="17"/>
        <v>40.789473684210527</v>
      </c>
      <c r="M128" s="411">
        <f t="shared" si="18"/>
        <v>42.105263157894726</v>
      </c>
      <c r="N128" s="411">
        <f t="shared" si="19"/>
        <v>52.631578947368418</v>
      </c>
      <c r="O128" s="357"/>
    </row>
    <row r="129" spans="1:15">
      <c r="A129" s="1"/>
      <c r="B129" s="407">
        <v>36843</v>
      </c>
      <c r="C129" s="392">
        <v>60</v>
      </c>
      <c r="D129" s="408">
        <v>7.6</v>
      </c>
      <c r="E129" s="409"/>
      <c r="F129" s="409"/>
      <c r="G129" s="409">
        <v>4.5999999999999996</v>
      </c>
      <c r="H129" s="409">
        <v>4.5</v>
      </c>
      <c r="I129" s="409">
        <v>3.9</v>
      </c>
      <c r="J129" s="410" t="str">
        <f t="shared" si="15"/>
        <v>--</v>
      </c>
      <c r="K129" s="411" t="str">
        <f t="shared" si="16"/>
        <v>--</v>
      </c>
      <c r="L129" s="411">
        <f t="shared" si="17"/>
        <v>39.473684210526315</v>
      </c>
      <c r="M129" s="411">
        <f t="shared" si="18"/>
        <v>40.789473684210527</v>
      </c>
      <c r="N129" s="411">
        <f t="shared" si="19"/>
        <v>48.684210526315788</v>
      </c>
      <c r="O129" s="357"/>
    </row>
    <row r="130" spans="1:15">
      <c r="A130" s="1"/>
      <c r="B130" s="407">
        <v>36850</v>
      </c>
      <c r="C130" s="392">
        <v>60</v>
      </c>
      <c r="D130" s="408">
        <v>8</v>
      </c>
      <c r="E130" s="409"/>
      <c r="F130" s="409"/>
      <c r="G130" s="409">
        <v>4.5999999999999996</v>
      </c>
      <c r="H130" s="409"/>
      <c r="I130" s="409">
        <v>4.5999999999999996</v>
      </c>
      <c r="J130" s="410" t="str">
        <f t="shared" si="15"/>
        <v>--</v>
      </c>
      <c r="K130" s="411" t="str">
        <f t="shared" si="16"/>
        <v>--</v>
      </c>
      <c r="L130" s="411">
        <f t="shared" si="17"/>
        <v>42.500000000000007</v>
      </c>
      <c r="M130" s="411" t="str">
        <f t="shared" si="18"/>
        <v>--</v>
      </c>
      <c r="N130" s="411">
        <f t="shared" si="19"/>
        <v>42.500000000000007</v>
      </c>
      <c r="O130" s="357"/>
    </row>
    <row r="131" spans="1:15">
      <c r="A131" s="1"/>
      <c r="B131" s="407">
        <v>36857</v>
      </c>
      <c r="C131" s="392">
        <v>57.5</v>
      </c>
      <c r="D131" s="408">
        <v>8</v>
      </c>
      <c r="E131" s="409"/>
      <c r="F131" s="409"/>
      <c r="G131" s="409">
        <v>4.9000000000000004</v>
      </c>
      <c r="H131" s="409"/>
      <c r="I131" s="409">
        <v>4.8</v>
      </c>
      <c r="J131" s="410" t="str">
        <f t="shared" si="15"/>
        <v>--</v>
      </c>
      <c r="K131" s="411" t="str">
        <f t="shared" si="16"/>
        <v>--</v>
      </c>
      <c r="L131" s="411">
        <f t="shared" si="17"/>
        <v>38.749999999999993</v>
      </c>
      <c r="M131" s="411" t="str">
        <f t="shared" si="18"/>
        <v>--</v>
      </c>
      <c r="N131" s="411">
        <f t="shared" si="19"/>
        <v>40</v>
      </c>
      <c r="O131" s="357"/>
    </row>
    <row r="132" spans="1:15">
      <c r="A132" s="1"/>
      <c r="B132" s="407">
        <v>36864</v>
      </c>
      <c r="C132" s="392">
        <v>60</v>
      </c>
      <c r="D132" s="408">
        <v>7.6</v>
      </c>
      <c r="E132" s="409"/>
      <c r="F132" s="409"/>
      <c r="G132" s="409">
        <v>4.5999999999999996</v>
      </c>
      <c r="H132" s="409"/>
      <c r="I132" s="409">
        <v>4.7</v>
      </c>
      <c r="J132" s="410" t="str">
        <f t="shared" ref="J132:J163" si="20">IF(OR(COUNT($D132)=0,COUNT(E132)=0),"--",($D132-E132)/$D132*100)</f>
        <v>--</v>
      </c>
      <c r="K132" s="411" t="str">
        <f t="shared" ref="K132:K163" si="21">IF(OR(COUNT($D132)=0,COUNT(F132)=0),"--",($D132-F132)/$D132*100)</f>
        <v>--</v>
      </c>
      <c r="L132" s="411">
        <f t="shared" ref="L132:L163" si="22">IF(OR(COUNT($D132)=0,COUNT(G132)=0),"--",($D132-G132)/$D132*100)</f>
        <v>39.473684210526315</v>
      </c>
      <c r="M132" s="411" t="str">
        <f t="shared" ref="M132:M163" si="23">IF(OR(COUNT($D132)=0,COUNT(H132)=0),"--",($D132-H132)/$D132*100)</f>
        <v>--</v>
      </c>
      <c r="N132" s="411">
        <f t="shared" ref="N132:N163" si="24">IF(OR(COUNT($D132)=0,COUNT(I132)=0),"--",($D132-I132)/$D132*100)</f>
        <v>38.157894736842103</v>
      </c>
      <c r="O132" s="357"/>
    </row>
    <row r="133" spans="1:15">
      <c r="A133" s="1"/>
      <c r="B133" s="407">
        <v>36871</v>
      </c>
      <c r="C133" s="392">
        <v>55</v>
      </c>
      <c r="D133" s="408">
        <v>7.9</v>
      </c>
      <c r="E133" s="409"/>
      <c r="F133" s="409"/>
      <c r="G133" s="409"/>
      <c r="H133" s="409"/>
      <c r="I133" s="409">
        <v>5</v>
      </c>
      <c r="J133" s="410" t="str">
        <f t="shared" si="20"/>
        <v>--</v>
      </c>
      <c r="K133" s="411" t="str">
        <f t="shared" si="21"/>
        <v>--</v>
      </c>
      <c r="L133" s="411" t="str">
        <f t="shared" si="22"/>
        <v>--</v>
      </c>
      <c r="M133" s="411" t="str">
        <f t="shared" si="23"/>
        <v>--</v>
      </c>
      <c r="N133" s="411">
        <f t="shared" si="24"/>
        <v>36.708860759493675</v>
      </c>
      <c r="O133" s="357"/>
    </row>
    <row r="134" spans="1:15">
      <c r="A134" s="1"/>
      <c r="B134" s="407">
        <v>36881</v>
      </c>
      <c r="C134" s="392">
        <v>60</v>
      </c>
      <c r="D134" s="408">
        <v>8.5</v>
      </c>
      <c r="E134" s="409"/>
      <c r="F134" s="409"/>
      <c r="G134" s="409">
        <v>5.4</v>
      </c>
      <c r="H134" s="409"/>
      <c r="I134" s="409">
        <v>5.2</v>
      </c>
      <c r="J134" s="410" t="str">
        <f t="shared" si="20"/>
        <v>--</v>
      </c>
      <c r="K134" s="411" t="str">
        <f t="shared" si="21"/>
        <v>--</v>
      </c>
      <c r="L134" s="411">
        <f t="shared" si="22"/>
        <v>36.470588235294116</v>
      </c>
      <c r="M134" s="411" t="str">
        <f t="shared" si="23"/>
        <v>--</v>
      </c>
      <c r="N134" s="411">
        <f t="shared" si="24"/>
        <v>38.823529411764703</v>
      </c>
      <c r="O134" s="357"/>
    </row>
    <row r="135" spans="1:15">
      <c r="A135" s="1"/>
      <c r="B135" s="407">
        <v>36894</v>
      </c>
      <c r="C135" s="392">
        <v>60</v>
      </c>
      <c r="D135" s="408">
        <v>8.1999999999999993</v>
      </c>
      <c r="E135" s="409"/>
      <c r="F135" s="409"/>
      <c r="G135" s="409">
        <v>5.3</v>
      </c>
      <c r="H135" s="409"/>
      <c r="I135" s="409">
        <v>5.3</v>
      </c>
      <c r="J135" s="410" t="str">
        <f t="shared" si="20"/>
        <v>--</v>
      </c>
      <c r="K135" s="411" t="str">
        <f t="shared" si="21"/>
        <v>--</v>
      </c>
      <c r="L135" s="411">
        <f t="shared" si="22"/>
        <v>35.365853658536587</v>
      </c>
      <c r="M135" s="411" t="str">
        <f t="shared" si="23"/>
        <v>--</v>
      </c>
      <c r="N135" s="411">
        <f t="shared" si="24"/>
        <v>35.365853658536587</v>
      </c>
      <c r="O135" s="357"/>
    </row>
    <row r="136" spans="1:15">
      <c r="A136" s="1"/>
      <c r="B136" s="407">
        <v>36899</v>
      </c>
      <c r="C136" s="392">
        <v>60</v>
      </c>
      <c r="D136" s="408">
        <v>8.9</v>
      </c>
      <c r="E136" s="409"/>
      <c r="F136" s="409"/>
      <c r="G136" s="409">
        <v>5.6</v>
      </c>
      <c r="H136" s="409"/>
      <c r="I136" s="409">
        <v>5.5</v>
      </c>
      <c r="J136" s="410" t="str">
        <f t="shared" si="20"/>
        <v>--</v>
      </c>
      <c r="K136" s="411" t="str">
        <f t="shared" si="21"/>
        <v>--</v>
      </c>
      <c r="L136" s="411">
        <f t="shared" si="22"/>
        <v>37.078651685393268</v>
      </c>
      <c r="M136" s="411" t="str">
        <f t="shared" si="23"/>
        <v>--</v>
      </c>
      <c r="N136" s="411">
        <f t="shared" si="24"/>
        <v>38.202247191011239</v>
      </c>
      <c r="O136" s="357"/>
    </row>
    <row r="137" spans="1:15">
      <c r="A137" s="1"/>
      <c r="B137" s="407">
        <v>36906</v>
      </c>
      <c r="C137" s="392">
        <v>60</v>
      </c>
      <c r="D137" s="408">
        <v>8.1999999999999993</v>
      </c>
      <c r="E137" s="409"/>
      <c r="F137" s="409"/>
      <c r="G137" s="409">
        <v>5.6</v>
      </c>
      <c r="H137" s="409"/>
      <c r="I137" s="409">
        <v>5.4</v>
      </c>
      <c r="J137" s="410" t="str">
        <f t="shared" si="20"/>
        <v>--</v>
      </c>
      <c r="K137" s="411" t="str">
        <f t="shared" si="21"/>
        <v>--</v>
      </c>
      <c r="L137" s="411">
        <f t="shared" si="22"/>
        <v>31.707317073170731</v>
      </c>
      <c r="M137" s="411" t="str">
        <f t="shared" si="23"/>
        <v>--</v>
      </c>
      <c r="N137" s="411">
        <f t="shared" si="24"/>
        <v>34.146341463414629</v>
      </c>
      <c r="O137" s="357"/>
    </row>
    <row r="138" spans="1:15">
      <c r="A138" s="1"/>
      <c r="B138" s="407">
        <v>36913</v>
      </c>
      <c r="C138" s="392">
        <v>60</v>
      </c>
      <c r="D138" s="408">
        <v>8.3000000000000007</v>
      </c>
      <c r="E138" s="409"/>
      <c r="F138" s="409"/>
      <c r="G138" s="409">
        <v>5.5</v>
      </c>
      <c r="H138" s="409"/>
      <c r="I138" s="409">
        <v>5.4</v>
      </c>
      <c r="J138" s="410" t="str">
        <f t="shared" si="20"/>
        <v>--</v>
      </c>
      <c r="K138" s="411" t="str">
        <f t="shared" si="21"/>
        <v>--</v>
      </c>
      <c r="L138" s="411">
        <f t="shared" si="22"/>
        <v>33.734939759036145</v>
      </c>
      <c r="M138" s="411" t="str">
        <f t="shared" si="23"/>
        <v>--</v>
      </c>
      <c r="N138" s="411">
        <f t="shared" si="24"/>
        <v>34.939759036144579</v>
      </c>
      <c r="O138" s="357"/>
    </row>
    <row r="139" spans="1:15">
      <c r="A139" s="1"/>
      <c r="B139" s="407">
        <v>36922</v>
      </c>
      <c r="C139" s="392">
        <v>60</v>
      </c>
      <c r="D139" s="408">
        <v>7.9</v>
      </c>
      <c r="E139" s="409"/>
      <c r="F139" s="409"/>
      <c r="G139" s="409">
        <v>5.4</v>
      </c>
      <c r="H139" s="409"/>
      <c r="I139" s="409">
        <v>5.3</v>
      </c>
      <c r="J139" s="410" t="str">
        <f t="shared" si="20"/>
        <v>--</v>
      </c>
      <c r="K139" s="411" t="str">
        <f t="shared" si="21"/>
        <v>--</v>
      </c>
      <c r="L139" s="411">
        <f t="shared" si="22"/>
        <v>31.645569620253163</v>
      </c>
      <c r="M139" s="411" t="str">
        <f t="shared" si="23"/>
        <v>--</v>
      </c>
      <c r="N139" s="411">
        <f t="shared" si="24"/>
        <v>32.911392405063296</v>
      </c>
      <c r="O139" s="357"/>
    </row>
    <row r="140" spans="1:15">
      <c r="A140" s="1"/>
      <c r="B140" s="407">
        <v>36928</v>
      </c>
      <c r="C140" s="392">
        <v>60</v>
      </c>
      <c r="D140" s="408">
        <v>8.1999999999999993</v>
      </c>
      <c r="E140" s="409"/>
      <c r="F140" s="409"/>
      <c r="G140" s="409">
        <v>5.4</v>
      </c>
      <c r="H140" s="409"/>
      <c r="I140" s="409">
        <v>5.4</v>
      </c>
      <c r="J140" s="410" t="str">
        <f t="shared" si="20"/>
        <v>--</v>
      </c>
      <c r="K140" s="411" t="str">
        <f t="shared" si="21"/>
        <v>--</v>
      </c>
      <c r="L140" s="411">
        <f t="shared" si="22"/>
        <v>34.146341463414629</v>
      </c>
      <c r="M140" s="411" t="str">
        <f t="shared" si="23"/>
        <v>--</v>
      </c>
      <c r="N140" s="411">
        <f t="shared" si="24"/>
        <v>34.146341463414629</v>
      </c>
      <c r="O140" s="357"/>
    </row>
    <row r="141" spans="1:15">
      <c r="A141" s="1"/>
      <c r="B141" s="407">
        <v>36935</v>
      </c>
      <c r="C141" s="392">
        <v>60</v>
      </c>
      <c r="D141" s="408">
        <v>7.8</v>
      </c>
      <c r="E141" s="409"/>
      <c r="F141" s="409"/>
      <c r="G141" s="409">
        <v>5.5</v>
      </c>
      <c r="H141" s="409"/>
      <c r="I141" s="409">
        <v>5.6</v>
      </c>
      <c r="J141" s="410" t="str">
        <f t="shared" si="20"/>
        <v>--</v>
      </c>
      <c r="K141" s="411" t="str">
        <f t="shared" si="21"/>
        <v>--</v>
      </c>
      <c r="L141" s="411">
        <f t="shared" si="22"/>
        <v>29.487179487179489</v>
      </c>
      <c r="M141" s="411" t="str">
        <f t="shared" si="23"/>
        <v>--</v>
      </c>
      <c r="N141" s="411">
        <f t="shared" si="24"/>
        <v>28.205128205128212</v>
      </c>
      <c r="O141" s="357"/>
    </row>
    <row r="142" spans="1:15">
      <c r="A142" s="1"/>
      <c r="B142" s="407">
        <v>36941</v>
      </c>
      <c r="C142" s="392">
        <v>60</v>
      </c>
      <c r="D142" s="408">
        <v>8</v>
      </c>
      <c r="E142" s="409"/>
      <c r="F142" s="409"/>
      <c r="G142" s="409">
        <v>5.4</v>
      </c>
      <c r="H142" s="409"/>
      <c r="I142" s="409">
        <v>5.5</v>
      </c>
      <c r="J142" s="410" t="str">
        <f t="shared" si="20"/>
        <v>--</v>
      </c>
      <c r="K142" s="411" t="str">
        <f t="shared" si="21"/>
        <v>--</v>
      </c>
      <c r="L142" s="411">
        <f t="shared" si="22"/>
        <v>32.499999999999993</v>
      </c>
      <c r="M142" s="411" t="str">
        <f t="shared" si="23"/>
        <v>--</v>
      </c>
      <c r="N142" s="411">
        <f t="shared" si="24"/>
        <v>31.25</v>
      </c>
      <c r="O142" s="357"/>
    </row>
    <row r="143" spans="1:15">
      <c r="A143" s="1"/>
      <c r="B143" s="407">
        <v>36949</v>
      </c>
      <c r="C143" s="392">
        <v>60</v>
      </c>
      <c r="D143" s="408">
        <v>8.1</v>
      </c>
      <c r="E143" s="409"/>
      <c r="F143" s="409"/>
      <c r="G143" s="409">
        <v>5.5</v>
      </c>
      <c r="H143" s="409"/>
      <c r="I143" s="409">
        <v>5.5</v>
      </c>
      <c r="J143" s="410" t="str">
        <f t="shared" si="20"/>
        <v>--</v>
      </c>
      <c r="K143" s="411" t="str">
        <f t="shared" si="21"/>
        <v>--</v>
      </c>
      <c r="L143" s="411">
        <f t="shared" si="22"/>
        <v>32.098765432098766</v>
      </c>
      <c r="M143" s="411" t="str">
        <f t="shared" si="23"/>
        <v>--</v>
      </c>
      <c r="N143" s="411">
        <f t="shared" si="24"/>
        <v>32.098765432098766</v>
      </c>
      <c r="O143" s="357"/>
    </row>
    <row r="144" spans="1:15">
      <c r="A144" s="1"/>
      <c r="B144" s="407">
        <v>36955</v>
      </c>
      <c r="C144" s="392">
        <v>65</v>
      </c>
      <c r="D144" s="408">
        <v>8.1</v>
      </c>
      <c r="E144" s="409"/>
      <c r="F144" s="409"/>
      <c r="G144" s="409">
        <v>5.7</v>
      </c>
      <c r="H144" s="409"/>
      <c r="I144" s="409">
        <v>5.6</v>
      </c>
      <c r="J144" s="410" t="str">
        <f t="shared" si="20"/>
        <v>--</v>
      </c>
      <c r="K144" s="411" t="str">
        <f t="shared" si="21"/>
        <v>--</v>
      </c>
      <c r="L144" s="411">
        <f t="shared" si="22"/>
        <v>29.629629629629623</v>
      </c>
      <c r="M144" s="411" t="str">
        <f t="shared" si="23"/>
        <v>--</v>
      </c>
      <c r="N144" s="411">
        <f t="shared" si="24"/>
        <v>30.864197530864203</v>
      </c>
      <c r="O144" s="357"/>
    </row>
    <row r="145" spans="1:15">
      <c r="A145" s="1"/>
      <c r="B145" s="407">
        <v>36962</v>
      </c>
      <c r="C145" s="392">
        <v>65</v>
      </c>
      <c r="D145" s="408">
        <v>8.1999999999999993</v>
      </c>
      <c r="E145" s="409"/>
      <c r="F145" s="409"/>
      <c r="G145" s="409">
        <v>5.4</v>
      </c>
      <c r="H145" s="409"/>
      <c r="I145" s="409">
        <v>5.4</v>
      </c>
      <c r="J145" s="410" t="str">
        <f t="shared" si="20"/>
        <v>--</v>
      </c>
      <c r="K145" s="411" t="str">
        <f t="shared" si="21"/>
        <v>--</v>
      </c>
      <c r="L145" s="411">
        <f t="shared" si="22"/>
        <v>34.146341463414629</v>
      </c>
      <c r="M145" s="411" t="str">
        <f t="shared" si="23"/>
        <v>--</v>
      </c>
      <c r="N145" s="411">
        <f t="shared" si="24"/>
        <v>34.146341463414629</v>
      </c>
      <c r="O145" s="357"/>
    </row>
    <row r="146" spans="1:15">
      <c r="A146" s="1"/>
      <c r="B146" s="407">
        <v>36969</v>
      </c>
      <c r="C146" s="392">
        <v>65</v>
      </c>
      <c r="D146" s="408">
        <v>7.5</v>
      </c>
      <c r="E146" s="409"/>
      <c r="F146" s="409"/>
      <c r="G146" s="409">
        <v>5.3</v>
      </c>
      <c r="H146" s="409"/>
      <c r="I146" s="409">
        <v>5.4</v>
      </c>
      <c r="J146" s="410" t="str">
        <f t="shared" si="20"/>
        <v>--</v>
      </c>
      <c r="K146" s="411" t="str">
        <f t="shared" si="21"/>
        <v>--</v>
      </c>
      <c r="L146" s="411">
        <f t="shared" si="22"/>
        <v>29.333333333333332</v>
      </c>
      <c r="M146" s="411" t="str">
        <f t="shared" si="23"/>
        <v>--</v>
      </c>
      <c r="N146" s="411">
        <f t="shared" si="24"/>
        <v>27.999999999999996</v>
      </c>
      <c r="O146" s="357"/>
    </row>
    <row r="147" spans="1:15">
      <c r="A147" s="1"/>
      <c r="B147" s="407">
        <v>36976</v>
      </c>
      <c r="C147" s="392">
        <v>65</v>
      </c>
      <c r="D147" s="408">
        <v>7.1</v>
      </c>
      <c r="E147" s="409"/>
      <c r="F147" s="409"/>
      <c r="G147" s="409">
        <v>5.2</v>
      </c>
      <c r="H147" s="409"/>
      <c r="I147" s="409">
        <v>5.2</v>
      </c>
      <c r="J147" s="410" t="str">
        <f t="shared" si="20"/>
        <v>--</v>
      </c>
      <c r="K147" s="411" t="str">
        <f t="shared" si="21"/>
        <v>--</v>
      </c>
      <c r="L147" s="411">
        <f t="shared" si="22"/>
        <v>26.760563380281681</v>
      </c>
      <c r="M147" s="411" t="str">
        <f t="shared" si="23"/>
        <v>--</v>
      </c>
      <c r="N147" s="411">
        <f t="shared" si="24"/>
        <v>26.760563380281681</v>
      </c>
      <c r="O147" s="357"/>
    </row>
    <row r="148" spans="1:15">
      <c r="A148" s="1"/>
      <c r="B148" s="407">
        <v>36985</v>
      </c>
      <c r="C148" s="392">
        <v>72.5</v>
      </c>
      <c r="D148" s="408">
        <v>7.7</v>
      </c>
      <c r="E148" s="409"/>
      <c r="F148" s="409"/>
      <c r="G148" s="409">
        <v>5.3</v>
      </c>
      <c r="H148" s="409"/>
      <c r="I148" s="409">
        <v>5.3</v>
      </c>
      <c r="J148" s="410" t="str">
        <f t="shared" si="20"/>
        <v>--</v>
      </c>
      <c r="K148" s="411" t="str">
        <f t="shared" si="21"/>
        <v>--</v>
      </c>
      <c r="L148" s="411">
        <f t="shared" si="22"/>
        <v>31.168831168831172</v>
      </c>
      <c r="M148" s="411" t="str">
        <f t="shared" si="23"/>
        <v>--</v>
      </c>
      <c r="N148" s="411">
        <f t="shared" si="24"/>
        <v>31.168831168831172</v>
      </c>
      <c r="O148" s="357"/>
    </row>
    <row r="149" spans="1:15">
      <c r="A149" s="1"/>
      <c r="B149" s="407">
        <v>36990</v>
      </c>
      <c r="C149" s="392">
        <v>72.5</v>
      </c>
      <c r="D149" s="408">
        <v>7.6</v>
      </c>
      <c r="E149" s="409"/>
      <c r="F149" s="409"/>
      <c r="G149" s="409">
        <v>4.8</v>
      </c>
      <c r="H149" s="409"/>
      <c r="I149" s="409">
        <v>4.4000000000000004</v>
      </c>
      <c r="J149" s="410" t="str">
        <f t="shared" si="20"/>
        <v>--</v>
      </c>
      <c r="K149" s="411" t="str">
        <f t="shared" si="21"/>
        <v>--</v>
      </c>
      <c r="L149" s="411">
        <f t="shared" si="22"/>
        <v>36.84210526315789</v>
      </c>
      <c r="M149" s="411" t="str">
        <f t="shared" si="23"/>
        <v>--</v>
      </c>
      <c r="N149" s="411">
        <f t="shared" si="24"/>
        <v>42.105263157894726</v>
      </c>
      <c r="O149" s="357" t="s">
        <v>277</v>
      </c>
    </row>
    <row r="150" spans="1:15">
      <c r="A150" s="1"/>
      <c r="B150" s="407">
        <v>36999</v>
      </c>
      <c r="C150" s="392">
        <v>73</v>
      </c>
      <c r="D150" s="408">
        <v>7.6</v>
      </c>
      <c r="E150" s="409"/>
      <c r="F150" s="409"/>
      <c r="G150" s="409">
        <v>5</v>
      </c>
      <c r="H150" s="409"/>
      <c r="I150" s="409">
        <v>4.9000000000000004</v>
      </c>
      <c r="J150" s="410" t="str">
        <f t="shared" si="20"/>
        <v>--</v>
      </c>
      <c r="K150" s="411" t="str">
        <f t="shared" si="21"/>
        <v>--</v>
      </c>
      <c r="L150" s="411">
        <f t="shared" si="22"/>
        <v>34.210526315789465</v>
      </c>
      <c r="M150" s="411" t="str">
        <f t="shared" si="23"/>
        <v>--</v>
      </c>
      <c r="N150" s="411">
        <f t="shared" si="24"/>
        <v>35.526315789473678</v>
      </c>
      <c r="O150" s="357"/>
    </row>
    <row r="151" spans="1:15">
      <c r="A151" s="1"/>
      <c r="B151" s="407">
        <v>37004</v>
      </c>
      <c r="C151" s="392">
        <v>73</v>
      </c>
      <c r="D151" s="408">
        <v>8</v>
      </c>
      <c r="E151" s="409"/>
      <c r="F151" s="409"/>
      <c r="G151" s="409">
        <v>5.2</v>
      </c>
      <c r="H151" s="409"/>
      <c r="I151" s="409">
        <v>5.2</v>
      </c>
      <c r="J151" s="410" t="str">
        <f t="shared" si="20"/>
        <v>--</v>
      </c>
      <c r="K151" s="411" t="str">
        <f t="shared" si="21"/>
        <v>--</v>
      </c>
      <c r="L151" s="411">
        <f t="shared" si="22"/>
        <v>35</v>
      </c>
      <c r="M151" s="411" t="str">
        <f t="shared" si="23"/>
        <v>--</v>
      </c>
      <c r="N151" s="411">
        <f t="shared" si="24"/>
        <v>35</v>
      </c>
      <c r="O151" s="357"/>
    </row>
    <row r="152" spans="1:15">
      <c r="A152" s="1"/>
      <c r="B152" s="407">
        <v>37011</v>
      </c>
      <c r="C152" s="392">
        <v>73</v>
      </c>
      <c r="D152" s="408">
        <v>6.6</v>
      </c>
      <c r="E152" s="409"/>
      <c r="F152" s="409"/>
      <c r="G152" s="409">
        <v>3.3</v>
      </c>
      <c r="H152" s="409"/>
      <c r="I152" s="409">
        <v>3.3</v>
      </c>
      <c r="J152" s="410" t="str">
        <f t="shared" si="20"/>
        <v>--</v>
      </c>
      <c r="K152" s="411" t="str">
        <f t="shared" si="21"/>
        <v>--</v>
      </c>
      <c r="L152" s="411">
        <f t="shared" si="22"/>
        <v>50</v>
      </c>
      <c r="M152" s="411" t="str">
        <f t="shared" si="23"/>
        <v>--</v>
      </c>
      <c r="N152" s="411">
        <f t="shared" si="24"/>
        <v>50</v>
      </c>
      <c r="O152" s="357"/>
    </row>
    <row r="153" spans="1:15">
      <c r="A153" s="1"/>
      <c r="B153" s="407">
        <v>37018</v>
      </c>
      <c r="C153" s="392">
        <v>70</v>
      </c>
      <c r="D153" s="408">
        <v>7</v>
      </c>
      <c r="E153" s="409"/>
      <c r="F153" s="409"/>
      <c r="G153" s="409">
        <v>4.3</v>
      </c>
      <c r="H153" s="409"/>
      <c r="I153" s="409">
        <v>4.0999999999999996</v>
      </c>
      <c r="J153" s="410" t="str">
        <f t="shared" si="20"/>
        <v>--</v>
      </c>
      <c r="K153" s="411" t="str">
        <f t="shared" si="21"/>
        <v>--</v>
      </c>
      <c r="L153" s="411">
        <f t="shared" si="22"/>
        <v>38.571428571428577</v>
      </c>
      <c r="M153" s="411" t="str">
        <f t="shared" si="23"/>
        <v>--</v>
      </c>
      <c r="N153" s="411">
        <f t="shared" si="24"/>
        <v>41.428571428571431</v>
      </c>
      <c r="O153" s="357"/>
    </row>
    <row r="154" spans="1:15">
      <c r="A154" s="1"/>
      <c r="B154" s="407">
        <v>37025</v>
      </c>
      <c r="C154" s="392">
        <v>70</v>
      </c>
      <c r="D154" s="408">
        <v>6.8</v>
      </c>
      <c r="E154" s="409"/>
      <c r="F154" s="409"/>
      <c r="G154" s="409">
        <v>4.0999999999999996</v>
      </c>
      <c r="H154" s="409"/>
      <c r="I154" s="409">
        <v>4.3</v>
      </c>
      <c r="J154" s="410" t="str">
        <f t="shared" si="20"/>
        <v>--</v>
      </c>
      <c r="K154" s="411" t="str">
        <f t="shared" si="21"/>
        <v>--</v>
      </c>
      <c r="L154" s="411">
        <f t="shared" si="22"/>
        <v>39.705882352941181</v>
      </c>
      <c r="M154" s="411" t="str">
        <f t="shared" si="23"/>
        <v>--</v>
      </c>
      <c r="N154" s="411">
        <f t="shared" si="24"/>
        <v>36.764705882352942</v>
      </c>
      <c r="O154" s="357"/>
    </row>
    <row r="155" spans="1:15">
      <c r="A155" s="1"/>
      <c r="B155" s="407">
        <v>37033</v>
      </c>
      <c r="C155" s="392">
        <v>65</v>
      </c>
      <c r="D155" s="408">
        <v>6.5</v>
      </c>
      <c r="E155" s="409"/>
      <c r="F155" s="409"/>
      <c r="G155" s="409">
        <v>4.3</v>
      </c>
      <c r="H155" s="409"/>
      <c r="I155" s="409">
        <v>4.0999999999999996</v>
      </c>
      <c r="J155" s="410" t="str">
        <f t="shared" si="20"/>
        <v>--</v>
      </c>
      <c r="K155" s="411" t="str">
        <f t="shared" si="21"/>
        <v>--</v>
      </c>
      <c r="L155" s="411">
        <f t="shared" si="22"/>
        <v>33.846153846153847</v>
      </c>
      <c r="M155" s="411" t="str">
        <f t="shared" si="23"/>
        <v>--</v>
      </c>
      <c r="N155" s="411">
        <f t="shared" si="24"/>
        <v>36.923076923076934</v>
      </c>
      <c r="O155" s="357"/>
    </row>
    <row r="156" spans="1:15">
      <c r="A156" s="1"/>
      <c r="B156" s="407">
        <v>37039</v>
      </c>
      <c r="C156" s="392">
        <v>65</v>
      </c>
      <c r="D156" s="408">
        <v>6.8</v>
      </c>
      <c r="E156" s="409"/>
      <c r="F156" s="409"/>
      <c r="G156" s="409">
        <v>4.7</v>
      </c>
      <c r="H156" s="409"/>
      <c r="I156" s="409">
        <v>4.5</v>
      </c>
      <c r="J156" s="410" t="str">
        <f t="shared" si="20"/>
        <v>--</v>
      </c>
      <c r="K156" s="411" t="str">
        <f t="shared" si="21"/>
        <v>--</v>
      </c>
      <c r="L156" s="411">
        <f t="shared" si="22"/>
        <v>30.882352941176467</v>
      </c>
      <c r="M156" s="411" t="str">
        <f t="shared" si="23"/>
        <v>--</v>
      </c>
      <c r="N156" s="411">
        <f t="shared" si="24"/>
        <v>33.823529411764703</v>
      </c>
      <c r="O156" s="357"/>
    </row>
    <row r="157" spans="1:15">
      <c r="A157" s="1"/>
      <c r="B157" s="407">
        <v>37046</v>
      </c>
      <c r="C157" s="392">
        <v>65</v>
      </c>
      <c r="D157" s="408">
        <v>7.7</v>
      </c>
      <c r="E157" s="409"/>
      <c r="F157" s="409"/>
      <c r="G157" s="409">
        <v>4.5</v>
      </c>
      <c r="H157" s="409">
        <v>4.3</v>
      </c>
      <c r="I157" s="409">
        <v>1.1000000000000001</v>
      </c>
      <c r="J157" s="410" t="str">
        <f t="shared" si="20"/>
        <v>--</v>
      </c>
      <c r="K157" s="411" t="str">
        <f t="shared" si="21"/>
        <v>--</v>
      </c>
      <c r="L157" s="411">
        <f t="shared" si="22"/>
        <v>41.558441558441558</v>
      </c>
      <c r="M157" s="411">
        <f t="shared" si="23"/>
        <v>44.155844155844157</v>
      </c>
      <c r="N157" s="411">
        <f t="shared" si="24"/>
        <v>85.714285714285708</v>
      </c>
      <c r="O157" s="357" t="s">
        <v>278</v>
      </c>
    </row>
    <row r="158" spans="1:15">
      <c r="A158" s="1"/>
      <c r="B158" s="407">
        <v>37053</v>
      </c>
      <c r="C158" s="392">
        <v>65</v>
      </c>
      <c r="D158" s="408">
        <v>7.7</v>
      </c>
      <c r="E158" s="409"/>
      <c r="F158" s="409"/>
      <c r="G158" s="409">
        <v>4.5999999999999996</v>
      </c>
      <c r="H158" s="409">
        <v>4.7</v>
      </c>
      <c r="I158" s="409">
        <v>0.9</v>
      </c>
      <c r="J158" s="410" t="str">
        <f t="shared" si="20"/>
        <v>--</v>
      </c>
      <c r="K158" s="411" t="str">
        <f t="shared" si="21"/>
        <v>--</v>
      </c>
      <c r="L158" s="411">
        <f t="shared" si="22"/>
        <v>40.259740259740269</v>
      </c>
      <c r="M158" s="411">
        <f t="shared" si="23"/>
        <v>38.961038961038966</v>
      </c>
      <c r="N158" s="411">
        <f t="shared" si="24"/>
        <v>88.311688311688314</v>
      </c>
      <c r="O158" s="357"/>
    </row>
    <row r="159" spans="1:15">
      <c r="A159" s="1"/>
      <c r="B159" s="407">
        <v>37060</v>
      </c>
      <c r="C159" s="392">
        <v>70</v>
      </c>
      <c r="D159" s="408">
        <v>7.1</v>
      </c>
      <c r="E159" s="409"/>
      <c r="F159" s="409"/>
      <c r="G159" s="409">
        <v>4.5999999999999996</v>
      </c>
      <c r="H159" s="409">
        <v>4.5</v>
      </c>
      <c r="I159" s="409">
        <v>1</v>
      </c>
      <c r="J159" s="410" t="str">
        <f t="shared" si="20"/>
        <v>--</v>
      </c>
      <c r="K159" s="411" t="str">
        <f t="shared" si="21"/>
        <v>--</v>
      </c>
      <c r="L159" s="411">
        <f t="shared" si="22"/>
        <v>35.211267605633807</v>
      </c>
      <c r="M159" s="411">
        <f t="shared" si="23"/>
        <v>36.619718309859152</v>
      </c>
      <c r="N159" s="411">
        <f t="shared" si="24"/>
        <v>85.91549295774648</v>
      </c>
      <c r="O159" s="357"/>
    </row>
    <row r="160" spans="1:15">
      <c r="A160" s="1"/>
      <c r="B160" s="407">
        <v>37067</v>
      </c>
      <c r="C160" s="392">
        <v>70</v>
      </c>
      <c r="D160" s="408">
        <v>8.1999999999999993</v>
      </c>
      <c r="E160" s="409"/>
      <c r="F160" s="409"/>
      <c r="G160" s="409">
        <v>4.7</v>
      </c>
      <c r="H160" s="409">
        <v>4.7</v>
      </c>
      <c r="I160" s="409">
        <v>1.2</v>
      </c>
      <c r="J160" s="410" t="str">
        <f t="shared" si="20"/>
        <v>--</v>
      </c>
      <c r="K160" s="411" t="str">
        <f t="shared" si="21"/>
        <v>--</v>
      </c>
      <c r="L160" s="411">
        <f t="shared" si="22"/>
        <v>42.682926829268283</v>
      </c>
      <c r="M160" s="411">
        <f t="shared" si="23"/>
        <v>42.682926829268283</v>
      </c>
      <c r="N160" s="411">
        <f t="shared" si="24"/>
        <v>85.365853658536579</v>
      </c>
      <c r="O160" s="357"/>
    </row>
    <row r="161" spans="1:15">
      <c r="A161" s="1"/>
      <c r="B161" s="407">
        <v>37074</v>
      </c>
      <c r="C161" s="392">
        <v>70</v>
      </c>
      <c r="D161" s="408">
        <v>7.7</v>
      </c>
      <c r="E161" s="409"/>
      <c r="F161" s="409"/>
      <c r="G161" s="409">
        <v>4.8</v>
      </c>
      <c r="H161" s="409">
        <v>4.8</v>
      </c>
      <c r="I161" s="409">
        <v>1.4</v>
      </c>
      <c r="J161" s="410" t="str">
        <f t="shared" si="20"/>
        <v>--</v>
      </c>
      <c r="K161" s="411" t="str">
        <f t="shared" si="21"/>
        <v>--</v>
      </c>
      <c r="L161" s="411">
        <f t="shared" si="22"/>
        <v>37.662337662337663</v>
      </c>
      <c r="M161" s="411">
        <f t="shared" si="23"/>
        <v>37.662337662337663</v>
      </c>
      <c r="N161" s="411">
        <f t="shared" si="24"/>
        <v>81.818181818181827</v>
      </c>
      <c r="O161" s="357"/>
    </row>
    <row r="162" spans="1:15">
      <c r="A162" s="1"/>
      <c r="B162" s="407">
        <v>37081</v>
      </c>
      <c r="C162" s="392">
        <v>70</v>
      </c>
      <c r="D162" s="408">
        <v>7.6</v>
      </c>
      <c r="E162" s="409"/>
      <c r="F162" s="409"/>
      <c r="G162" s="409">
        <v>4.7</v>
      </c>
      <c r="H162" s="409">
        <v>4.5999999999999996</v>
      </c>
      <c r="I162" s="409">
        <v>1.6</v>
      </c>
      <c r="J162" s="410" t="str">
        <f t="shared" si="20"/>
        <v>--</v>
      </c>
      <c r="K162" s="411" t="str">
        <f t="shared" si="21"/>
        <v>--</v>
      </c>
      <c r="L162" s="411">
        <f t="shared" si="22"/>
        <v>38.157894736842103</v>
      </c>
      <c r="M162" s="411">
        <f t="shared" si="23"/>
        <v>39.473684210526315</v>
      </c>
      <c r="N162" s="411">
        <f t="shared" si="24"/>
        <v>78.94736842105263</v>
      </c>
      <c r="O162" s="357"/>
    </row>
    <row r="163" spans="1:15">
      <c r="A163" s="1"/>
      <c r="B163" s="407">
        <v>37088</v>
      </c>
      <c r="C163" s="392">
        <v>70</v>
      </c>
      <c r="D163" s="408">
        <v>7.4</v>
      </c>
      <c r="E163" s="409"/>
      <c r="F163" s="409"/>
      <c r="G163" s="409">
        <v>4.5</v>
      </c>
      <c r="H163" s="409">
        <v>4.4000000000000004</v>
      </c>
      <c r="I163" s="409">
        <v>1.6</v>
      </c>
      <c r="J163" s="410" t="str">
        <f t="shared" si="20"/>
        <v>--</v>
      </c>
      <c r="K163" s="411" t="str">
        <f t="shared" si="21"/>
        <v>--</v>
      </c>
      <c r="L163" s="411">
        <f t="shared" si="22"/>
        <v>39.189189189189193</v>
      </c>
      <c r="M163" s="411">
        <f t="shared" si="23"/>
        <v>40.54054054054054</v>
      </c>
      <c r="N163" s="411">
        <f t="shared" si="24"/>
        <v>78.378378378378386</v>
      </c>
      <c r="O163" s="357"/>
    </row>
    <row r="164" spans="1:15">
      <c r="A164" s="1"/>
      <c r="B164" s="407">
        <v>37095</v>
      </c>
      <c r="C164" s="392">
        <v>70</v>
      </c>
      <c r="D164" s="408">
        <v>7.6</v>
      </c>
      <c r="E164" s="409"/>
      <c r="F164" s="409"/>
      <c r="G164" s="409">
        <v>4.9000000000000004</v>
      </c>
      <c r="H164" s="409">
        <v>4.8</v>
      </c>
      <c r="I164" s="409">
        <v>2.1</v>
      </c>
      <c r="J164" s="410" t="str">
        <f t="shared" ref="J164:J186" si="25">IF(OR(COUNT($D164)=0,COUNT(E164)=0),"--",($D164-E164)/$D164*100)</f>
        <v>--</v>
      </c>
      <c r="K164" s="411" t="str">
        <f t="shared" ref="K164:K186" si="26">IF(OR(COUNT($D164)=0,COUNT(F164)=0),"--",($D164-F164)/$D164*100)</f>
        <v>--</v>
      </c>
      <c r="L164" s="411">
        <f t="shared" ref="L164:L186" si="27">IF(OR(COUNT($D164)=0,COUNT(G164)=0),"--",($D164-G164)/$D164*100)</f>
        <v>35.526315789473678</v>
      </c>
      <c r="M164" s="411">
        <f t="shared" ref="M164:M186" si="28">IF(OR(COUNT($D164)=0,COUNT(H164)=0),"--",($D164-H164)/$D164*100)</f>
        <v>36.84210526315789</v>
      </c>
      <c r="N164" s="411">
        <f t="shared" ref="N164:N186" si="29">IF(OR(COUNT($D164)=0,COUNT(I164)=0),"--",($D164-I164)/$D164*100)</f>
        <v>72.368421052631575</v>
      </c>
      <c r="O164" s="357"/>
    </row>
    <row r="165" spans="1:15">
      <c r="A165" s="1"/>
      <c r="B165" s="407">
        <v>37102</v>
      </c>
      <c r="C165" s="392">
        <v>70</v>
      </c>
      <c r="D165" s="408">
        <v>7.6</v>
      </c>
      <c r="E165" s="409"/>
      <c r="F165" s="409"/>
      <c r="G165" s="409">
        <v>4.4000000000000004</v>
      </c>
      <c r="H165" s="409">
        <v>4.3</v>
      </c>
      <c r="I165" s="409">
        <v>2</v>
      </c>
      <c r="J165" s="410" t="str">
        <f t="shared" si="25"/>
        <v>--</v>
      </c>
      <c r="K165" s="411" t="str">
        <f t="shared" si="26"/>
        <v>--</v>
      </c>
      <c r="L165" s="411">
        <f t="shared" si="27"/>
        <v>42.105263157894726</v>
      </c>
      <c r="M165" s="411">
        <f t="shared" si="28"/>
        <v>43.421052631578952</v>
      </c>
      <c r="N165" s="411">
        <f t="shared" si="29"/>
        <v>73.68421052631578</v>
      </c>
      <c r="O165" s="357"/>
    </row>
    <row r="166" spans="1:15">
      <c r="A166" s="1"/>
      <c r="B166" s="407">
        <v>37110</v>
      </c>
      <c r="C166" s="392">
        <v>70</v>
      </c>
      <c r="D166" s="408">
        <v>7.4</v>
      </c>
      <c r="E166" s="409"/>
      <c r="F166" s="409"/>
      <c r="G166" s="409">
        <v>4.5</v>
      </c>
      <c r="H166" s="409">
        <v>4.5999999999999996</v>
      </c>
      <c r="I166" s="409">
        <v>2.4</v>
      </c>
      <c r="J166" s="410" t="str">
        <f t="shared" si="25"/>
        <v>--</v>
      </c>
      <c r="K166" s="411" t="str">
        <f t="shared" si="26"/>
        <v>--</v>
      </c>
      <c r="L166" s="411">
        <f t="shared" si="27"/>
        <v>39.189189189189193</v>
      </c>
      <c r="M166" s="411">
        <f t="shared" si="28"/>
        <v>37.837837837837846</v>
      </c>
      <c r="N166" s="411">
        <f t="shared" si="29"/>
        <v>67.567567567567565</v>
      </c>
      <c r="O166" s="357"/>
    </row>
    <row r="167" spans="1:15">
      <c r="A167" s="1"/>
      <c r="B167" s="407">
        <v>37116</v>
      </c>
      <c r="C167" s="392">
        <v>80</v>
      </c>
      <c r="D167" s="408">
        <v>7</v>
      </c>
      <c r="E167" s="409"/>
      <c r="F167" s="409"/>
      <c r="G167" s="409">
        <v>4.0999999999999996</v>
      </c>
      <c r="H167" s="409">
        <v>4</v>
      </c>
      <c r="I167" s="409">
        <v>2.2000000000000002</v>
      </c>
      <c r="J167" s="410" t="str">
        <f t="shared" si="25"/>
        <v>--</v>
      </c>
      <c r="K167" s="411" t="str">
        <f t="shared" si="26"/>
        <v>--</v>
      </c>
      <c r="L167" s="411">
        <f t="shared" si="27"/>
        <v>41.428571428571431</v>
      </c>
      <c r="M167" s="411">
        <f t="shared" si="28"/>
        <v>42.857142857142854</v>
      </c>
      <c r="N167" s="411">
        <f t="shared" si="29"/>
        <v>68.571428571428569</v>
      </c>
      <c r="O167" s="357"/>
    </row>
    <row r="168" spans="1:15">
      <c r="A168" s="1"/>
      <c r="B168" s="407">
        <v>37123</v>
      </c>
      <c r="C168" s="392">
        <v>80</v>
      </c>
      <c r="D168" s="408">
        <v>7.6</v>
      </c>
      <c r="E168" s="409"/>
      <c r="F168" s="409"/>
      <c r="G168" s="409">
        <v>4.3</v>
      </c>
      <c r="H168" s="409">
        <v>4.4000000000000004</v>
      </c>
      <c r="I168" s="409">
        <v>2.4</v>
      </c>
      <c r="J168" s="410" t="str">
        <f t="shared" si="25"/>
        <v>--</v>
      </c>
      <c r="K168" s="411" t="str">
        <f t="shared" si="26"/>
        <v>--</v>
      </c>
      <c r="L168" s="411">
        <f t="shared" si="27"/>
        <v>43.421052631578952</v>
      </c>
      <c r="M168" s="411">
        <f t="shared" si="28"/>
        <v>42.105263157894726</v>
      </c>
      <c r="N168" s="411">
        <f t="shared" si="29"/>
        <v>68.421052631578931</v>
      </c>
      <c r="O168" s="357"/>
    </row>
    <row r="169" spans="1:15">
      <c r="A169" s="1"/>
      <c r="B169" s="407">
        <v>37130</v>
      </c>
      <c r="C169" s="392">
        <v>90</v>
      </c>
      <c r="D169" s="408">
        <v>7.4</v>
      </c>
      <c r="E169" s="409"/>
      <c r="F169" s="409"/>
      <c r="G169" s="409">
        <v>4.3</v>
      </c>
      <c r="H169" s="409">
        <v>4.3</v>
      </c>
      <c r="I169" s="409">
        <v>2.4</v>
      </c>
      <c r="J169" s="410" t="str">
        <f t="shared" si="25"/>
        <v>--</v>
      </c>
      <c r="K169" s="411" t="str">
        <f t="shared" si="26"/>
        <v>--</v>
      </c>
      <c r="L169" s="411">
        <f t="shared" si="27"/>
        <v>41.891891891891895</v>
      </c>
      <c r="M169" s="411">
        <f t="shared" si="28"/>
        <v>41.891891891891895</v>
      </c>
      <c r="N169" s="411">
        <f t="shared" si="29"/>
        <v>67.567567567567565</v>
      </c>
      <c r="O169" s="357"/>
    </row>
    <row r="170" spans="1:15">
      <c r="A170" s="1"/>
      <c r="B170" s="407">
        <v>37138</v>
      </c>
      <c r="C170" s="392">
        <v>90</v>
      </c>
      <c r="D170" s="408">
        <v>7.2</v>
      </c>
      <c r="E170" s="409"/>
      <c r="F170" s="409"/>
      <c r="G170" s="409">
        <v>4</v>
      </c>
      <c r="H170" s="409">
        <v>4</v>
      </c>
      <c r="I170" s="409">
        <v>2.5</v>
      </c>
      <c r="J170" s="410" t="str">
        <f t="shared" si="25"/>
        <v>--</v>
      </c>
      <c r="K170" s="411" t="str">
        <f t="shared" si="26"/>
        <v>--</v>
      </c>
      <c r="L170" s="411">
        <f t="shared" si="27"/>
        <v>44.44444444444445</v>
      </c>
      <c r="M170" s="411">
        <f t="shared" si="28"/>
        <v>44.44444444444445</v>
      </c>
      <c r="N170" s="411">
        <f t="shared" si="29"/>
        <v>65.277777777777786</v>
      </c>
      <c r="O170" s="357"/>
    </row>
    <row r="171" spans="1:15">
      <c r="A171" s="1"/>
      <c r="B171" s="407">
        <v>37144</v>
      </c>
      <c r="C171" s="392">
        <v>90</v>
      </c>
      <c r="D171" s="408">
        <v>7.8</v>
      </c>
      <c r="E171" s="409"/>
      <c r="F171" s="409"/>
      <c r="G171" s="409">
        <v>4.4000000000000004</v>
      </c>
      <c r="H171" s="409">
        <v>4.3</v>
      </c>
      <c r="I171" s="409">
        <v>2.6</v>
      </c>
      <c r="J171" s="410" t="str">
        <f t="shared" si="25"/>
        <v>--</v>
      </c>
      <c r="K171" s="411" t="str">
        <f t="shared" si="26"/>
        <v>--</v>
      </c>
      <c r="L171" s="411">
        <f t="shared" si="27"/>
        <v>43.589743589743584</v>
      </c>
      <c r="M171" s="411">
        <f t="shared" si="28"/>
        <v>44.871794871794876</v>
      </c>
      <c r="N171" s="411">
        <f t="shared" si="29"/>
        <v>66.666666666666657</v>
      </c>
      <c r="O171" s="357"/>
    </row>
    <row r="172" spans="1:15">
      <c r="A172" s="1"/>
      <c r="B172" s="407">
        <v>37151</v>
      </c>
      <c r="C172" s="392">
        <v>80</v>
      </c>
      <c r="D172" s="408">
        <v>8.4</v>
      </c>
      <c r="E172" s="409"/>
      <c r="F172" s="409"/>
      <c r="G172" s="409">
        <v>5.4</v>
      </c>
      <c r="H172" s="409">
        <v>5</v>
      </c>
      <c r="I172" s="409">
        <v>3.1</v>
      </c>
      <c r="J172" s="410" t="str">
        <f t="shared" si="25"/>
        <v>--</v>
      </c>
      <c r="K172" s="411" t="str">
        <f t="shared" si="26"/>
        <v>--</v>
      </c>
      <c r="L172" s="411">
        <f t="shared" si="27"/>
        <v>35.714285714285715</v>
      </c>
      <c r="M172" s="411">
        <f t="shared" si="28"/>
        <v>40.476190476190474</v>
      </c>
      <c r="N172" s="411">
        <f t="shared" si="29"/>
        <v>63.095238095238102</v>
      </c>
      <c r="O172" s="357"/>
    </row>
    <row r="173" spans="1:15">
      <c r="A173" s="1"/>
      <c r="B173" s="407">
        <v>37158</v>
      </c>
      <c r="C173" s="392">
        <v>80</v>
      </c>
      <c r="D173" s="408">
        <v>8</v>
      </c>
      <c r="E173" s="409"/>
      <c r="F173" s="409"/>
      <c r="G173" s="409">
        <v>4.9000000000000004</v>
      </c>
      <c r="H173" s="409">
        <v>4.9000000000000004</v>
      </c>
      <c r="I173" s="409">
        <v>3.2</v>
      </c>
      <c r="J173" s="410" t="str">
        <f t="shared" si="25"/>
        <v>--</v>
      </c>
      <c r="K173" s="411" t="str">
        <f t="shared" si="26"/>
        <v>--</v>
      </c>
      <c r="L173" s="411">
        <f t="shared" si="27"/>
        <v>38.749999999999993</v>
      </c>
      <c r="M173" s="411">
        <f t="shared" si="28"/>
        <v>38.749999999999993</v>
      </c>
      <c r="N173" s="411">
        <f t="shared" si="29"/>
        <v>60</v>
      </c>
      <c r="O173" s="357"/>
    </row>
    <row r="174" spans="1:15">
      <c r="A174" s="1"/>
      <c r="B174" s="407">
        <v>37165</v>
      </c>
      <c r="C174" s="392">
        <v>82</v>
      </c>
      <c r="D174" s="408">
        <v>7.6</v>
      </c>
      <c r="E174" s="409"/>
      <c r="F174" s="409"/>
      <c r="G174" s="409">
        <v>4.8</v>
      </c>
      <c r="H174" s="409">
        <v>4.8</v>
      </c>
      <c r="I174" s="409">
        <v>3.2</v>
      </c>
      <c r="J174" s="410" t="str">
        <f t="shared" si="25"/>
        <v>--</v>
      </c>
      <c r="K174" s="411" t="str">
        <f t="shared" si="26"/>
        <v>--</v>
      </c>
      <c r="L174" s="411">
        <f t="shared" si="27"/>
        <v>36.84210526315789</v>
      </c>
      <c r="M174" s="411">
        <f t="shared" si="28"/>
        <v>36.84210526315789</v>
      </c>
      <c r="N174" s="411">
        <f t="shared" si="29"/>
        <v>57.894736842105253</v>
      </c>
      <c r="O174" s="357"/>
    </row>
    <row r="175" spans="1:15">
      <c r="A175" s="1"/>
      <c r="B175" s="407">
        <v>37173</v>
      </c>
      <c r="C175" s="392">
        <v>82</v>
      </c>
      <c r="D175" s="408">
        <v>7.6</v>
      </c>
      <c r="E175" s="409"/>
      <c r="F175" s="409"/>
      <c r="G175" s="409">
        <v>4.9000000000000004</v>
      </c>
      <c r="H175" s="409">
        <v>4.8</v>
      </c>
      <c r="I175" s="409">
        <v>3.2</v>
      </c>
      <c r="J175" s="410" t="str">
        <f t="shared" si="25"/>
        <v>--</v>
      </c>
      <c r="K175" s="411" t="str">
        <f t="shared" si="26"/>
        <v>--</v>
      </c>
      <c r="L175" s="411">
        <f t="shared" si="27"/>
        <v>35.526315789473678</v>
      </c>
      <c r="M175" s="411">
        <f t="shared" si="28"/>
        <v>36.84210526315789</v>
      </c>
      <c r="N175" s="411">
        <f t="shared" si="29"/>
        <v>57.894736842105253</v>
      </c>
      <c r="O175" s="357"/>
    </row>
    <row r="176" spans="1:15">
      <c r="A176" s="1"/>
      <c r="B176" s="407">
        <v>37179</v>
      </c>
      <c r="C176" s="392">
        <v>100</v>
      </c>
      <c r="D176" s="408">
        <v>7.6</v>
      </c>
      <c r="E176" s="409"/>
      <c r="F176" s="409"/>
      <c r="G176" s="409">
        <v>4.2</v>
      </c>
      <c r="H176" s="409">
        <v>4.0999999999999996</v>
      </c>
      <c r="I176" s="409">
        <v>2.8</v>
      </c>
      <c r="J176" s="410" t="str">
        <f t="shared" si="25"/>
        <v>--</v>
      </c>
      <c r="K176" s="411" t="str">
        <f t="shared" si="26"/>
        <v>--</v>
      </c>
      <c r="L176" s="411">
        <f t="shared" si="27"/>
        <v>44.73684210526315</v>
      </c>
      <c r="M176" s="411">
        <f t="shared" si="28"/>
        <v>46.05263157894737</v>
      </c>
      <c r="N176" s="411">
        <f t="shared" si="29"/>
        <v>63.157894736842103</v>
      </c>
      <c r="O176" s="357"/>
    </row>
    <row r="177" spans="1:15">
      <c r="A177" s="1"/>
      <c r="B177" s="407">
        <v>37186</v>
      </c>
      <c r="C177" s="392">
        <v>85</v>
      </c>
      <c r="D177" s="408">
        <v>7</v>
      </c>
      <c r="E177" s="409"/>
      <c r="F177" s="409"/>
      <c r="G177" s="409">
        <v>4.3</v>
      </c>
      <c r="H177" s="409">
        <v>4.3</v>
      </c>
      <c r="I177" s="409">
        <v>2.7</v>
      </c>
      <c r="J177" s="410" t="str">
        <f t="shared" si="25"/>
        <v>--</v>
      </c>
      <c r="K177" s="411" t="str">
        <f t="shared" si="26"/>
        <v>--</v>
      </c>
      <c r="L177" s="411">
        <f t="shared" si="27"/>
        <v>38.571428571428577</v>
      </c>
      <c r="M177" s="411">
        <f t="shared" si="28"/>
        <v>38.571428571428577</v>
      </c>
      <c r="N177" s="411">
        <f t="shared" si="29"/>
        <v>61.428571428571423</v>
      </c>
      <c r="O177" s="357"/>
    </row>
    <row r="178" spans="1:15">
      <c r="A178" s="1"/>
      <c r="B178" s="407">
        <v>37193</v>
      </c>
      <c r="C178" s="392">
        <v>85</v>
      </c>
      <c r="D178" s="408">
        <v>6.8</v>
      </c>
      <c r="E178" s="409"/>
      <c r="F178" s="409"/>
      <c r="G178" s="409">
        <v>4.0999999999999996</v>
      </c>
      <c r="H178" s="409">
        <v>4</v>
      </c>
      <c r="I178" s="409">
        <v>2.9</v>
      </c>
      <c r="J178" s="410" t="str">
        <f t="shared" si="25"/>
        <v>--</v>
      </c>
      <c r="K178" s="411" t="str">
        <f t="shared" si="26"/>
        <v>--</v>
      </c>
      <c r="L178" s="411">
        <f t="shared" si="27"/>
        <v>39.705882352941181</v>
      </c>
      <c r="M178" s="411">
        <f t="shared" si="28"/>
        <v>41.17647058823529</v>
      </c>
      <c r="N178" s="411">
        <f t="shared" si="29"/>
        <v>57.352941176470587</v>
      </c>
      <c r="O178" s="357"/>
    </row>
    <row r="179" spans="1:15">
      <c r="A179" s="1"/>
      <c r="B179" s="407">
        <v>37200</v>
      </c>
      <c r="C179" s="392">
        <v>75</v>
      </c>
      <c r="D179" s="408">
        <v>6.8</v>
      </c>
      <c r="E179" s="409"/>
      <c r="F179" s="409"/>
      <c r="G179" s="409">
        <v>4.2</v>
      </c>
      <c r="H179" s="409">
        <v>4.2</v>
      </c>
      <c r="I179" s="409">
        <v>3.2</v>
      </c>
      <c r="J179" s="410" t="str">
        <f t="shared" si="25"/>
        <v>--</v>
      </c>
      <c r="K179" s="411" t="str">
        <f t="shared" si="26"/>
        <v>--</v>
      </c>
      <c r="L179" s="411">
        <f t="shared" si="27"/>
        <v>38.235294117647058</v>
      </c>
      <c r="M179" s="411">
        <f t="shared" si="28"/>
        <v>38.235294117647058</v>
      </c>
      <c r="N179" s="411">
        <f t="shared" si="29"/>
        <v>52.941176470588239</v>
      </c>
      <c r="O179" s="357"/>
    </row>
    <row r="180" spans="1:15">
      <c r="A180" s="1"/>
      <c r="B180" s="407">
        <v>37207</v>
      </c>
      <c r="C180" s="392">
        <v>80</v>
      </c>
      <c r="D180" s="408">
        <v>6</v>
      </c>
      <c r="E180" s="409"/>
      <c r="F180" s="409"/>
      <c r="G180" s="409">
        <v>4</v>
      </c>
      <c r="H180" s="409">
        <v>3.9</v>
      </c>
      <c r="I180" s="409">
        <v>3.2</v>
      </c>
      <c r="J180" s="410" t="str">
        <f t="shared" si="25"/>
        <v>--</v>
      </c>
      <c r="K180" s="411" t="str">
        <f t="shared" si="26"/>
        <v>--</v>
      </c>
      <c r="L180" s="411">
        <f t="shared" si="27"/>
        <v>33.333333333333329</v>
      </c>
      <c r="M180" s="411">
        <f t="shared" si="28"/>
        <v>35</v>
      </c>
      <c r="N180" s="411">
        <f t="shared" si="29"/>
        <v>46.666666666666664</v>
      </c>
      <c r="O180" s="357"/>
    </row>
    <row r="181" spans="1:15">
      <c r="A181" s="1"/>
      <c r="B181" s="407">
        <v>37214</v>
      </c>
      <c r="C181" s="392">
        <v>60</v>
      </c>
      <c r="D181" s="408">
        <v>6.7</v>
      </c>
      <c r="E181" s="409"/>
      <c r="F181" s="409"/>
      <c r="G181" s="409">
        <v>4.3</v>
      </c>
      <c r="H181" s="409">
        <v>4.2</v>
      </c>
      <c r="I181" s="409">
        <v>3.6</v>
      </c>
      <c r="J181" s="410" t="str">
        <f t="shared" si="25"/>
        <v>--</v>
      </c>
      <c r="K181" s="411" t="str">
        <f t="shared" si="26"/>
        <v>--</v>
      </c>
      <c r="L181" s="411">
        <f t="shared" si="27"/>
        <v>35.820895522388064</v>
      </c>
      <c r="M181" s="411">
        <f t="shared" si="28"/>
        <v>37.31343283582089</v>
      </c>
      <c r="N181" s="411">
        <f t="shared" si="29"/>
        <v>46.268656716417908</v>
      </c>
      <c r="O181" s="357"/>
    </row>
    <row r="182" spans="1:15">
      <c r="A182" s="1"/>
      <c r="B182" s="407">
        <v>37221</v>
      </c>
      <c r="C182" s="392">
        <v>55</v>
      </c>
      <c r="D182" s="408">
        <v>6.6</v>
      </c>
      <c r="E182" s="409"/>
      <c r="F182" s="409"/>
      <c r="G182" s="409">
        <v>4.4000000000000004</v>
      </c>
      <c r="H182" s="409"/>
      <c r="I182" s="409">
        <v>4.4000000000000004</v>
      </c>
      <c r="J182" s="410" t="str">
        <f t="shared" si="25"/>
        <v>--</v>
      </c>
      <c r="K182" s="411" t="str">
        <f t="shared" si="26"/>
        <v>--</v>
      </c>
      <c r="L182" s="411">
        <f t="shared" si="27"/>
        <v>33.333333333333329</v>
      </c>
      <c r="M182" s="411" t="str">
        <f t="shared" si="28"/>
        <v>--</v>
      </c>
      <c r="N182" s="411">
        <f t="shared" si="29"/>
        <v>33.333333333333329</v>
      </c>
      <c r="O182" s="357"/>
    </row>
    <row r="183" spans="1:15">
      <c r="A183" s="1"/>
      <c r="B183" s="407">
        <v>37228</v>
      </c>
      <c r="C183" s="392">
        <v>60</v>
      </c>
      <c r="D183" s="408">
        <v>6.3</v>
      </c>
      <c r="E183" s="409"/>
      <c r="F183" s="409"/>
      <c r="G183" s="409">
        <v>4</v>
      </c>
      <c r="H183" s="409"/>
      <c r="I183" s="409">
        <v>4.0999999999999996</v>
      </c>
      <c r="J183" s="410" t="str">
        <f t="shared" si="25"/>
        <v>--</v>
      </c>
      <c r="K183" s="411" t="str">
        <f t="shared" si="26"/>
        <v>--</v>
      </c>
      <c r="L183" s="411">
        <f t="shared" si="27"/>
        <v>36.507936507936506</v>
      </c>
      <c r="M183" s="411" t="str">
        <f t="shared" si="28"/>
        <v>--</v>
      </c>
      <c r="N183" s="411">
        <f t="shared" si="29"/>
        <v>34.920634920634924</v>
      </c>
      <c r="O183" s="357"/>
    </row>
    <row r="184" spans="1:15">
      <c r="A184" s="1"/>
      <c r="B184" s="407">
        <v>37235</v>
      </c>
      <c r="C184" s="392">
        <v>55</v>
      </c>
      <c r="D184" s="408">
        <v>6.6</v>
      </c>
      <c r="E184" s="409"/>
      <c r="F184" s="409"/>
      <c r="G184" s="409">
        <v>4.4000000000000004</v>
      </c>
      <c r="H184" s="409"/>
      <c r="I184" s="409">
        <v>4.3</v>
      </c>
      <c r="J184" s="410" t="str">
        <f t="shared" si="25"/>
        <v>--</v>
      </c>
      <c r="K184" s="411" t="str">
        <f t="shared" si="26"/>
        <v>--</v>
      </c>
      <c r="L184" s="411">
        <f t="shared" si="27"/>
        <v>33.333333333333329</v>
      </c>
      <c r="M184" s="411" t="str">
        <f t="shared" si="28"/>
        <v>--</v>
      </c>
      <c r="N184" s="411">
        <f t="shared" si="29"/>
        <v>34.848484848484844</v>
      </c>
      <c r="O184" s="357"/>
    </row>
    <row r="185" spans="1:15">
      <c r="A185" s="1"/>
      <c r="B185" s="407">
        <v>37242</v>
      </c>
      <c r="C185" s="392">
        <v>55</v>
      </c>
      <c r="D185" s="408">
        <v>6.4</v>
      </c>
      <c r="E185" s="409"/>
      <c r="F185" s="409"/>
      <c r="G185" s="409">
        <v>4.5</v>
      </c>
      <c r="H185" s="409"/>
      <c r="I185" s="409">
        <v>4.4000000000000004</v>
      </c>
      <c r="J185" s="410" t="str">
        <f t="shared" si="25"/>
        <v>--</v>
      </c>
      <c r="K185" s="411" t="str">
        <f t="shared" si="26"/>
        <v>--</v>
      </c>
      <c r="L185" s="411">
        <f t="shared" si="27"/>
        <v>29.687500000000007</v>
      </c>
      <c r="M185" s="411" t="str">
        <f t="shared" si="28"/>
        <v>--</v>
      </c>
      <c r="N185" s="411">
        <f t="shared" si="29"/>
        <v>31.25</v>
      </c>
      <c r="O185" s="357"/>
    </row>
    <row r="186" spans="1:15">
      <c r="A186" s="1"/>
      <c r="B186" s="407">
        <v>37256</v>
      </c>
      <c r="C186" s="392">
        <v>65</v>
      </c>
      <c r="D186" s="408">
        <v>6.6</v>
      </c>
      <c r="E186" s="409"/>
      <c r="F186" s="409"/>
      <c r="G186" s="409">
        <v>4.7</v>
      </c>
      <c r="H186" s="409"/>
      <c r="I186" s="409">
        <v>4.5999999999999996</v>
      </c>
      <c r="J186" s="410" t="str">
        <f t="shared" si="25"/>
        <v>--</v>
      </c>
      <c r="K186" s="411" t="str">
        <f t="shared" si="26"/>
        <v>--</v>
      </c>
      <c r="L186" s="411">
        <f t="shared" si="27"/>
        <v>28.787878787878778</v>
      </c>
      <c r="M186" s="411" t="str">
        <f t="shared" si="28"/>
        <v>--</v>
      </c>
      <c r="N186" s="411">
        <f t="shared" si="29"/>
        <v>30.303030303030305</v>
      </c>
      <c r="O186" s="357"/>
    </row>
    <row r="187" spans="1:15">
      <c r="A187" s="1" t="s">
        <v>261</v>
      </c>
      <c r="B187" s="412"/>
      <c r="C187" s="413"/>
      <c r="D187" s="414"/>
      <c r="E187" s="415"/>
      <c r="F187" s="415"/>
      <c r="G187" s="415"/>
      <c r="H187" s="415"/>
      <c r="I187" s="415"/>
      <c r="J187" s="414"/>
      <c r="K187" s="415"/>
      <c r="L187" s="415"/>
      <c r="M187" s="415"/>
      <c r="N187" s="415"/>
      <c r="O187" s="357"/>
    </row>
    <row r="188" spans="1:15" ht="30" customHeight="1">
      <c r="A188" s="1"/>
      <c r="B188" s="416" t="s">
        <v>279</v>
      </c>
      <c r="C188" s="417">
        <f t="shared" ref="C188:N188" si="30">AVERAGE(C135:C187)</f>
        <v>70.25</v>
      </c>
      <c r="D188" s="138">
        <f t="shared" si="30"/>
        <v>7.4442307692307699</v>
      </c>
      <c r="E188" s="139" t="e">
        <f t="shared" si="30"/>
        <v>#DIV/0!</v>
      </c>
      <c r="F188" s="139" t="e">
        <f t="shared" si="30"/>
        <v>#DIV/0!</v>
      </c>
      <c r="G188" s="139">
        <f t="shared" si="30"/>
        <v>4.7346153846153847</v>
      </c>
      <c r="H188" s="139">
        <f t="shared" si="30"/>
        <v>4.4359999999999999</v>
      </c>
      <c r="I188" s="139">
        <f t="shared" si="30"/>
        <v>3.6711538461538451</v>
      </c>
      <c r="J188" s="138" t="e">
        <f t="shared" si="30"/>
        <v>#DIV/0!</v>
      </c>
      <c r="K188" s="139" t="e">
        <f t="shared" si="30"/>
        <v>#DIV/0!</v>
      </c>
      <c r="L188" s="139">
        <f t="shared" si="30"/>
        <v>36.405123098881965</v>
      </c>
      <c r="M188" s="139">
        <f t="shared" si="30"/>
        <v>40.145091292789765</v>
      </c>
      <c r="N188" s="139">
        <f t="shared" si="30"/>
        <v>50.571332096023689</v>
      </c>
      <c r="O188" s="357"/>
    </row>
    <row r="189" spans="1:15" ht="30" customHeight="1">
      <c r="A189" s="1"/>
      <c r="B189" s="418" t="s">
        <v>280</v>
      </c>
      <c r="C189" s="419">
        <f t="shared" ref="C189:N189" si="31">AVERAGE(C84:C134)</f>
        <v>79.519607843137251</v>
      </c>
      <c r="D189" s="140">
        <f t="shared" si="31"/>
        <v>9.3529411764705888</v>
      </c>
      <c r="E189" s="141">
        <f t="shared" si="31"/>
        <v>11.02</v>
      </c>
      <c r="F189" s="141">
        <f t="shared" si="31"/>
        <v>5.5578947368421039</v>
      </c>
      <c r="G189" s="141">
        <f t="shared" si="31"/>
        <v>5.057777777777777</v>
      </c>
      <c r="H189" s="141">
        <f t="shared" si="31"/>
        <v>4.6538461538461542</v>
      </c>
      <c r="I189" s="141">
        <f t="shared" si="31"/>
        <v>3.9647058823529404</v>
      </c>
      <c r="J189" s="140">
        <f t="shared" si="31"/>
        <v>2.7577956995523998</v>
      </c>
      <c r="K189" s="141">
        <f t="shared" si="31"/>
        <v>44.024245342234266</v>
      </c>
      <c r="L189" s="141">
        <f t="shared" si="31"/>
        <v>43.78125462782986</v>
      </c>
      <c r="M189" s="141">
        <f t="shared" si="31"/>
        <v>43.358352340942098</v>
      </c>
      <c r="N189" s="141">
        <f t="shared" si="31"/>
        <v>58.580324997502196</v>
      </c>
      <c r="O189" s="357"/>
    </row>
    <row r="190" spans="1:15" ht="33" customHeight="1">
      <c r="A190" s="1"/>
      <c r="B190" s="418" t="s">
        <v>281</v>
      </c>
      <c r="C190" s="419">
        <f t="shared" ref="C190:N190" si="32">AVERAGE(C31:C83)</f>
        <v>76</v>
      </c>
      <c r="D190" s="140">
        <f t="shared" si="32"/>
        <v>9.9169811320754739</v>
      </c>
      <c r="E190" s="141">
        <f t="shared" si="32"/>
        <v>10.073076923076924</v>
      </c>
      <c r="F190" s="141">
        <f t="shared" si="32"/>
        <v>5.2639999999999993</v>
      </c>
      <c r="G190" s="141">
        <f t="shared" si="32"/>
        <v>5.2119999999999997</v>
      </c>
      <c r="H190" s="141">
        <f t="shared" si="32"/>
        <v>5.3521739130434796</v>
      </c>
      <c r="I190" s="141">
        <f t="shared" si="32"/>
        <v>3.515625</v>
      </c>
      <c r="J190" s="140">
        <f t="shared" si="32"/>
        <v>-1.7296779964611866</v>
      </c>
      <c r="K190" s="141">
        <f t="shared" si="32"/>
        <v>33.642397938569871</v>
      </c>
      <c r="L190" s="141">
        <f t="shared" si="32"/>
        <v>34.290330377953083</v>
      </c>
      <c r="M190" s="141">
        <f t="shared" si="32"/>
        <v>42.219880376595192</v>
      </c>
      <c r="N190" s="141">
        <f t="shared" si="32"/>
        <v>69.416830954942085</v>
      </c>
      <c r="O190" s="357"/>
    </row>
    <row r="191" spans="1:15" ht="29" customHeight="1">
      <c r="A191" s="1"/>
      <c r="B191" s="418" t="s">
        <v>282</v>
      </c>
      <c r="C191" s="419">
        <f t="shared" ref="C191:N191" si="33">AVERAGE(C4:C30)</f>
        <v>71.296296296296291</v>
      </c>
      <c r="D191" s="140">
        <f t="shared" si="33"/>
        <v>8.5000000000000018</v>
      </c>
      <c r="E191" s="141">
        <f t="shared" si="33"/>
        <v>8.7037037037037042</v>
      </c>
      <c r="F191" s="141">
        <f t="shared" si="33"/>
        <v>5.0925925925925917</v>
      </c>
      <c r="G191" s="141">
        <f t="shared" si="33"/>
        <v>4.9000000000000012</v>
      </c>
      <c r="H191" s="141">
        <f t="shared" si="33"/>
        <v>4.839999999999999</v>
      </c>
      <c r="I191" s="141">
        <f t="shared" si="33"/>
        <v>3.0318181818181817</v>
      </c>
      <c r="J191" s="140">
        <f t="shared" si="33"/>
        <v>-2.3118200953642236</v>
      </c>
      <c r="K191" s="141">
        <f t="shared" si="33"/>
        <v>39.527330857735826</v>
      </c>
      <c r="L191" s="141">
        <f t="shared" si="33"/>
        <v>41.878458482583397</v>
      </c>
      <c r="M191" s="141">
        <f t="shared" si="33"/>
        <v>42.933531821447502</v>
      </c>
      <c r="N191" s="141">
        <f t="shared" si="33"/>
        <v>64.613255349123236</v>
      </c>
      <c r="O191" s="357"/>
    </row>
    <row r="192" spans="1:15">
      <c r="A192" s="1"/>
      <c r="B192" s="420" t="s">
        <v>283</v>
      </c>
      <c r="C192" s="421">
        <f t="shared" ref="C192:N192" si="34">MIN(C4:C187)</f>
        <v>50</v>
      </c>
      <c r="D192" s="422">
        <f t="shared" si="34"/>
        <v>6</v>
      </c>
      <c r="E192" s="421">
        <f t="shared" si="34"/>
        <v>6.8</v>
      </c>
      <c r="F192" s="421">
        <f t="shared" si="34"/>
        <v>4.2</v>
      </c>
      <c r="G192" s="421">
        <f t="shared" si="34"/>
        <v>3.3</v>
      </c>
      <c r="H192" s="421">
        <f t="shared" si="34"/>
        <v>3.9</v>
      </c>
      <c r="I192" s="421">
        <f t="shared" si="34"/>
        <v>0.9</v>
      </c>
      <c r="J192" s="422">
        <f t="shared" si="34"/>
        <v>-17.333333333333343</v>
      </c>
      <c r="K192" s="421">
        <f t="shared" si="34"/>
        <v>26.760563380281681</v>
      </c>
      <c r="L192" s="421">
        <f t="shared" si="34"/>
        <v>23.943661971830977</v>
      </c>
      <c r="M192" s="421">
        <f t="shared" si="34"/>
        <v>23.943661971830977</v>
      </c>
      <c r="N192" s="421">
        <f t="shared" si="34"/>
        <v>26.760563380281681</v>
      </c>
      <c r="O192" s="357"/>
    </row>
    <row r="193" spans="1:15">
      <c r="A193" s="1"/>
      <c r="B193" s="420" t="s">
        <v>284</v>
      </c>
      <c r="C193" s="421">
        <f t="shared" ref="C193:N193" si="35">MAX(C4:C187)</f>
        <v>100</v>
      </c>
      <c r="D193" s="422">
        <f t="shared" si="35"/>
        <v>15</v>
      </c>
      <c r="E193" s="421">
        <f t="shared" si="35"/>
        <v>17.600000000000001</v>
      </c>
      <c r="F193" s="421">
        <f t="shared" si="35"/>
        <v>6.7</v>
      </c>
      <c r="G193" s="421">
        <f t="shared" si="35"/>
        <v>6.6</v>
      </c>
      <c r="H193" s="421">
        <f t="shared" si="35"/>
        <v>6</v>
      </c>
      <c r="I193" s="421">
        <f t="shared" si="35"/>
        <v>6.5</v>
      </c>
      <c r="J193" s="422">
        <f t="shared" si="35"/>
        <v>19.230769230769234</v>
      </c>
      <c r="K193" s="421">
        <f t="shared" si="35"/>
        <v>52.427184466019419</v>
      </c>
      <c r="L193" s="421">
        <f t="shared" si="35"/>
        <v>52.427184466019419</v>
      </c>
      <c r="M193" s="421">
        <f t="shared" si="35"/>
        <v>60.666666666666671</v>
      </c>
      <c r="N193" s="421">
        <f t="shared" si="35"/>
        <v>88.505747126436788</v>
      </c>
      <c r="O193" s="357"/>
    </row>
    <row r="194" spans="1:15">
      <c r="A194" s="1"/>
      <c r="B194" s="395"/>
      <c r="C194" s="395"/>
      <c r="D194" s="395"/>
      <c r="E194" s="395"/>
      <c r="F194" s="395"/>
      <c r="G194" s="395"/>
      <c r="H194" s="395"/>
      <c r="I194" s="395"/>
      <c r="J194" s="395"/>
      <c r="K194" s="395"/>
      <c r="L194" s="395"/>
      <c r="M194" s="395"/>
      <c r="N194" s="395"/>
      <c r="O194" s="1"/>
    </row>
    <row r="195" spans="1:15">
      <c r="C195" s="142" t="s">
        <v>285</v>
      </c>
      <c r="G195" s="143">
        <f>COUNT(G135:G185)</f>
        <v>51</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83"/>
  <sheetViews>
    <sheetView zoomScale="87" zoomScaleNormal="87" workbookViewId="0">
      <selection activeCell="V142" sqref="V142"/>
    </sheetView>
  </sheetViews>
  <sheetFormatPr baseColWidth="10" defaultColWidth="8.7109375" defaultRowHeight="16"/>
  <cols>
    <col min="1" max="1" width="1.7109375" style="144" customWidth="1"/>
    <col min="2" max="256" width="9.7109375" style="144" customWidth="1"/>
  </cols>
  <sheetData>
    <row r="1" spans="1:23" ht="41" customHeight="1">
      <c r="A1" s="423"/>
      <c r="B1" s="145" t="s">
        <v>286</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36269</v>
      </c>
      <c r="C4" s="161">
        <v>36269</v>
      </c>
      <c r="D4" s="161">
        <v>36276</v>
      </c>
      <c r="E4" s="162">
        <v>7.1</v>
      </c>
      <c r="F4" s="163">
        <v>7.02</v>
      </c>
      <c r="G4" s="164">
        <v>4.8</v>
      </c>
      <c r="H4" s="165"/>
      <c r="I4" s="166">
        <v>57</v>
      </c>
      <c r="J4" s="167">
        <v>81</v>
      </c>
      <c r="K4" s="167">
        <v>8</v>
      </c>
      <c r="L4" s="167">
        <v>16</v>
      </c>
      <c r="M4" s="167">
        <v>1</v>
      </c>
      <c r="N4" s="167">
        <v>1</v>
      </c>
      <c r="O4" s="167">
        <v>0</v>
      </c>
      <c r="P4" s="167">
        <v>0</v>
      </c>
      <c r="Q4" s="168">
        <f t="shared" ref="Q4:Q35" si="0">I4+K4+M4+O4</f>
        <v>66</v>
      </c>
      <c r="R4" s="168">
        <f t="shared" ref="R4:R35" si="1">J4+L4+N4+P4</f>
        <v>98</v>
      </c>
      <c r="S4" s="162">
        <v>0.85</v>
      </c>
      <c r="T4" s="163">
        <v>0</v>
      </c>
      <c r="U4" s="162">
        <v>0.2</v>
      </c>
      <c r="V4" s="163">
        <v>0</v>
      </c>
      <c r="W4" s="179"/>
    </row>
    <row r="5" spans="1:23">
      <c r="A5" s="425"/>
      <c r="B5" s="169">
        <v>36276</v>
      </c>
      <c r="C5" s="170">
        <v>36276</v>
      </c>
      <c r="D5" s="170">
        <v>36283</v>
      </c>
      <c r="E5" s="171">
        <v>6.99</v>
      </c>
      <c r="F5" s="172">
        <v>7.16</v>
      </c>
      <c r="G5" s="173">
        <v>4.8</v>
      </c>
      <c r="H5" s="174"/>
      <c r="I5" s="175">
        <v>62</v>
      </c>
      <c r="J5" s="176">
        <v>103</v>
      </c>
      <c r="K5" s="176">
        <v>10</v>
      </c>
      <c r="L5" s="176">
        <v>20</v>
      </c>
      <c r="M5" s="176">
        <v>1</v>
      </c>
      <c r="N5" s="176">
        <v>1</v>
      </c>
      <c r="O5" s="176">
        <v>0</v>
      </c>
      <c r="P5" s="176">
        <v>0</v>
      </c>
      <c r="Q5" s="177">
        <f t="shared" si="0"/>
        <v>73</v>
      </c>
      <c r="R5" s="177">
        <f t="shared" si="1"/>
        <v>124</v>
      </c>
      <c r="S5" s="171">
        <v>1</v>
      </c>
      <c r="T5" s="172">
        <v>0</v>
      </c>
      <c r="U5" s="171">
        <v>0.1</v>
      </c>
      <c r="V5" s="172">
        <v>0</v>
      </c>
      <c r="W5" s="179"/>
    </row>
    <row r="6" spans="1:23">
      <c r="A6" s="425"/>
      <c r="B6" s="169">
        <v>36283</v>
      </c>
      <c r="C6" s="170">
        <v>36283</v>
      </c>
      <c r="D6" s="170">
        <v>36290</v>
      </c>
      <c r="E6" s="171">
        <v>7.05</v>
      </c>
      <c r="F6" s="172">
        <v>7.16</v>
      </c>
      <c r="G6" s="173">
        <v>4.8</v>
      </c>
      <c r="H6" s="174"/>
      <c r="I6" s="175">
        <v>70</v>
      </c>
      <c r="J6" s="176">
        <v>111</v>
      </c>
      <c r="K6" s="176">
        <v>14</v>
      </c>
      <c r="L6" s="176">
        <v>21</v>
      </c>
      <c r="M6" s="176">
        <v>1</v>
      </c>
      <c r="N6" s="176">
        <v>2</v>
      </c>
      <c r="O6" s="176">
        <v>0</v>
      </c>
      <c r="P6" s="176">
        <v>0</v>
      </c>
      <c r="Q6" s="177">
        <f t="shared" si="0"/>
        <v>85</v>
      </c>
      <c r="R6" s="177">
        <f t="shared" si="1"/>
        <v>134</v>
      </c>
      <c r="S6" s="171">
        <v>1.1000000000000001</v>
      </c>
      <c r="T6" s="172">
        <v>0</v>
      </c>
      <c r="U6" s="171">
        <v>0.15</v>
      </c>
      <c r="V6" s="172">
        <v>0</v>
      </c>
      <c r="W6" s="179"/>
    </row>
    <row r="7" spans="1:23">
      <c r="A7" s="425"/>
      <c r="B7" s="169">
        <v>36297</v>
      </c>
      <c r="C7" s="170">
        <v>36297</v>
      </c>
      <c r="D7" s="170">
        <v>36305</v>
      </c>
      <c r="E7" s="171">
        <v>7.1</v>
      </c>
      <c r="F7" s="172">
        <v>7</v>
      </c>
      <c r="G7" s="173">
        <v>4.0999999999999996</v>
      </c>
      <c r="H7" s="174"/>
      <c r="I7" s="175">
        <v>58</v>
      </c>
      <c r="J7" s="176">
        <v>104</v>
      </c>
      <c r="K7" s="176">
        <v>15</v>
      </c>
      <c r="L7" s="176">
        <v>25</v>
      </c>
      <c r="M7" s="176">
        <v>1</v>
      </c>
      <c r="N7" s="176">
        <v>2</v>
      </c>
      <c r="O7" s="176">
        <v>0</v>
      </c>
      <c r="P7" s="176">
        <v>0</v>
      </c>
      <c r="Q7" s="177">
        <f t="shared" si="0"/>
        <v>74</v>
      </c>
      <c r="R7" s="177">
        <f t="shared" si="1"/>
        <v>131</v>
      </c>
      <c r="S7" s="171">
        <v>1.1499999999999999</v>
      </c>
      <c r="T7" s="172">
        <v>0</v>
      </c>
      <c r="U7" s="171">
        <v>0.25</v>
      </c>
      <c r="V7" s="172">
        <v>0.1</v>
      </c>
      <c r="W7" s="179"/>
    </row>
    <row r="8" spans="1:23">
      <c r="A8" s="425"/>
      <c r="B8" s="169">
        <v>36305</v>
      </c>
      <c r="C8" s="170">
        <v>36305</v>
      </c>
      <c r="D8" s="170">
        <v>36312</v>
      </c>
      <c r="E8" s="171">
        <v>7.92</v>
      </c>
      <c r="F8" s="172">
        <v>8.14</v>
      </c>
      <c r="G8" s="173">
        <v>1</v>
      </c>
      <c r="H8" s="174"/>
      <c r="I8" s="175">
        <v>3</v>
      </c>
      <c r="J8" s="176">
        <v>12</v>
      </c>
      <c r="K8" s="176">
        <v>0</v>
      </c>
      <c r="L8" s="176">
        <v>6</v>
      </c>
      <c r="M8" s="176">
        <v>0</v>
      </c>
      <c r="N8" s="176">
        <v>4</v>
      </c>
      <c r="O8" s="176">
        <v>0</v>
      </c>
      <c r="P8" s="176">
        <v>2</v>
      </c>
      <c r="Q8" s="177">
        <f t="shared" si="0"/>
        <v>3</v>
      </c>
      <c r="R8" s="177">
        <f t="shared" si="1"/>
        <v>24</v>
      </c>
      <c r="S8" s="171">
        <v>1.25</v>
      </c>
      <c r="T8" s="172">
        <v>0.85</v>
      </c>
      <c r="U8" s="171">
        <v>0</v>
      </c>
      <c r="V8" s="172">
        <v>0</v>
      </c>
      <c r="W8" s="179"/>
    </row>
    <row r="9" spans="1:23">
      <c r="A9" s="425"/>
      <c r="B9" s="169">
        <v>36311</v>
      </c>
      <c r="C9" s="170">
        <v>36311</v>
      </c>
      <c r="D9" s="170">
        <v>36318</v>
      </c>
      <c r="E9" s="171">
        <v>7.37</v>
      </c>
      <c r="F9" s="172">
        <v>7.25</v>
      </c>
      <c r="G9" s="173">
        <v>1.3</v>
      </c>
      <c r="H9" s="174"/>
      <c r="I9" s="175">
        <v>3</v>
      </c>
      <c r="J9" s="176">
        <v>6</v>
      </c>
      <c r="K9" s="176">
        <v>0</v>
      </c>
      <c r="L9" s="176">
        <v>4</v>
      </c>
      <c r="M9" s="176">
        <v>0</v>
      </c>
      <c r="N9" s="176">
        <v>4</v>
      </c>
      <c r="O9" s="176">
        <v>0</v>
      </c>
      <c r="P9" s="176">
        <v>1</v>
      </c>
      <c r="Q9" s="177">
        <f t="shared" si="0"/>
        <v>3</v>
      </c>
      <c r="R9" s="177">
        <f t="shared" si="1"/>
        <v>15</v>
      </c>
      <c r="S9" s="171">
        <v>1.25</v>
      </c>
      <c r="T9" s="172">
        <v>0.9</v>
      </c>
      <c r="U9" s="171">
        <v>0</v>
      </c>
      <c r="V9" s="172">
        <v>0</v>
      </c>
      <c r="W9" s="179"/>
    </row>
    <row r="10" spans="1:23">
      <c r="A10" s="425"/>
      <c r="B10" s="169">
        <v>36318</v>
      </c>
      <c r="C10" s="170">
        <v>36318</v>
      </c>
      <c r="D10" s="170">
        <v>36325</v>
      </c>
      <c r="E10" s="171">
        <v>7.33</v>
      </c>
      <c r="F10" s="172">
        <v>7.53</v>
      </c>
      <c r="G10" s="173">
        <v>1.3</v>
      </c>
      <c r="H10" s="174"/>
      <c r="I10" s="175">
        <v>3</v>
      </c>
      <c r="J10" s="176">
        <v>5</v>
      </c>
      <c r="K10" s="176">
        <v>0</v>
      </c>
      <c r="L10" s="176">
        <v>3</v>
      </c>
      <c r="M10" s="176">
        <v>0</v>
      </c>
      <c r="N10" s="176">
        <v>2</v>
      </c>
      <c r="O10" s="176">
        <v>0</v>
      </c>
      <c r="P10" s="176">
        <v>1</v>
      </c>
      <c r="Q10" s="177">
        <f t="shared" si="0"/>
        <v>3</v>
      </c>
      <c r="R10" s="177">
        <f t="shared" si="1"/>
        <v>11</v>
      </c>
      <c r="S10" s="171">
        <v>1</v>
      </c>
      <c r="T10" s="172">
        <v>0.6</v>
      </c>
      <c r="U10" s="171">
        <v>0</v>
      </c>
      <c r="V10" s="172">
        <v>0</v>
      </c>
      <c r="W10" s="179"/>
    </row>
    <row r="11" spans="1:23">
      <c r="A11" s="425"/>
      <c r="B11" s="169">
        <v>36325</v>
      </c>
      <c r="C11" s="170">
        <v>36325</v>
      </c>
      <c r="D11" s="170">
        <v>36332</v>
      </c>
      <c r="E11" s="171">
        <v>7.32</v>
      </c>
      <c r="F11" s="172">
        <v>7.39</v>
      </c>
      <c r="G11" s="173">
        <v>1.6</v>
      </c>
      <c r="H11" s="174"/>
      <c r="I11" s="175">
        <v>7</v>
      </c>
      <c r="J11" s="176">
        <v>12</v>
      </c>
      <c r="K11" s="176">
        <v>1</v>
      </c>
      <c r="L11" s="176">
        <v>7</v>
      </c>
      <c r="M11" s="176">
        <v>0</v>
      </c>
      <c r="N11" s="176">
        <v>5</v>
      </c>
      <c r="O11" s="176">
        <v>0</v>
      </c>
      <c r="P11" s="176">
        <v>0</v>
      </c>
      <c r="Q11" s="177">
        <f t="shared" si="0"/>
        <v>8</v>
      </c>
      <c r="R11" s="177">
        <f t="shared" si="1"/>
        <v>24</v>
      </c>
      <c r="S11" s="171">
        <v>1.1499999999999999</v>
      </c>
      <c r="T11" s="172">
        <v>0.6</v>
      </c>
      <c r="U11" s="171">
        <v>0</v>
      </c>
      <c r="V11" s="172">
        <v>0</v>
      </c>
      <c r="W11" s="179"/>
    </row>
    <row r="12" spans="1:23">
      <c r="A12" s="425"/>
      <c r="B12" s="169">
        <v>36332</v>
      </c>
      <c r="C12" s="170">
        <v>36332</v>
      </c>
      <c r="D12" s="170">
        <v>36339</v>
      </c>
      <c r="E12" s="171">
        <v>7.28</v>
      </c>
      <c r="F12" s="172">
        <v>7.11</v>
      </c>
      <c r="G12" s="173">
        <v>1.9</v>
      </c>
      <c r="H12" s="174"/>
      <c r="I12" s="175">
        <v>11</v>
      </c>
      <c r="J12" s="176">
        <v>16</v>
      </c>
      <c r="K12" s="176">
        <v>1</v>
      </c>
      <c r="L12" s="176">
        <v>8</v>
      </c>
      <c r="M12" s="178">
        <v>0</v>
      </c>
      <c r="N12" s="176">
        <v>4</v>
      </c>
      <c r="O12" s="176">
        <v>0</v>
      </c>
      <c r="P12" s="176">
        <v>1</v>
      </c>
      <c r="Q12" s="177">
        <f t="shared" si="0"/>
        <v>12</v>
      </c>
      <c r="R12" s="177">
        <f t="shared" si="1"/>
        <v>29</v>
      </c>
      <c r="S12" s="171">
        <v>1.25</v>
      </c>
      <c r="T12" s="172">
        <v>0.65</v>
      </c>
      <c r="U12" s="171">
        <v>0</v>
      </c>
      <c r="V12" s="172">
        <v>0</v>
      </c>
      <c r="W12" s="179"/>
    </row>
    <row r="13" spans="1:23">
      <c r="A13" s="425"/>
      <c r="B13" s="169">
        <v>36339</v>
      </c>
      <c r="C13" s="170">
        <v>36339</v>
      </c>
      <c r="D13" s="170">
        <v>36346</v>
      </c>
      <c r="E13" s="171">
        <v>7.21</v>
      </c>
      <c r="F13" s="172">
        <v>7.08</v>
      </c>
      <c r="G13" s="173">
        <v>1.8</v>
      </c>
      <c r="H13" s="174"/>
      <c r="I13" s="175">
        <v>17</v>
      </c>
      <c r="J13" s="176">
        <v>23</v>
      </c>
      <c r="K13" s="176">
        <v>1</v>
      </c>
      <c r="L13" s="176">
        <v>9</v>
      </c>
      <c r="M13" s="178">
        <v>0</v>
      </c>
      <c r="N13" s="176">
        <v>4</v>
      </c>
      <c r="O13" s="176">
        <v>0</v>
      </c>
      <c r="P13" s="176">
        <v>1</v>
      </c>
      <c r="Q13" s="177">
        <f t="shared" si="0"/>
        <v>18</v>
      </c>
      <c r="R13" s="177">
        <f t="shared" si="1"/>
        <v>37</v>
      </c>
      <c r="S13" s="171">
        <v>1.2</v>
      </c>
      <c r="T13" s="172">
        <v>0.6</v>
      </c>
      <c r="U13" s="171">
        <v>0</v>
      </c>
      <c r="V13" s="172">
        <v>0</v>
      </c>
      <c r="W13" s="179"/>
    </row>
    <row r="14" spans="1:23">
      <c r="A14" s="425"/>
      <c r="B14" s="169">
        <v>36346</v>
      </c>
      <c r="C14" s="170">
        <v>36346</v>
      </c>
      <c r="D14" s="170">
        <v>36353</v>
      </c>
      <c r="E14" s="171">
        <v>7.28</v>
      </c>
      <c r="F14" s="172">
        <v>7.28</v>
      </c>
      <c r="G14" s="173">
        <v>2.2999999999999998</v>
      </c>
      <c r="H14" s="174"/>
      <c r="I14" s="175">
        <v>26</v>
      </c>
      <c r="J14" s="176">
        <v>38</v>
      </c>
      <c r="K14" s="176">
        <v>3</v>
      </c>
      <c r="L14" s="176">
        <v>12</v>
      </c>
      <c r="M14" s="176">
        <v>0</v>
      </c>
      <c r="N14" s="176">
        <v>6</v>
      </c>
      <c r="O14" s="176">
        <v>0</v>
      </c>
      <c r="P14" s="176">
        <v>1</v>
      </c>
      <c r="Q14" s="177">
        <f t="shared" si="0"/>
        <v>29</v>
      </c>
      <c r="R14" s="177">
        <f t="shared" si="1"/>
        <v>57</v>
      </c>
      <c r="S14" s="171">
        <v>1.05</v>
      </c>
      <c r="T14" s="172">
        <v>0.3</v>
      </c>
      <c r="U14" s="171">
        <v>0</v>
      </c>
      <c r="V14" s="172">
        <v>0</v>
      </c>
      <c r="W14" s="179"/>
    </row>
    <row r="15" spans="1:23">
      <c r="A15" s="425"/>
      <c r="B15" s="169">
        <v>36353</v>
      </c>
      <c r="C15" s="170">
        <v>36353</v>
      </c>
      <c r="D15" s="170">
        <v>36360</v>
      </c>
      <c r="E15" s="171">
        <v>7.14</v>
      </c>
      <c r="F15" s="172">
        <v>7.04</v>
      </c>
      <c r="G15" s="173">
        <v>2.2000000000000002</v>
      </c>
      <c r="H15" s="174"/>
      <c r="I15" s="175">
        <v>30</v>
      </c>
      <c r="J15" s="176">
        <v>43</v>
      </c>
      <c r="K15" s="176">
        <v>3</v>
      </c>
      <c r="L15" s="176">
        <v>13</v>
      </c>
      <c r="M15" s="176">
        <v>0</v>
      </c>
      <c r="N15" s="176">
        <v>5</v>
      </c>
      <c r="O15" s="176">
        <v>0</v>
      </c>
      <c r="P15" s="176">
        <v>1</v>
      </c>
      <c r="Q15" s="177">
        <f t="shared" si="0"/>
        <v>33</v>
      </c>
      <c r="R15" s="177">
        <f t="shared" si="1"/>
        <v>62</v>
      </c>
      <c r="S15" s="171">
        <v>1.1499999999999999</v>
      </c>
      <c r="T15" s="172">
        <v>0.4</v>
      </c>
      <c r="U15" s="171">
        <v>0</v>
      </c>
      <c r="V15" s="172">
        <v>0</v>
      </c>
      <c r="W15" s="179"/>
    </row>
    <row r="16" spans="1:23">
      <c r="A16" s="425"/>
      <c r="B16" s="169">
        <v>36360</v>
      </c>
      <c r="C16" s="170">
        <v>36360</v>
      </c>
      <c r="D16" s="170">
        <v>36367</v>
      </c>
      <c r="E16" s="171">
        <v>7.19</v>
      </c>
      <c r="F16" s="172">
        <v>7.06</v>
      </c>
      <c r="G16" s="173">
        <v>1.6</v>
      </c>
      <c r="H16" s="174"/>
      <c r="I16" s="175">
        <v>45</v>
      </c>
      <c r="J16" s="176">
        <v>59</v>
      </c>
      <c r="K16" s="176">
        <v>6</v>
      </c>
      <c r="L16" s="176">
        <v>15</v>
      </c>
      <c r="M16" s="176">
        <v>0</v>
      </c>
      <c r="N16" s="176">
        <v>5</v>
      </c>
      <c r="O16" s="176">
        <v>0</v>
      </c>
      <c r="P16" s="176">
        <v>0</v>
      </c>
      <c r="Q16" s="177">
        <f t="shared" si="0"/>
        <v>51</v>
      </c>
      <c r="R16" s="177">
        <f t="shared" si="1"/>
        <v>79</v>
      </c>
      <c r="S16" s="171">
        <v>1.2</v>
      </c>
      <c r="T16" s="172">
        <v>0.3</v>
      </c>
      <c r="U16" s="171">
        <v>0</v>
      </c>
      <c r="V16" s="172">
        <v>0</v>
      </c>
      <c r="W16" s="179"/>
    </row>
    <row r="17" spans="1:23">
      <c r="A17" s="425"/>
      <c r="B17" s="169">
        <v>36367</v>
      </c>
      <c r="C17" s="170">
        <v>36367</v>
      </c>
      <c r="D17" s="170">
        <v>36375</v>
      </c>
      <c r="E17" s="171">
        <v>7.05</v>
      </c>
      <c r="F17" s="172">
        <v>6.97</v>
      </c>
      <c r="G17" s="173">
        <v>3.1</v>
      </c>
      <c r="H17" s="174"/>
      <c r="I17" s="175">
        <v>49</v>
      </c>
      <c r="J17" s="176">
        <v>63</v>
      </c>
      <c r="K17" s="176">
        <v>6</v>
      </c>
      <c r="L17" s="176">
        <v>17</v>
      </c>
      <c r="M17" s="176">
        <v>1</v>
      </c>
      <c r="N17" s="176">
        <v>6</v>
      </c>
      <c r="O17" s="176">
        <v>0</v>
      </c>
      <c r="P17" s="176">
        <v>1</v>
      </c>
      <c r="Q17" s="177">
        <f t="shared" si="0"/>
        <v>56</v>
      </c>
      <c r="R17" s="177">
        <f t="shared" si="1"/>
        <v>87</v>
      </c>
      <c r="S17" s="171">
        <v>1.2</v>
      </c>
      <c r="T17" s="172">
        <v>0.2</v>
      </c>
      <c r="U17" s="171">
        <v>0.1</v>
      </c>
      <c r="V17" s="172">
        <v>0</v>
      </c>
      <c r="W17" s="179"/>
    </row>
    <row r="18" spans="1:23">
      <c r="A18" s="425"/>
      <c r="B18" s="169">
        <v>36375</v>
      </c>
      <c r="C18" s="170">
        <v>36375</v>
      </c>
      <c r="D18" s="170">
        <v>36381</v>
      </c>
      <c r="E18" s="171">
        <v>6.94</v>
      </c>
      <c r="F18" s="172">
        <v>6.81</v>
      </c>
      <c r="G18" s="173">
        <v>2.6</v>
      </c>
      <c r="H18" s="174"/>
      <c r="I18" s="175">
        <v>55</v>
      </c>
      <c r="J18" s="176">
        <v>57</v>
      </c>
      <c r="K18" s="176">
        <v>10</v>
      </c>
      <c r="L18" s="176">
        <v>10</v>
      </c>
      <c r="M18" s="176">
        <v>1</v>
      </c>
      <c r="N18" s="176">
        <v>1</v>
      </c>
      <c r="O18" s="176">
        <v>0</v>
      </c>
      <c r="P18" s="176">
        <v>0</v>
      </c>
      <c r="Q18" s="177">
        <f t="shared" si="0"/>
        <v>66</v>
      </c>
      <c r="R18" s="177">
        <f t="shared" si="1"/>
        <v>68</v>
      </c>
      <c r="S18" s="171">
        <v>1.1000000000000001</v>
      </c>
      <c r="T18" s="172">
        <v>0.05</v>
      </c>
      <c r="U18" s="171">
        <v>0.1</v>
      </c>
      <c r="V18" s="172">
        <v>0</v>
      </c>
      <c r="W18" s="179"/>
    </row>
    <row r="19" spans="1:23">
      <c r="A19" s="425"/>
      <c r="B19" s="169">
        <v>36381</v>
      </c>
      <c r="C19" s="170">
        <v>36381</v>
      </c>
      <c r="D19" s="170">
        <v>36388</v>
      </c>
      <c r="E19" s="171">
        <v>6.86</v>
      </c>
      <c r="F19" s="172">
        <v>6.83</v>
      </c>
      <c r="G19" s="173">
        <v>2.9</v>
      </c>
      <c r="H19" s="174"/>
      <c r="I19" s="175">
        <v>58</v>
      </c>
      <c r="J19" s="176">
        <v>77</v>
      </c>
      <c r="K19" s="176">
        <v>14</v>
      </c>
      <c r="L19" s="176">
        <v>28</v>
      </c>
      <c r="M19" s="176">
        <v>1</v>
      </c>
      <c r="N19" s="176">
        <v>8</v>
      </c>
      <c r="O19" s="176">
        <v>0</v>
      </c>
      <c r="P19" s="176">
        <v>1</v>
      </c>
      <c r="Q19" s="177">
        <f t="shared" si="0"/>
        <v>73</v>
      </c>
      <c r="R19" s="177">
        <f t="shared" si="1"/>
        <v>114</v>
      </c>
      <c r="S19" s="171">
        <v>1.1499999999999999</v>
      </c>
      <c r="T19" s="172">
        <v>0.1</v>
      </c>
      <c r="U19" s="171">
        <v>0.05</v>
      </c>
      <c r="V19" s="172">
        <v>0</v>
      </c>
      <c r="W19" s="179"/>
    </row>
    <row r="20" spans="1:23">
      <c r="A20" s="425"/>
      <c r="B20" s="169">
        <v>36388</v>
      </c>
      <c r="C20" s="170">
        <v>36388</v>
      </c>
      <c r="D20" s="170">
        <v>36395</v>
      </c>
      <c r="E20" s="171">
        <v>7.11</v>
      </c>
      <c r="F20" s="172">
        <v>7.23</v>
      </c>
      <c r="G20" s="173">
        <v>2.5</v>
      </c>
      <c r="H20" s="174"/>
      <c r="I20" s="175">
        <v>45</v>
      </c>
      <c r="J20" s="176">
        <v>51</v>
      </c>
      <c r="K20" s="176">
        <v>10</v>
      </c>
      <c r="L20" s="176">
        <v>16</v>
      </c>
      <c r="M20" s="176">
        <v>1</v>
      </c>
      <c r="N20" s="176">
        <v>6</v>
      </c>
      <c r="O20" s="176">
        <v>0</v>
      </c>
      <c r="P20" s="176">
        <v>0</v>
      </c>
      <c r="Q20" s="177">
        <f t="shared" si="0"/>
        <v>56</v>
      </c>
      <c r="R20" s="177">
        <f t="shared" si="1"/>
        <v>73</v>
      </c>
      <c r="S20" s="171">
        <v>1</v>
      </c>
      <c r="T20" s="172">
        <v>0.1</v>
      </c>
      <c r="U20" s="171">
        <v>0.1</v>
      </c>
      <c r="V20" s="172">
        <v>0</v>
      </c>
      <c r="W20" s="179"/>
    </row>
    <row r="21" spans="1:23">
      <c r="A21" s="425"/>
      <c r="B21" s="169">
        <v>36395</v>
      </c>
      <c r="C21" s="170">
        <v>36395</v>
      </c>
      <c r="D21" s="170">
        <v>36402</v>
      </c>
      <c r="E21" s="171">
        <v>6.93</v>
      </c>
      <c r="F21" s="172">
        <v>6.9</v>
      </c>
      <c r="G21" s="173">
        <v>2.1</v>
      </c>
      <c r="H21" s="174"/>
      <c r="I21" s="175">
        <v>52</v>
      </c>
      <c r="J21" s="176">
        <v>60</v>
      </c>
      <c r="K21" s="176">
        <v>12</v>
      </c>
      <c r="L21" s="176">
        <v>24</v>
      </c>
      <c r="M21" s="176">
        <v>1</v>
      </c>
      <c r="N21" s="176">
        <v>8</v>
      </c>
      <c r="O21" s="176">
        <v>0</v>
      </c>
      <c r="P21" s="176">
        <v>2</v>
      </c>
      <c r="Q21" s="177">
        <f t="shared" si="0"/>
        <v>65</v>
      </c>
      <c r="R21" s="177">
        <f t="shared" si="1"/>
        <v>94</v>
      </c>
      <c r="S21" s="171">
        <v>1.1000000000000001</v>
      </c>
      <c r="T21" s="172">
        <v>0.15</v>
      </c>
      <c r="U21" s="171">
        <v>0.1</v>
      </c>
      <c r="V21" s="172">
        <v>0.1</v>
      </c>
      <c r="W21" s="179"/>
    </row>
    <row r="22" spans="1:23">
      <c r="A22" s="425"/>
      <c r="B22" s="169">
        <v>36430</v>
      </c>
      <c r="C22" s="170">
        <v>36430</v>
      </c>
      <c r="D22" s="170">
        <v>36437</v>
      </c>
      <c r="E22" s="171">
        <v>7.18</v>
      </c>
      <c r="F22" s="172">
        <v>6.9</v>
      </c>
      <c r="G22" s="173">
        <v>3.9</v>
      </c>
      <c r="H22" s="174"/>
      <c r="I22" s="175">
        <v>45</v>
      </c>
      <c r="J22" s="176">
        <v>64</v>
      </c>
      <c r="K22" s="176">
        <v>14</v>
      </c>
      <c r="L22" s="176">
        <v>27</v>
      </c>
      <c r="M22" s="176">
        <v>1</v>
      </c>
      <c r="N22" s="176">
        <v>7</v>
      </c>
      <c r="O22" s="176">
        <v>0</v>
      </c>
      <c r="P22" s="176">
        <v>2</v>
      </c>
      <c r="Q22" s="177">
        <f t="shared" si="0"/>
        <v>60</v>
      </c>
      <c r="R22" s="177">
        <f t="shared" si="1"/>
        <v>100</v>
      </c>
      <c r="S22" s="171">
        <v>1.1000000000000001</v>
      </c>
      <c r="T22" s="172">
        <v>0.15</v>
      </c>
      <c r="U22" s="171">
        <v>0.05</v>
      </c>
      <c r="V22" s="172">
        <v>0</v>
      </c>
      <c r="W22" s="179"/>
    </row>
    <row r="23" spans="1:23">
      <c r="A23" s="425"/>
      <c r="B23" s="169">
        <v>36437</v>
      </c>
      <c r="C23" s="170">
        <v>36437</v>
      </c>
      <c r="D23" s="170">
        <v>36445</v>
      </c>
      <c r="E23" s="171">
        <v>6.95</v>
      </c>
      <c r="F23" s="172">
        <v>7</v>
      </c>
      <c r="G23" s="173">
        <v>4</v>
      </c>
      <c r="H23" s="174"/>
      <c r="I23" s="175">
        <v>41</v>
      </c>
      <c r="J23" s="176">
        <v>62</v>
      </c>
      <c r="K23" s="176">
        <v>12</v>
      </c>
      <c r="L23" s="176">
        <v>27</v>
      </c>
      <c r="M23" s="176">
        <v>1</v>
      </c>
      <c r="N23" s="176">
        <v>6</v>
      </c>
      <c r="O23" s="176">
        <v>0</v>
      </c>
      <c r="P23" s="176">
        <v>0</v>
      </c>
      <c r="Q23" s="177">
        <f t="shared" si="0"/>
        <v>54</v>
      </c>
      <c r="R23" s="177">
        <f t="shared" si="1"/>
        <v>95</v>
      </c>
      <c r="S23" s="171">
        <v>1.25</v>
      </c>
      <c r="T23" s="172">
        <v>0.05</v>
      </c>
      <c r="U23" s="171">
        <v>0.1</v>
      </c>
      <c r="V23" s="172">
        <v>0</v>
      </c>
      <c r="W23" s="179"/>
    </row>
    <row r="24" spans="1:23">
      <c r="A24" s="425"/>
      <c r="B24" s="169">
        <v>36445</v>
      </c>
      <c r="C24" s="170">
        <v>36445</v>
      </c>
      <c r="D24" s="170">
        <v>36452</v>
      </c>
      <c r="E24" s="171">
        <v>7.1</v>
      </c>
      <c r="F24" s="172"/>
      <c r="G24" s="173">
        <v>4.2</v>
      </c>
      <c r="H24" s="174"/>
      <c r="I24" s="175">
        <v>33</v>
      </c>
      <c r="J24" s="176">
        <v>47</v>
      </c>
      <c r="K24" s="176">
        <v>14</v>
      </c>
      <c r="L24" s="176">
        <v>24</v>
      </c>
      <c r="M24" s="176">
        <v>1</v>
      </c>
      <c r="N24" s="176">
        <v>7</v>
      </c>
      <c r="O24" s="176">
        <v>0</v>
      </c>
      <c r="P24" s="176">
        <v>1</v>
      </c>
      <c r="Q24" s="177">
        <f t="shared" si="0"/>
        <v>48</v>
      </c>
      <c r="R24" s="177">
        <f t="shared" si="1"/>
        <v>79</v>
      </c>
      <c r="S24" s="171">
        <v>1.2</v>
      </c>
      <c r="T24" s="172">
        <v>0.05</v>
      </c>
      <c r="U24" s="171">
        <v>0.1</v>
      </c>
      <c r="V24" s="172">
        <v>0</v>
      </c>
      <c r="W24" s="179"/>
    </row>
    <row r="25" spans="1:23">
      <c r="A25" s="425"/>
      <c r="B25" s="169">
        <v>36452</v>
      </c>
      <c r="C25" s="170">
        <v>36452</v>
      </c>
      <c r="D25" s="170">
        <v>36459</v>
      </c>
      <c r="E25" s="171">
        <v>6.98</v>
      </c>
      <c r="F25" s="172">
        <v>6.94</v>
      </c>
      <c r="G25" s="173">
        <v>4.2</v>
      </c>
      <c r="H25" s="174"/>
      <c r="I25" s="175">
        <v>31</v>
      </c>
      <c r="J25" s="176">
        <v>51</v>
      </c>
      <c r="K25" s="176">
        <v>14</v>
      </c>
      <c r="L25" s="176">
        <v>28</v>
      </c>
      <c r="M25" s="176">
        <v>1</v>
      </c>
      <c r="N25" s="176">
        <v>7</v>
      </c>
      <c r="O25" s="176">
        <v>0</v>
      </c>
      <c r="P25" s="176">
        <v>1</v>
      </c>
      <c r="Q25" s="177">
        <f t="shared" si="0"/>
        <v>46</v>
      </c>
      <c r="R25" s="177">
        <f t="shared" si="1"/>
        <v>87</v>
      </c>
      <c r="S25" s="171">
        <v>1.1000000000000001</v>
      </c>
      <c r="T25" s="172">
        <v>0.05</v>
      </c>
      <c r="U25" s="171">
        <v>0.1</v>
      </c>
      <c r="V25" s="172">
        <v>0</v>
      </c>
      <c r="W25" s="179"/>
    </row>
    <row r="26" spans="1:23">
      <c r="A26" s="425"/>
      <c r="B26" s="169">
        <v>36458</v>
      </c>
      <c r="C26" s="170">
        <v>36458</v>
      </c>
      <c r="D26" s="170">
        <v>36465</v>
      </c>
      <c r="E26" s="171">
        <v>6.99</v>
      </c>
      <c r="F26" s="172">
        <v>7.09</v>
      </c>
      <c r="G26" s="173">
        <v>4.4000000000000004</v>
      </c>
      <c r="H26" s="174"/>
      <c r="I26" s="175">
        <v>28</v>
      </c>
      <c r="J26" s="176">
        <v>44</v>
      </c>
      <c r="K26" s="176">
        <v>14</v>
      </c>
      <c r="L26" s="176">
        <v>25</v>
      </c>
      <c r="M26" s="176">
        <v>1</v>
      </c>
      <c r="N26" s="176">
        <v>6</v>
      </c>
      <c r="O26" s="176">
        <v>0</v>
      </c>
      <c r="P26" s="176">
        <v>0</v>
      </c>
      <c r="Q26" s="177">
        <f t="shared" si="0"/>
        <v>43</v>
      </c>
      <c r="R26" s="177">
        <f t="shared" si="1"/>
        <v>75</v>
      </c>
      <c r="S26" s="171">
        <v>1.2</v>
      </c>
      <c r="T26" s="172">
        <v>0.05</v>
      </c>
      <c r="U26" s="171">
        <v>0.15</v>
      </c>
      <c r="V26" s="172">
        <v>0</v>
      </c>
      <c r="W26" s="179"/>
    </row>
    <row r="27" spans="1:23">
      <c r="A27" s="425"/>
      <c r="B27" s="169">
        <v>36465</v>
      </c>
      <c r="C27" s="170">
        <v>36465</v>
      </c>
      <c r="D27" s="170">
        <v>36472</v>
      </c>
      <c r="E27" s="171">
        <v>6.74</v>
      </c>
      <c r="F27" s="172">
        <v>6.71</v>
      </c>
      <c r="G27" s="173">
        <v>4.3</v>
      </c>
      <c r="H27" s="174"/>
      <c r="I27" s="175">
        <v>28</v>
      </c>
      <c r="J27" s="176">
        <v>51</v>
      </c>
      <c r="K27" s="176">
        <v>15</v>
      </c>
      <c r="L27" s="176">
        <v>31</v>
      </c>
      <c r="M27" s="176">
        <v>2</v>
      </c>
      <c r="N27" s="176">
        <v>8</v>
      </c>
      <c r="O27" s="176">
        <v>0</v>
      </c>
      <c r="P27" s="176">
        <v>1</v>
      </c>
      <c r="Q27" s="177">
        <f t="shared" si="0"/>
        <v>45</v>
      </c>
      <c r="R27" s="177">
        <f t="shared" si="1"/>
        <v>91</v>
      </c>
      <c r="S27" s="171">
        <v>1.25</v>
      </c>
      <c r="T27" s="172">
        <v>0.05</v>
      </c>
      <c r="U27" s="171">
        <v>0.1</v>
      </c>
      <c r="V27" s="172">
        <v>0</v>
      </c>
      <c r="W27" s="179"/>
    </row>
    <row r="28" spans="1:23">
      <c r="A28" s="425"/>
      <c r="B28" s="169">
        <v>36472</v>
      </c>
      <c r="C28" s="170">
        <v>36472</v>
      </c>
      <c r="D28" s="170">
        <v>36479</v>
      </c>
      <c r="E28" s="171">
        <v>6.65</v>
      </c>
      <c r="F28" s="172">
        <v>6.83</v>
      </c>
      <c r="G28" s="173">
        <v>4.2</v>
      </c>
      <c r="H28" s="174"/>
      <c r="I28" s="175">
        <v>26</v>
      </c>
      <c r="J28" s="176">
        <v>46</v>
      </c>
      <c r="K28" s="176">
        <v>14</v>
      </c>
      <c r="L28" s="176">
        <v>29</v>
      </c>
      <c r="M28" s="176">
        <v>2</v>
      </c>
      <c r="N28" s="176">
        <v>7</v>
      </c>
      <c r="O28" s="176">
        <v>0</v>
      </c>
      <c r="P28" s="176">
        <v>1</v>
      </c>
      <c r="Q28" s="177">
        <f t="shared" si="0"/>
        <v>42</v>
      </c>
      <c r="R28" s="177">
        <f t="shared" si="1"/>
        <v>83</v>
      </c>
      <c r="S28" s="171">
        <v>1.1499999999999999</v>
      </c>
      <c r="T28" s="172">
        <v>0.05</v>
      </c>
      <c r="U28" s="171">
        <v>0.15</v>
      </c>
      <c r="V28" s="172">
        <v>0</v>
      </c>
      <c r="W28" s="179"/>
    </row>
    <row r="29" spans="1:23">
      <c r="A29" s="425"/>
      <c r="B29" s="169">
        <v>36479</v>
      </c>
      <c r="C29" s="170">
        <v>36479</v>
      </c>
      <c r="D29" s="170">
        <v>36486</v>
      </c>
      <c r="E29" s="171">
        <v>6.68</v>
      </c>
      <c r="F29" s="172">
        <v>6.69</v>
      </c>
      <c r="G29" s="173">
        <v>5.9</v>
      </c>
      <c r="H29" s="174"/>
      <c r="I29" s="175">
        <v>19</v>
      </c>
      <c r="J29" s="176">
        <v>44</v>
      </c>
      <c r="K29" s="176">
        <v>12</v>
      </c>
      <c r="L29" s="176">
        <v>29</v>
      </c>
      <c r="M29" s="176">
        <v>3</v>
      </c>
      <c r="N29" s="176">
        <v>7</v>
      </c>
      <c r="O29" s="176">
        <v>0</v>
      </c>
      <c r="P29" s="176">
        <v>0</v>
      </c>
      <c r="Q29" s="177">
        <f t="shared" si="0"/>
        <v>34</v>
      </c>
      <c r="R29" s="177">
        <f t="shared" si="1"/>
        <v>80</v>
      </c>
      <c r="S29" s="171">
        <v>1.1499999999999999</v>
      </c>
      <c r="T29" s="172">
        <v>0</v>
      </c>
      <c r="U29" s="171">
        <v>0.25</v>
      </c>
      <c r="V29" s="172">
        <v>0.1</v>
      </c>
      <c r="W29" s="179" t="s">
        <v>311</v>
      </c>
    </row>
    <row r="30" spans="1:23">
      <c r="A30" s="425"/>
      <c r="B30" s="169">
        <v>36486</v>
      </c>
      <c r="C30" s="170">
        <v>36486</v>
      </c>
      <c r="D30" s="170">
        <v>36493</v>
      </c>
      <c r="E30" s="171">
        <v>6.98</v>
      </c>
      <c r="F30" s="172">
        <v>7</v>
      </c>
      <c r="G30" s="173">
        <v>5.4</v>
      </c>
      <c r="H30" s="174"/>
      <c r="I30" s="175">
        <v>20</v>
      </c>
      <c r="J30" s="176">
        <v>52</v>
      </c>
      <c r="K30" s="176">
        <v>13</v>
      </c>
      <c r="L30" s="176">
        <v>29</v>
      </c>
      <c r="M30" s="176">
        <v>3</v>
      </c>
      <c r="N30" s="176">
        <v>6</v>
      </c>
      <c r="O30" s="176">
        <v>0</v>
      </c>
      <c r="P30" s="176">
        <v>0</v>
      </c>
      <c r="Q30" s="177">
        <f t="shared" si="0"/>
        <v>36</v>
      </c>
      <c r="R30" s="177">
        <f t="shared" si="1"/>
        <v>87</v>
      </c>
      <c r="S30" s="171">
        <v>0.95</v>
      </c>
      <c r="T30" s="172">
        <v>0</v>
      </c>
      <c r="U30" s="171">
        <v>0.35</v>
      </c>
      <c r="V30" s="172">
        <v>0.05</v>
      </c>
      <c r="W30" s="179"/>
    </row>
    <row r="31" spans="1:23">
      <c r="A31" s="425"/>
      <c r="B31" s="169">
        <v>36493</v>
      </c>
      <c r="C31" s="170">
        <v>36493</v>
      </c>
      <c r="D31" s="170">
        <v>36500</v>
      </c>
      <c r="E31" s="171">
        <v>6.9</v>
      </c>
      <c r="F31" s="172">
        <v>7</v>
      </c>
      <c r="G31" s="173">
        <v>5.6</v>
      </c>
      <c r="H31" s="174"/>
      <c r="I31" s="175">
        <v>17</v>
      </c>
      <c r="J31" s="176">
        <v>39</v>
      </c>
      <c r="K31" s="176">
        <v>10</v>
      </c>
      <c r="L31" s="176">
        <v>25</v>
      </c>
      <c r="M31" s="176">
        <v>2</v>
      </c>
      <c r="N31" s="176">
        <v>5</v>
      </c>
      <c r="O31" s="176">
        <v>0</v>
      </c>
      <c r="P31" s="176">
        <v>0</v>
      </c>
      <c r="Q31" s="177">
        <f t="shared" si="0"/>
        <v>29</v>
      </c>
      <c r="R31" s="177">
        <f t="shared" si="1"/>
        <v>69</v>
      </c>
      <c r="S31" s="171">
        <v>1.1000000000000001</v>
      </c>
      <c r="T31" s="172">
        <v>0</v>
      </c>
      <c r="U31" s="171">
        <v>0.25</v>
      </c>
      <c r="V31" s="172">
        <v>0.05</v>
      </c>
      <c r="W31" s="179"/>
    </row>
    <row r="32" spans="1:23">
      <c r="A32" s="425"/>
      <c r="B32" s="169">
        <v>36500</v>
      </c>
      <c r="C32" s="170">
        <v>36500</v>
      </c>
      <c r="D32" s="170">
        <v>36507</v>
      </c>
      <c r="E32" s="171">
        <v>7.09</v>
      </c>
      <c r="F32" s="172">
        <v>7.21</v>
      </c>
      <c r="G32" s="173">
        <v>5.8</v>
      </c>
      <c r="H32" s="174"/>
      <c r="I32" s="175">
        <v>19</v>
      </c>
      <c r="J32" s="176">
        <v>57</v>
      </c>
      <c r="K32" s="176">
        <v>14</v>
      </c>
      <c r="L32" s="176">
        <v>34</v>
      </c>
      <c r="M32" s="176">
        <v>4</v>
      </c>
      <c r="N32" s="176">
        <v>8</v>
      </c>
      <c r="O32" s="176">
        <v>0</v>
      </c>
      <c r="P32" s="176">
        <v>0</v>
      </c>
      <c r="Q32" s="177">
        <f t="shared" si="0"/>
        <v>37</v>
      </c>
      <c r="R32" s="177">
        <f t="shared" si="1"/>
        <v>99</v>
      </c>
      <c r="S32" s="171">
        <v>1.1000000000000001</v>
      </c>
      <c r="T32" s="172">
        <v>0</v>
      </c>
      <c r="U32" s="171">
        <v>0.3</v>
      </c>
      <c r="V32" s="172">
        <v>0</v>
      </c>
      <c r="W32" s="179"/>
    </row>
    <row r="33" spans="1:23">
      <c r="A33" s="425"/>
      <c r="B33" s="169">
        <v>36507</v>
      </c>
      <c r="C33" s="170">
        <v>36507</v>
      </c>
      <c r="D33" s="170">
        <v>36514</v>
      </c>
      <c r="E33" s="171">
        <v>6.93</v>
      </c>
      <c r="F33" s="172">
        <v>7.04</v>
      </c>
      <c r="G33" s="173">
        <v>5.8</v>
      </c>
      <c r="H33" s="174"/>
      <c r="I33" s="175">
        <v>19</v>
      </c>
      <c r="J33" s="176">
        <v>40</v>
      </c>
      <c r="K33" s="176">
        <v>13</v>
      </c>
      <c r="L33" s="176">
        <v>26</v>
      </c>
      <c r="M33" s="176">
        <v>3</v>
      </c>
      <c r="N33" s="176">
        <v>6</v>
      </c>
      <c r="O33" s="176">
        <v>0</v>
      </c>
      <c r="P33" s="176">
        <v>0</v>
      </c>
      <c r="Q33" s="177">
        <f t="shared" si="0"/>
        <v>35</v>
      </c>
      <c r="R33" s="177">
        <f t="shared" si="1"/>
        <v>72</v>
      </c>
      <c r="S33" s="171">
        <v>1.1499999999999999</v>
      </c>
      <c r="T33" s="172">
        <v>0</v>
      </c>
      <c r="U33" s="171">
        <v>0.2</v>
      </c>
      <c r="V33" s="172">
        <v>0.05</v>
      </c>
      <c r="W33" s="179"/>
    </row>
    <row r="34" spans="1:23">
      <c r="A34" s="425"/>
      <c r="B34" s="169">
        <v>36514</v>
      </c>
      <c r="C34" s="170">
        <v>36514</v>
      </c>
      <c r="D34" s="170">
        <v>36521</v>
      </c>
      <c r="E34" s="171">
        <v>7.04</v>
      </c>
      <c r="F34" s="172">
        <v>7.22</v>
      </c>
      <c r="G34" s="173">
        <v>6.3</v>
      </c>
      <c r="H34" s="174"/>
      <c r="I34" s="175">
        <v>22</v>
      </c>
      <c r="J34" s="176">
        <v>43</v>
      </c>
      <c r="K34" s="176">
        <v>16</v>
      </c>
      <c r="L34" s="176">
        <v>27</v>
      </c>
      <c r="M34" s="176">
        <v>4</v>
      </c>
      <c r="N34" s="176">
        <v>6</v>
      </c>
      <c r="O34" s="176">
        <v>0</v>
      </c>
      <c r="P34" s="176">
        <v>0</v>
      </c>
      <c r="Q34" s="177">
        <f t="shared" si="0"/>
        <v>42</v>
      </c>
      <c r="R34" s="177">
        <f t="shared" si="1"/>
        <v>76</v>
      </c>
      <c r="S34" s="171">
        <v>1.1000000000000001</v>
      </c>
      <c r="T34" s="172">
        <v>0</v>
      </c>
      <c r="U34" s="171">
        <v>0.3</v>
      </c>
      <c r="V34" s="172">
        <v>0.1</v>
      </c>
      <c r="W34" s="179"/>
    </row>
    <row r="35" spans="1:23">
      <c r="A35" s="425"/>
      <c r="B35" s="169">
        <v>36521</v>
      </c>
      <c r="C35" s="170">
        <v>36521</v>
      </c>
      <c r="D35" s="170">
        <v>36528</v>
      </c>
      <c r="E35" s="171">
        <v>7.06</v>
      </c>
      <c r="F35" s="172">
        <v>7.18</v>
      </c>
      <c r="G35" s="173">
        <v>6</v>
      </c>
      <c r="H35" s="174"/>
      <c r="I35" s="175">
        <v>22</v>
      </c>
      <c r="J35" s="176">
        <v>46</v>
      </c>
      <c r="K35" s="176">
        <v>15</v>
      </c>
      <c r="L35" s="176">
        <v>30</v>
      </c>
      <c r="M35" s="176">
        <v>4</v>
      </c>
      <c r="N35" s="176">
        <v>7</v>
      </c>
      <c r="O35" s="176">
        <v>0</v>
      </c>
      <c r="P35" s="176">
        <v>0</v>
      </c>
      <c r="Q35" s="177">
        <f t="shared" si="0"/>
        <v>41</v>
      </c>
      <c r="R35" s="177">
        <f t="shared" si="1"/>
        <v>83</v>
      </c>
      <c r="S35" s="171">
        <v>1.1499999999999999</v>
      </c>
      <c r="T35" s="172">
        <v>0</v>
      </c>
      <c r="U35" s="171">
        <v>0.3</v>
      </c>
      <c r="V35" s="172">
        <v>0.1</v>
      </c>
      <c r="W35" s="179"/>
    </row>
    <row r="36" spans="1:23">
      <c r="A36" s="425"/>
      <c r="B36" s="169">
        <v>36528</v>
      </c>
      <c r="C36" s="170">
        <v>36528</v>
      </c>
      <c r="D36" s="170">
        <v>36535</v>
      </c>
      <c r="E36" s="171">
        <v>6.97</v>
      </c>
      <c r="F36" s="172">
        <v>6.97</v>
      </c>
      <c r="G36" s="173">
        <v>6.4</v>
      </c>
      <c r="H36" s="174"/>
      <c r="I36" s="175">
        <v>21</v>
      </c>
      <c r="J36" s="176">
        <v>57</v>
      </c>
      <c r="K36" s="176">
        <v>15</v>
      </c>
      <c r="L36" s="176">
        <v>31</v>
      </c>
      <c r="M36" s="176">
        <v>4</v>
      </c>
      <c r="N36" s="176">
        <v>7</v>
      </c>
      <c r="O36" s="176">
        <v>0</v>
      </c>
      <c r="P36" s="176">
        <v>0</v>
      </c>
      <c r="Q36" s="177">
        <f t="shared" ref="Q36:Q67" si="2">I36+K36+M36+O36</f>
        <v>40</v>
      </c>
      <c r="R36" s="177">
        <f t="shared" ref="R36:R67" si="3">J36+L36+N36+P36</f>
        <v>95</v>
      </c>
      <c r="S36" s="171">
        <v>1.2</v>
      </c>
      <c r="T36" s="172">
        <v>0</v>
      </c>
      <c r="U36" s="171">
        <v>0.3</v>
      </c>
      <c r="V36" s="172">
        <v>0.1</v>
      </c>
      <c r="W36" s="179"/>
    </row>
    <row r="37" spans="1:23">
      <c r="A37" s="425"/>
      <c r="B37" s="169">
        <v>36535</v>
      </c>
      <c r="C37" s="170">
        <v>36535</v>
      </c>
      <c r="D37" s="170">
        <v>36542</v>
      </c>
      <c r="E37" s="171">
        <v>6.94</v>
      </c>
      <c r="F37" s="172">
        <v>7.06</v>
      </c>
      <c r="G37" s="173">
        <v>6.3</v>
      </c>
      <c r="H37" s="174"/>
      <c r="I37" s="175">
        <v>21</v>
      </c>
      <c r="J37" s="176">
        <v>53</v>
      </c>
      <c r="K37" s="176">
        <v>15</v>
      </c>
      <c r="L37" s="176">
        <v>32</v>
      </c>
      <c r="M37" s="176">
        <v>4</v>
      </c>
      <c r="N37" s="176">
        <v>8</v>
      </c>
      <c r="O37" s="176">
        <v>0</v>
      </c>
      <c r="P37" s="176">
        <v>0</v>
      </c>
      <c r="Q37" s="177">
        <f t="shared" si="2"/>
        <v>40</v>
      </c>
      <c r="R37" s="177">
        <f t="shared" si="3"/>
        <v>93</v>
      </c>
      <c r="S37" s="171">
        <v>1.1499999999999999</v>
      </c>
      <c r="T37" s="172">
        <v>0</v>
      </c>
      <c r="U37" s="171">
        <v>0.3</v>
      </c>
      <c r="V37" s="172">
        <v>0</v>
      </c>
      <c r="W37" s="179"/>
    </row>
    <row r="38" spans="1:23">
      <c r="A38" s="425"/>
      <c r="B38" s="169">
        <v>36542</v>
      </c>
      <c r="C38" s="170">
        <v>36542</v>
      </c>
      <c r="D38" s="170">
        <v>36549</v>
      </c>
      <c r="E38" s="171">
        <v>6.78</v>
      </c>
      <c r="F38" s="172">
        <v>6.93</v>
      </c>
      <c r="G38" s="173">
        <v>5.8</v>
      </c>
      <c r="H38" s="174"/>
      <c r="I38" s="175">
        <v>19</v>
      </c>
      <c r="J38" s="176">
        <v>46</v>
      </c>
      <c r="K38" s="176">
        <v>12</v>
      </c>
      <c r="L38" s="176">
        <v>30</v>
      </c>
      <c r="M38" s="176">
        <v>3</v>
      </c>
      <c r="N38" s="176">
        <v>6</v>
      </c>
      <c r="O38" s="176">
        <v>0</v>
      </c>
      <c r="P38" s="176">
        <v>0</v>
      </c>
      <c r="Q38" s="177">
        <f t="shared" si="2"/>
        <v>34</v>
      </c>
      <c r="R38" s="177">
        <f t="shared" si="3"/>
        <v>82</v>
      </c>
      <c r="S38" s="171">
        <v>1.1499999999999999</v>
      </c>
      <c r="T38" s="172">
        <v>0</v>
      </c>
      <c r="U38" s="171">
        <v>0.25</v>
      </c>
      <c r="V38" s="172">
        <v>0.1</v>
      </c>
      <c r="W38" s="179" t="s">
        <v>312</v>
      </c>
    </row>
    <row r="39" spans="1:23">
      <c r="A39" s="425"/>
      <c r="B39" s="169">
        <v>36544</v>
      </c>
      <c r="C39" s="170">
        <v>36544</v>
      </c>
      <c r="D39" s="170">
        <v>36551</v>
      </c>
      <c r="E39" s="171">
        <v>6.99</v>
      </c>
      <c r="F39" s="172">
        <v>6.91</v>
      </c>
      <c r="G39" s="173">
        <v>5.9</v>
      </c>
      <c r="H39" s="174"/>
      <c r="I39" s="175">
        <v>11</v>
      </c>
      <c r="J39" s="176">
        <v>32</v>
      </c>
      <c r="K39" s="176">
        <v>7</v>
      </c>
      <c r="L39" s="176">
        <v>28</v>
      </c>
      <c r="M39" s="176">
        <v>2</v>
      </c>
      <c r="N39" s="176">
        <v>10</v>
      </c>
      <c r="O39" s="176">
        <v>0</v>
      </c>
      <c r="P39" s="176">
        <v>1</v>
      </c>
      <c r="Q39" s="177">
        <f t="shared" si="2"/>
        <v>20</v>
      </c>
      <c r="R39" s="177">
        <f t="shared" si="3"/>
        <v>71</v>
      </c>
      <c r="S39" s="171">
        <v>1.25</v>
      </c>
      <c r="T39" s="172">
        <v>0</v>
      </c>
      <c r="U39" s="171">
        <v>0.2</v>
      </c>
      <c r="V39" s="172">
        <v>0.15</v>
      </c>
      <c r="W39" s="179"/>
    </row>
    <row r="40" spans="1:23">
      <c r="A40" s="425"/>
      <c r="B40" s="169">
        <v>36549</v>
      </c>
      <c r="C40" s="170">
        <v>36549</v>
      </c>
      <c r="D40" s="170">
        <v>36556</v>
      </c>
      <c r="E40" s="171">
        <v>6.88</v>
      </c>
      <c r="F40" s="172">
        <v>6.81</v>
      </c>
      <c r="G40" s="173">
        <v>5.9</v>
      </c>
      <c r="H40" s="174"/>
      <c r="I40" s="175">
        <v>9</v>
      </c>
      <c r="J40" s="176">
        <v>28</v>
      </c>
      <c r="K40" s="176">
        <v>5</v>
      </c>
      <c r="L40" s="176">
        <v>25</v>
      </c>
      <c r="M40" s="176">
        <v>2</v>
      </c>
      <c r="N40" s="176">
        <v>9</v>
      </c>
      <c r="O40" s="176">
        <v>0</v>
      </c>
      <c r="P40" s="176">
        <v>0</v>
      </c>
      <c r="Q40" s="177">
        <f t="shared" si="2"/>
        <v>16</v>
      </c>
      <c r="R40" s="177">
        <f t="shared" si="3"/>
        <v>62</v>
      </c>
      <c r="S40" s="171">
        <v>1.1499999999999999</v>
      </c>
      <c r="T40" s="172">
        <v>0.05</v>
      </c>
      <c r="U40" s="171">
        <v>0.2</v>
      </c>
      <c r="V40" s="172">
        <v>0</v>
      </c>
      <c r="W40" s="179"/>
    </row>
    <row r="41" spans="1:23">
      <c r="A41" s="425"/>
      <c r="B41" s="169">
        <v>36551</v>
      </c>
      <c r="C41" s="170">
        <v>36551</v>
      </c>
      <c r="D41" s="170">
        <v>36558</v>
      </c>
      <c r="E41" s="171">
        <v>6.96</v>
      </c>
      <c r="F41" s="172">
        <v>7.08</v>
      </c>
      <c r="G41" s="173">
        <v>6.4</v>
      </c>
      <c r="H41" s="174"/>
      <c r="I41" s="175">
        <v>11</v>
      </c>
      <c r="J41" s="176">
        <v>39</v>
      </c>
      <c r="K41" s="176">
        <v>9</v>
      </c>
      <c r="L41" s="176">
        <v>31</v>
      </c>
      <c r="M41" s="176">
        <v>3</v>
      </c>
      <c r="N41" s="176">
        <v>10</v>
      </c>
      <c r="O41" s="176">
        <v>0</v>
      </c>
      <c r="P41" s="176">
        <v>0</v>
      </c>
      <c r="Q41" s="177">
        <f t="shared" si="2"/>
        <v>23</v>
      </c>
      <c r="R41" s="177">
        <f t="shared" si="3"/>
        <v>80</v>
      </c>
      <c r="S41" s="171">
        <v>1.1499999999999999</v>
      </c>
      <c r="T41" s="172">
        <v>0</v>
      </c>
      <c r="U41" s="171">
        <v>0.25</v>
      </c>
      <c r="V41" s="172">
        <v>0.1</v>
      </c>
      <c r="W41" s="179"/>
    </row>
    <row r="42" spans="1:23">
      <c r="A42" s="425"/>
      <c r="B42" s="169">
        <v>36556</v>
      </c>
      <c r="C42" s="170">
        <v>36556</v>
      </c>
      <c r="D42" s="170">
        <v>36562</v>
      </c>
      <c r="E42" s="171">
        <v>6.75</v>
      </c>
      <c r="F42" s="172">
        <v>6.99</v>
      </c>
      <c r="G42" s="173">
        <v>5.9</v>
      </c>
      <c r="H42" s="174"/>
      <c r="I42" s="175">
        <v>8</v>
      </c>
      <c r="J42" s="176">
        <v>32</v>
      </c>
      <c r="K42" s="176">
        <v>4</v>
      </c>
      <c r="L42" s="176">
        <v>29</v>
      </c>
      <c r="M42" s="176">
        <v>2</v>
      </c>
      <c r="N42" s="176">
        <v>11</v>
      </c>
      <c r="O42" s="176">
        <v>0</v>
      </c>
      <c r="P42" s="176">
        <v>1</v>
      </c>
      <c r="Q42" s="177">
        <f t="shared" si="2"/>
        <v>14</v>
      </c>
      <c r="R42" s="177">
        <f t="shared" si="3"/>
        <v>73</v>
      </c>
      <c r="S42" s="171">
        <v>1.1000000000000001</v>
      </c>
      <c r="T42" s="172">
        <v>0</v>
      </c>
      <c r="U42" s="171">
        <v>0.2</v>
      </c>
      <c r="V42" s="172">
        <v>0</v>
      </c>
      <c r="W42" s="179"/>
    </row>
    <row r="43" spans="1:23">
      <c r="A43" s="425"/>
      <c r="B43" s="169">
        <v>36558</v>
      </c>
      <c r="C43" s="170">
        <v>36558</v>
      </c>
      <c r="D43" s="170">
        <v>36565</v>
      </c>
      <c r="E43" s="171">
        <v>6.85</v>
      </c>
      <c r="F43" s="172">
        <v>6.96</v>
      </c>
      <c r="G43" s="173">
        <v>6.2</v>
      </c>
      <c r="H43" s="174"/>
      <c r="I43" s="175">
        <v>11</v>
      </c>
      <c r="J43" s="176">
        <v>26</v>
      </c>
      <c r="K43" s="176">
        <v>6</v>
      </c>
      <c r="L43" s="176">
        <v>26</v>
      </c>
      <c r="M43" s="176">
        <v>2</v>
      </c>
      <c r="N43" s="176">
        <v>10</v>
      </c>
      <c r="O43" s="176">
        <v>0</v>
      </c>
      <c r="P43" s="176">
        <v>1</v>
      </c>
      <c r="Q43" s="177">
        <f t="shared" si="2"/>
        <v>19</v>
      </c>
      <c r="R43" s="177">
        <f t="shared" si="3"/>
        <v>63</v>
      </c>
      <c r="S43" s="171">
        <v>0.9</v>
      </c>
      <c r="T43" s="172">
        <v>0</v>
      </c>
      <c r="U43" s="171">
        <v>0.15</v>
      </c>
      <c r="V43" s="172">
        <v>0</v>
      </c>
      <c r="W43" s="179"/>
    </row>
    <row r="44" spans="1:23">
      <c r="A44" s="425"/>
      <c r="B44" s="169">
        <v>36563</v>
      </c>
      <c r="C44" s="170">
        <v>36563</v>
      </c>
      <c r="D44" s="170">
        <v>36571</v>
      </c>
      <c r="E44" s="171">
        <v>6.78</v>
      </c>
      <c r="F44" s="172">
        <v>6.82</v>
      </c>
      <c r="G44" s="173">
        <v>6.4</v>
      </c>
      <c r="H44" s="174"/>
      <c r="I44" s="175">
        <v>9</v>
      </c>
      <c r="J44" s="176">
        <v>29</v>
      </c>
      <c r="K44" s="176">
        <v>5</v>
      </c>
      <c r="L44" s="176">
        <v>27</v>
      </c>
      <c r="M44" s="176">
        <v>2</v>
      </c>
      <c r="N44" s="176">
        <v>10</v>
      </c>
      <c r="O44" s="176">
        <v>0</v>
      </c>
      <c r="P44" s="176">
        <v>1</v>
      </c>
      <c r="Q44" s="177">
        <f t="shared" si="2"/>
        <v>16</v>
      </c>
      <c r="R44" s="177">
        <f t="shared" si="3"/>
        <v>67</v>
      </c>
      <c r="S44" s="171">
        <v>1.05</v>
      </c>
      <c r="T44" s="172">
        <v>0</v>
      </c>
      <c r="U44" s="171">
        <v>0.2</v>
      </c>
      <c r="V44" s="172">
        <v>0</v>
      </c>
      <c r="W44" s="179"/>
    </row>
    <row r="45" spans="1:23">
      <c r="A45" s="425"/>
      <c r="B45" s="169">
        <v>36565</v>
      </c>
      <c r="C45" s="170">
        <v>36565</v>
      </c>
      <c r="D45" s="170">
        <v>36572</v>
      </c>
      <c r="E45" s="171">
        <v>7.09</v>
      </c>
      <c r="F45" s="172">
        <v>7.11</v>
      </c>
      <c r="G45" s="173">
        <v>6.2</v>
      </c>
      <c r="H45" s="174"/>
      <c r="I45" s="175">
        <v>10</v>
      </c>
      <c r="J45" s="176">
        <v>26</v>
      </c>
      <c r="K45" s="176">
        <v>8</v>
      </c>
      <c r="L45" s="176">
        <v>24</v>
      </c>
      <c r="M45" s="176">
        <v>3</v>
      </c>
      <c r="N45" s="176">
        <v>8</v>
      </c>
      <c r="O45" s="176">
        <v>0</v>
      </c>
      <c r="P45" s="176">
        <v>1</v>
      </c>
      <c r="Q45" s="177">
        <f t="shared" si="2"/>
        <v>21</v>
      </c>
      <c r="R45" s="177">
        <f t="shared" si="3"/>
        <v>59</v>
      </c>
      <c r="S45" s="171">
        <v>1</v>
      </c>
      <c r="T45" s="172">
        <v>0</v>
      </c>
      <c r="U45" s="171">
        <v>0.2</v>
      </c>
      <c r="V45" s="172">
        <v>0.1</v>
      </c>
      <c r="W45" s="179"/>
    </row>
    <row r="46" spans="1:23">
      <c r="A46" s="425"/>
      <c r="B46" s="169">
        <v>36570</v>
      </c>
      <c r="C46" s="170">
        <v>36570</v>
      </c>
      <c r="D46" s="170">
        <v>36577</v>
      </c>
      <c r="E46" s="171">
        <v>6.85</v>
      </c>
      <c r="F46" s="172">
        <v>6.84</v>
      </c>
      <c r="G46" s="173">
        <v>6.3</v>
      </c>
      <c r="H46" s="174"/>
      <c r="I46" s="175">
        <v>10</v>
      </c>
      <c r="J46" s="176">
        <v>30</v>
      </c>
      <c r="K46" s="176">
        <v>5</v>
      </c>
      <c r="L46" s="176">
        <v>28</v>
      </c>
      <c r="M46" s="176">
        <v>2</v>
      </c>
      <c r="N46" s="176">
        <v>11</v>
      </c>
      <c r="O46" s="176">
        <v>0</v>
      </c>
      <c r="P46" s="176">
        <v>1</v>
      </c>
      <c r="Q46" s="177">
        <f t="shared" si="2"/>
        <v>17</v>
      </c>
      <c r="R46" s="177">
        <f t="shared" si="3"/>
        <v>70</v>
      </c>
      <c r="S46" s="171">
        <v>1.05</v>
      </c>
      <c r="T46" s="172">
        <v>0</v>
      </c>
      <c r="U46" s="171">
        <v>0.25</v>
      </c>
      <c r="V46" s="172">
        <v>0</v>
      </c>
      <c r="W46" s="179"/>
    </row>
    <row r="47" spans="1:23">
      <c r="A47" s="425"/>
      <c r="B47" s="169">
        <v>36572</v>
      </c>
      <c r="C47" s="170">
        <v>36572</v>
      </c>
      <c r="D47" s="170">
        <v>36579</v>
      </c>
      <c r="E47" s="171">
        <v>6.81</v>
      </c>
      <c r="F47" s="172">
        <v>6.86</v>
      </c>
      <c r="G47" s="173">
        <v>6.5</v>
      </c>
      <c r="H47" s="174"/>
      <c r="I47" s="175">
        <v>10</v>
      </c>
      <c r="J47" s="176">
        <v>38</v>
      </c>
      <c r="K47" s="176">
        <v>8</v>
      </c>
      <c r="L47" s="176">
        <v>32</v>
      </c>
      <c r="M47" s="176">
        <v>2</v>
      </c>
      <c r="N47" s="176">
        <v>11</v>
      </c>
      <c r="O47" s="176">
        <v>0</v>
      </c>
      <c r="P47" s="176">
        <v>1</v>
      </c>
      <c r="Q47" s="177">
        <f t="shared" si="2"/>
        <v>20</v>
      </c>
      <c r="R47" s="177">
        <f t="shared" si="3"/>
        <v>82</v>
      </c>
      <c r="S47" s="171">
        <v>1.35</v>
      </c>
      <c r="T47" s="172">
        <v>0</v>
      </c>
      <c r="U47" s="171">
        <v>0.3</v>
      </c>
      <c r="V47" s="172">
        <v>0.1</v>
      </c>
      <c r="W47" s="179" t="s">
        <v>313</v>
      </c>
    </row>
    <row r="48" spans="1:23">
      <c r="A48" s="425"/>
      <c r="B48" s="169">
        <v>36578</v>
      </c>
      <c r="C48" s="170">
        <v>36578</v>
      </c>
      <c r="D48" s="170">
        <v>36585</v>
      </c>
      <c r="E48" s="171">
        <v>6.87</v>
      </c>
      <c r="F48" s="172">
        <v>6.97</v>
      </c>
      <c r="G48" s="173">
        <v>6.1</v>
      </c>
      <c r="H48" s="174"/>
      <c r="I48" s="175">
        <v>18</v>
      </c>
      <c r="J48" s="176">
        <v>46</v>
      </c>
      <c r="K48" s="176">
        <v>12</v>
      </c>
      <c r="L48" s="176">
        <v>34</v>
      </c>
      <c r="M48" s="176">
        <v>3</v>
      </c>
      <c r="N48" s="176">
        <v>9</v>
      </c>
      <c r="O48" s="176">
        <v>0</v>
      </c>
      <c r="P48" s="176">
        <v>1</v>
      </c>
      <c r="Q48" s="177">
        <f t="shared" si="2"/>
        <v>33</v>
      </c>
      <c r="R48" s="177">
        <f t="shared" si="3"/>
        <v>90</v>
      </c>
      <c r="S48" s="171">
        <v>1.1000000000000001</v>
      </c>
      <c r="T48" s="172">
        <v>0</v>
      </c>
      <c r="U48" s="171">
        <v>0.3</v>
      </c>
      <c r="V48" s="172">
        <v>0</v>
      </c>
      <c r="W48" s="179"/>
    </row>
    <row r="49" spans="1:23">
      <c r="A49" s="425"/>
      <c r="B49" s="169">
        <v>36584</v>
      </c>
      <c r="C49" s="170">
        <v>36584</v>
      </c>
      <c r="D49" s="170">
        <v>36591</v>
      </c>
      <c r="E49" s="171">
        <v>6.81</v>
      </c>
      <c r="F49" s="172">
        <v>6.93</v>
      </c>
      <c r="G49" s="173">
        <v>6</v>
      </c>
      <c r="H49" s="174"/>
      <c r="I49" s="175">
        <v>19</v>
      </c>
      <c r="J49" s="176">
        <v>52</v>
      </c>
      <c r="K49" s="176">
        <v>13</v>
      </c>
      <c r="L49" s="176">
        <v>34</v>
      </c>
      <c r="M49" s="176">
        <v>4</v>
      </c>
      <c r="N49" s="176">
        <v>9</v>
      </c>
      <c r="O49" s="176">
        <v>0</v>
      </c>
      <c r="P49" s="176">
        <v>0</v>
      </c>
      <c r="Q49" s="177">
        <f t="shared" si="2"/>
        <v>36</v>
      </c>
      <c r="R49" s="177">
        <f t="shared" si="3"/>
        <v>95</v>
      </c>
      <c r="S49" s="171">
        <v>1.1000000000000001</v>
      </c>
      <c r="T49" s="172">
        <v>0</v>
      </c>
      <c r="U49" s="171">
        <v>0.3</v>
      </c>
      <c r="V49" s="172">
        <v>0.1</v>
      </c>
      <c r="W49" s="179"/>
    </row>
    <row r="50" spans="1:23">
      <c r="A50" s="425"/>
      <c r="B50" s="169">
        <v>36591</v>
      </c>
      <c r="C50" s="170">
        <v>36591</v>
      </c>
      <c r="D50" s="170">
        <v>36598</v>
      </c>
      <c r="E50" s="171">
        <v>6.89</v>
      </c>
      <c r="F50" s="172">
        <v>6.96</v>
      </c>
      <c r="G50" s="173">
        <v>6</v>
      </c>
      <c r="H50" s="174"/>
      <c r="I50" s="175">
        <v>22</v>
      </c>
      <c r="J50" s="176">
        <v>50</v>
      </c>
      <c r="K50" s="176">
        <v>14</v>
      </c>
      <c r="L50" s="176">
        <v>34</v>
      </c>
      <c r="M50" s="176">
        <v>4</v>
      </c>
      <c r="N50" s="176">
        <v>9</v>
      </c>
      <c r="O50" s="176">
        <v>0</v>
      </c>
      <c r="P50" s="176">
        <v>1</v>
      </c>
      <c r="Q50" s="177">
        <f t="shared" si="2"/>
        <v>40</v>
      </c>
      <c r="R50" s="177">
        <f t="shared" si="3"/>
        <v>94</v>
      </c>
      <c r="S50" s="171">
        <v>0.95</v>
      </c>
      <c r="T50" s="172">
        <v>0</v>
      </c>
      <c r="U50" s="171">
        <v>0.3</v>
      </c>
      <c r="V50" s="172">
        <v>0.1</v>
      </c>
      <c r="W50" s="179"/>
    </row>
    <row r="51" spans="1:23">
      <c r="A51" s="425"/>
      <c r="B51" s="169">
        <v>36598</v>
      </c>
      <c r="C51" s="170">
        <v>36598</v>
      </c>
      <c r="D51" s="170">
        <v>36605</v>
      </c>
      <c r="E51" s="171">
        <v>6.94</v>
      </c>
      <c r="F51" s="172">
        <v>7.07</v>
      </c>
      <c r="G51" s="173">
        <v>5.9</v>
      </c>
      <c r="H51" s="174"/>
      <c r="I51" s="175">
        <v>26</v>
      </c>
      <c r="J51" s="176">
        <v>54</v>
      </c>
      <c r="K51" s="176">
        <v>17</v>
      </c>
      <c r="L51" s="176">
        <v>35</v>
      </c>
      <c r="M51" s="176">
        <v>5</v>
      </c>
      <c r="N51" s="176">
        <v>10</v>
      </c>
      <c r="O51" s="176">
        <v>0</v>
      </c>
      <c r="P51" s="176">
        <v>1</v>
      </c>
      <c r="Q51" s="177">
        <f t="shared" si="2"/>
        <v>48</v>
      </c>
      <c r="R51" s="177">
        <f t="shared" si="3"/>
        <v>100</v>
      </c>
      <c r="S51" s="171">
        <v>0.8</v>
      </c>
      <c r="T51" s="172">
        <v>0</v>
      </c>
      <c r="U51" s="171">
        <v>0.3</v>
      </c>
      <c r="V51" s="172">
        <v>0.1</v>
      </c>
      <c r="W51" s="179"/>
    </row>
    <row r="52" spans="1:23">
      <c r="A52" s="425"/>
      <c r="B52" s="169">
        <v>36605</v>
      </c>
      <c r="C52" s="170">
        <v>36605</v>
      </c>
      <c r="D52" s="170">
        <v>36612</v>
      </c>
      <c r="E52" s="171">
        <v>7.03</v>
      </c>
      <c r="F52" s="172">
        <v>7.35</v>
      </c>
      <c r="G52" s="173">
        <v>6.5</v>
      </c>
      <c r="H52" s="174"/>
      <c r="I52" s="175">
        <v>28</v>
      </c>
      <c r="J52" s="176">
        <v>58</v>
      </c>
      <c r="K52" s="176">
        <v>19</v>
      </c>
      <c r="L52" s="176">
        <v>34</v>
      </c>
      <c r="M52" s="176">
        <v>6</v>
      </c>
      <c r="N52" s="176">
        <v>9</v>
      </c>
      <c r="O52" s="176">
        <v>0</v>
      </c>
      <c r="P52" s="176">
        <v>0</v>
      </c>
      <c r="Q52" s="177">
        <f t="shared" si="2"/>
        <v>53</v>
      </c>
      <c r="R52" s="177">
        <f t="shared" si="3"/>
        <v>101</v>
      </c>
      <c r="S52" s="171">
        <v>0.95</v>
      </c>
      <c r="T52" s="172">
        <v>0</v>
      </c>
      <c r="U52" s="171">
        <v>0.35</v>
      </c>
      <c r="V52" s="172">
        <v>0.1</v>
      </c>
      <c r="W52" s="179" t="s">
        <v>314</v>
      </c>
    </row>
    <row r="53" spans="1:23">
      <c r="A53" s="425"/>
      <c r="B53" s="169">
        <v>36612</v>
      </c>
      <c r="C53" s="170">
        <v>36612</v>
      </c>
      <c r="D53" s="170">
        <v>36619</v>
      </c>
      <c r="E53" s="171">
        <v>7.22</v>
      </c>
      <c r="F53" s="172">
        <v>7.36</v>
      </c>
      <c r="G53" s="173">
        <v>6.3</v>
      </c>
      <c r="H53" s="174"/>
      <c r="I53" s="175">
        <v>24</v>
      </c>
      <c r="J53" s="176">
        <v>65</v>
      </c>
      <c r="K53" s="176">
        <v>16</v>
      </c>
      <c r="L53" s="176">
        <v>35</v>
      </c>
      <c r="M53" s="176">
        <v>4</v>
      </c>
      <c r="N53" s="176">
        <v>9</v>
      </c>
      <c r="O53" s="176">
        <v>0</v>
      </c>
      <c r="P53" s="176">
        <v>0</v>
      </c>
      <c r="Q53" s="177">
        <f t="shared" si="2"/>
        <v>44</v>
      </c>
      <c r="R53" s="177">
        <f t="shared" si="3"/>
        <v>109</v>
      </c>
      <c r="S53" s="171">
        <v>1.25</v>
      </c>
      <c r="T53" s="172">
        <v>0</v>
      </c>
      <c r="U53" s="171">
        <v>0.3</v>
      </c>
      <c r="V53" s="172">
        <v>0</v>
      </c>
      <c r="W53" s="179"/>
    </row>
    <row r="54" spans="1:23">
      <c r="A54" s="425"/>
      <c r="B54" s="169">
        <v>36619</v>
      </c>
      <c r="C54" s="170">
        <v>36619</v>
      </c>
      <c r="D54" s="170">
        <v>36626</v>
      </c>
      <c r="E54" s="171">
        <v>7.07</v>
      </c>
      <c r="F54" s="172">
        <v>7.02</v>
      </c>
      <c r="G54" s="173">
        <v>4.8</v>
      </c>
      <c r="H54" s="174"/>
      <c r="I54" s="175">
        <v>15</v>
      </c>
      <c r="J54" s="176">
        <v>38</v>
      </c>
      <c r="K54" s="176">
        <v>9</v>
      </c>
      <c r="L54" s="176">
        <v>25</v>
      </c>
      <c r="M54" s="176">
        <v>3</v>
      </c>
      <c r="N54" s="176">
        <v>7</v>
      </c>
      <c r="O54" s="176">
        <v>0</v>
      </c>
      <c r="P54" s="176">
        <v>1</v>
      </c>
      <c r="Q54" s="177">
        <f t="shared" si="2"/>
        <v>27</v>
      </c>
      <c r="R54" s="177">
        <f t="shared" si="3"/>
        <v>71</v>
      </c>
      <c r="S54" s="171">
        <v>1.05</v>
      </c>
      <c r="T54" s="172">
        <v>0</v>
      </c>
      <c r="U54" s="171">
        <v>0.25</v>
      </c>
      <c r="V54" s="172">
        <v>0.1</v>
      </c>
      <c r="W54" s="179"/>
    </row>
    <row r="55" spans="1:23">
      <c r="A55" s="425"/>
      <c r="B55" s="169">
        <v>36626</v>
      </c>
      <c r="C55" s="170">
        <v>36626</v>
      </c>
      <c r="D55" s="170">
        <v>36633</v>
      </c>
      <c r="E55" s="171">
        <v>7.08</v>
      </c>
      <c r="F55" s="172">
        <v>7.12</v>
      </c>
      <c r="G55" s="173">
        <v>5.0999999999999996</v>
      </c>
      <c r="H55" s="174"/>
      <c r="I55" s="175">
        <v>16</v>
      </c>
      <c r="J55" s="176">
        <v>48</v>
      </c>
      <c r="K55" s="176">
        <v>9</v>
      </c>
      <c r="L55" s="176">
        <v>26</v>
      </c>
      <c r="M55" s="176">
        <v>3</v>
      </c>
      <c r="N55" s="176">
        <v>6</v>
      </c>
      <c r="O55" s="176">
        <v>0</v>
      </c>
      <c r="P55" s="176">
        <v>0</v>
      </c>
      <c r="Q55" s="177">
        <f t="shared" si="2"/>
        <v>28</v>
      </c>
      <c r="R55" s="177">
        <f t="shared" si="3"/>
        <v>80</v>
      </c>
      <c r="S55" s="171">
        <v>1.1000000000000001</v>
      </c>
      <c r="T55" s="172">
        <v>0</v>
      </c>
      <c r="U55" s="171">
        <v>0.25</v>
      </c>
      <c r="V55" s="172">
        <v>0</v>
      </c>
      <c r="W55" s="179"/>
    </row>
    <row r="56" spans="1:23">
      <c r="A56" s="425"/>
      <c r="B56" s="169">
        <v>36633</v>
      </c>
      <c r="C56" s="170">
        <v>36633</v>
      </c>
      <c r="D56" s="170">
        <v>36641</v>
      </c>
      <c r="E56" s="171">
        <v>7.2</v>
      </c>
      <c r="F56" s="172">
        <v>7.28</v>
      </c>
      <c r="G56" s="173">
        <v>5.0999999999999996</v>
      </c>
      <c r="H56" s="174"/>
      <c r="I56" s="175">
        <v>20</v>
      </c>
      <c r="J56" s="176">
        <v>55</v>
      </c>
      <c r="K56" s="176">
        <v>11</v>
      </c>
      <c r="L56" s="176">
        <v>28</v>
      </c>
      <c r="M56" s="176">
        <v>3</v>
      </c>
      <c r="N56" s="176">
        <v>6</v>
      </c>
      <c r="O56" s="176">
        <v>0</v>
      </c>
      <c r="P56" s="176">
        <v>0</v>
      </c>
      <c r="Q56" s="177">
        <f t="shared" si="2"/>
        <v>34</v>
      </c>
      <c r="R56" s="177">
        <f t="shared" si="3"/>
        <v>89</v>
      </c>
      <c r="S56" s="171">
        <v>1.1499999999999999</v>
      </c>
      <c r="T56" s="172">
        <v>0</v>
      </c>
      <c r="U56" s="171">
        <v>0.25</v>
      </c>
      <c r="V56" s="172">
        <v>0</v>
      </c>
      <c r="W56" s="179"/>
    </row>
    <row r="57" spans="1:23">
      <c r="A57" s="425"/>
      <c r="B57" s="169">
        <v>36641</v>
      </c>
      <c r="C57" s="170">
        <v>36641</v>
      </c>
      <c r="D57" s="170">
        <v>36648</v>
      </c>
      <c r="E57" s="171">
        <v>7.21</v>
      </c>
      <c r="F57" s="172">
        <v>7.25</v>
      </c>
      <c r="G57" s="173">
        <v>5.3</v>
      </c>
      <c r="H57" s="174"/>
      <c r="I57" s="175">
        <v>20</v>
      </c>
      <c r="J57" s="176">
        <v>47</v>
      </c>
      <c r="K57" s="176">
        <v>14</v>
      </c>
      <c r="L57" s="176">
        <v>26</v>
      </c>
      <c r="M57" s="176">
        <v>4</v>
      </c>
      <c r="N57" s="176">
        <v>6</v>
      </c>
      <c r="O57" s="176">
        <v>0</v>
      </c>
      <c r="P57" s="176">
        <v>0</v>
      </c>
      <c r="Q57" s="177">
        <f t="shared" si="2"/>
        <v>38</v>
      </c>
      <c r="R57" s="177">
        <f t="shared" si="3"/>
        <v>79</v>
      </c>
      <c r="S57" s="171">
        <v>1.1000000000000001</v>
      </c>
      <c r="T57" s="172">
        <v>0</v>
      </c>
      <c r="U57" s="171">
        <v>0.25</v>
      </c>
      <c r="V57" s="172">
        <v>0.1</v>
      </c>
      <c r="W57" s="179"/>
    </row>
    <row r="58" spans="1:23">
      <c r="A58" s="425"/>
      <c r="B58" s="169">
        <v>36647</v>
      </c>
      <c r="C58" s="170">
        <v>36647</v>
      </c>
      <c r="D58" s="170">
        <v>36654</v>
      </c>
      <c r="E58" s="171">
        <v>7.25</v>
      </c>
      <c r="F58" s="172">
        <v>7.17</v>
      </c>
      <c r="G58" s="173">
        <v>5.2</v>
      </c>
      <c r="H58" s="174"/>
      <c r="I58" s="175">
        <v>22</v>
      </c>
      <c r="J58" s="176">
        <v>51</v>
      </c>
      <c r="K58" s="176">
        <v>13</v>
      </c>
      <c r="L58" s="176">
        <v>26</v>
      </c>
      <c r="M58" s="176">
        <v>3</v>
      </c>
      <c r="N58" s="176">
        <v>5</v>
      </c>
      <c r="O58" s="176">
        <v>0</v>
      </c>
      <c r="P58" s="176">
        <v>0</v>
      </c>
      <c r="Q58" s="177">
        <f t="shared" si="2"/>
        <v>38</v>
      </c>
      <c r="R58" s="177">
        <f t="shared" si="3"/>
        <v>82</v>
      </c>
      <c r="S58" s="171">
        <v>1.05</v>
      </c>
      <c r="T58" s="172">
        <v>0</v>
      </c>
      <c r="U58" s="171">
        <v>0.25</v>
      </c>
      <c r="V58" s="172">
        <v>0</v>
      </c>
      <c r="W58" s="179"/>
    </row>
    <row r="59" spans="1:23">
      <c r="A59" s="425"/>
      <c r="B59" s="169">
        <v>36654</v>
      </c>
      <c r="C59" s="170">
        <v>36654</v>
      </c>
      <c r="D59" s="170">
        <v>36661</v>
      </c>
      <c r="E59" s="171">
        <v>7.31</v>
      </c>
      <c r="F59" s="172">
        <v>7.12</v>
      </c>
      <c r="G59" s="173">
        <v>5.0999999999999996</v>
      </c>
      <c r="H59" s="174"/>
      <c r="I59" s="175">
        <v>22</v>
      </c>
      <c r="J59" s="176">
        <v>48</v>
      </c>
      <c r="K59" s="176">
        <v>15</v>
      </c>
      <c r="L59" s="176">
        <v>25</v>
      </c>
      <c r="M59" s="176">
        <v>4</v>
      </c>
      <c r="N59" s="176">
        <v>6</v>
      </c>
      <c r="O59" s="176">
        <v>0</v>
      </c>
      <c r="P59" s="176">
        <v>0</v>
      </c>
      <c r="Q59" s="177">
        <f t="shared" si="2"/>
        <v>41</v>
      </c>
      <c r="R59" s="177">
        <f t="shared" si="3"/>
        <v>79</v>
      </c>
      <c r="S59" s="171">
        <v>1</v>
      </c>
      <c r="T59" s="172">
        <v>0</v>
      </c>
      <c r="U59" s="171">
        <v>0.15</v>
      </c>
      <c r="V59" s="172">
        <v>0.1</v>
      </c>
      <c r="W59" s="179"/>
    </row>
    <row r="60" spans="1:23">
      <c r="A60" s="425"/>
      <c r="B60" s="169">
        <v>36661</v>
      </c>
      <c r="C60" s="170">
        <v>36661</v>
      </c>
      <c r="D60" s="170">
        <v>36669</v>
      </c>
      <c r="E60" s="171">
        <v>7.27</v>
      </c>
      <c r="F60" s="172">
        <v>7.2</v>
      </c>
      <c r="G60" s="173">
        <v>4.8</v>
      </c>
      <c r="H60" s="174"/>
      <c r="I60" s="175">
        <v>23</v>
      </c>
      <c r="J60" s="176">
        <v>50</v>
      </c>
      <c r="K60" s="176">
        <v>14</v>
      </c>
      <c r="L60" s="176">
        <v>25</v>
      </c>
      <c r="M60" s="176">
        <v>3</v>
      </c>
      <c r="N60" s="176">
        <v>5</v>
      </c>
      <c r="O60" s="176">
        <v>0</v>
      </c>
      <c r="P60" s="176">
        <v>0</v>
      </c>
      <c r="Q60" s="177">
        <f t="shared" si="2"/>
        <v>40</v>
      </c>
      <c r="R60" s="177">
        <f t="shared" si="3"/>
        <v>80</v>
      </c>
      <c r="S60" s="171">
        <v>1</v>
      </c>
      <c r="T60" s="172">
        <v>0</v>
      </c>
      <c r="U60" s="171">
        <v>0.1</v>
      </c>
      <c r="V60" s="172">
        <v>0</v>
      </c>
      <c r="W60" s="179"/>
    </row>
    <row r="61" spans="1:23">
      <c r="A61" s="425"/>
      <c r="B61" s="169">
        <v>36669</v>
      </c>
      <c r="C61" s="170">
        <v>36669</v>
      </c>
      <c r="D61" s="170">
        <v>36676</v>
      </c>
      <c r="E61" s="171">
        <v>7.49</v>
      </c>
      <c r="F61" s="172">
        <v>7.41</v>
      </c>
      <c r="G61" s="173">
        <v>1.3</v>
      </c>
      <c r="H61" s="174"/>
      <c r="I61" s="175">
        <v>2</v>
      </c>
      <c r="J61" s="176">
        <v>4</v>
      </c>
      <c r="K61" s="176">
        <v>0</v>
      </c>
      <c r="L61" s="176">
        <v>2</v>
      </c>
      <c r="M61" s="176">
        <v>0</v>
      </c>
      <c r="N61" s="176">
        <v>2</v>
      </c>
      <c r="O61" s="176">
        <v>0</v>
      </c>
      <c r="P61" s="176">
        <v>0</v>
      </c>
      <c r="Q61" s="177">
        <f t="shared" si="2"/>
        <v>2</v>
      </c>
      <c r="R61" s="177">
        <f t="shared" si="3"/>
        <v>8</v>
      </c>
      <c r="S61" s="171">
        <v>1.1000000000000001</v>
      </c>
      <c r="T61" s="172">
        <v>0.7</v>
      </c>
      <c r="U61" s="171">
        <v>0</v>
      </c>
      <c r="V61" s="172">
        <v>0</v>
      </c>
      <c r="W61" s="179"/>
    </row>
    <row r="62" spans="1:23">
      <c r="A62" s="425"/>
      <c r="B62" s="169">
        <v>36675</v>
      </c>
      <c r="C62" s="170">
        <v>36675</v>
      </c>
      <c r="D62" s="170">
        <v>36682</v>
      </c>
      <c r="E62" s="171">
        <v>7.5</v>
      </c>
      <c r="F62" s="172">
        <v>7.49</v>
      </c>
      <c r="G62" s="173">
        <v>1.1000000000000001</v>
      </c>
      <c r="H62" s="174"/>
      <c r="I62" s="175">
        <v>2</v>
      </c>
      <c r="J62" s="176">
        <v>4</v>
      </c>
      <c r="K62" s="176">
        <v>0</v>
      </c>
      <c r="L62" s="176">
        <v>3</v>
      </c>
      <c r="M62" s="176">
        <v>0</v>
      </c>
      <c r="N62" s="176">
        <v>3</v>
      </c>
      <c r="O62" s="176">
        <v>0</v>
      </c>
      <c r="P62" s="176">
        <v>2</v>
      </c>
      <c r="Q62" s="177">
        <f t="shared" si="2"/>
        <v>2</v>
      </c>
      <c r="R62" s="177">
        <f t="shared" si="3"/>
        <v>12</v>
      </c>
      <c r="S62" s="171">
        <v>1.1000000000000001</v>
      </c>
      <c r="T62" s="172">
        <v>0.7</v>
      </c>
      <c r="U62" s="171">
        <v>0</v>
      </c>
      <c r="V62" s="172">
        <v>0</v>
      </c>
      <c r="W62" s="179"/>
    </row>
    <row r="63" spans="1:23">
      <c r="A63" s="425"/>
      <c r="B63" s="169">
        <v>36682</v>
      </c>
      <c r="C63" s="170">
        <v>36682</v>
      </c>
      <c r="D63" s="170">
        <v>36689</v>
      </c>
      <c r="E63" s="171">
        <v>7.42</v>
      </c>
      <c r="F63" s="172">
        <v>7.44</v>
      </c>
      <c r="G63" s="173">
        <v>1</v>
      </c>
      <c r="H63" s="174"/>
      <c r="I63" s="175">
        <v>1</v>
      </c>
      <c r="J63" s="176">
        <v>4</v>
      </c>
      <c r="K63" s="176">
        <v>0</v>
      </c>
      <c r="L63" s="176">
        <v>3</v>
      </c>
      <c r="M63" s="176">
        <v>0</v>
      </c>
      <c r="N63" s="176">
        <v>3</v>
      </c>
      <c r="O63" s="176">
        <v>0</v>
      </c>
      <c r="P63" s="176">
        <v>2</v>
      </c>
      <c r="Q63" s="177">
        <f t="shared" si="2"/>
        <v>1</v>
      </c>
      <c r="R63" s="177">
        <f t="shared" si="3"/>
        <v>12</v>
      </c>
      <c r="S63" s="171">
        <v>1.05</v>
      </c>
      <c r="T63" s="172">
        <v>0.8</v>
      </c>
      <c r="U63" s="171">
        <v>0</v>
      </c>
      <c r="V63" s="172">
        <v>0</v>
      </c>
      <c r="W63" s="179"/>
    </row>
    <row r="64" spans="1:23">
      <c r="A64" s="425"/>
      <c r="B64" s="169">
        <v>36689</v>
      </c>
      <c r="C64" s="170">
        <v>36689</v>
      </c>
      <c r="D64" s="170">
        <v>36696</v>
      </c>
      <c r="E64" s="171">
        <v>7.53</v>
      </c>
      <c r="F64" s="172">
        <v>7.39</v>
      </c>
      <c r="G64" s="173">
        <v>1</v>
      </c>
      <c r="H64" s="174"/>
      <c r="I64" s="175">
        <v>2</v>
      </c>
      <c r="J64" s="176">
        <v>3</v>
      </c>
      <c r="K64" s="176">
        <v>0</v>
      </c>
      <c r="L64" s="176">
        <v>2</v>
      </c>
      <c r="M64" s="176">
        <v>0</v>
      </c>
      <c r="N64" s="176">
        <v>2</v>
      </c>
      <c r="O64" s="176">
        <v>0</v>
      </c>
      <c r="P64" s="176">
        <v>1</v>
      </c>
      <c r="Q64" s="177">
        <f t="shared" si="2"/>
        <v>2</v>
      </c>
      <c r="R64" s="177">
        <f t="shared" si="3"/>
        <v>8</v>
      </c>
      <c r="S64" s="171">
        <v>0.95</v>
      </c>
      <c r="T64" s="172">
        <v>0.7</v>
      </c>
      <c r="U64" s="171">
        <v>0</v>
      </c>
      <c r="V64" s="172">
        <v>0</v>
      </c>
      <c r="W64" s="179"/>
    </row>
    <row r="65" spans="1:23">
      <c r="A65" s="425"/>
      <c r="B65" s="169">
        <v>36696</v>
      </c>
      <c r="C65" s="170">
        <v>36696</v>
      </c>
      <c r="D65" s="170">
        <v>36703</v>
      </c>
      <c r="E65" s="171">
        <v>7.52</v>
      </c>
      <c r="F65" s="172">
        <v>7.45</v>
      </c>
      <c r="G65" s="173">
        <v>1</v>
      </c>
      <c r="H65" s="174"/>
      <c r="I65" s="175">
        <v>2</v>
      </c>
      <c r="J65" s="176">
        <v>4</v>
      </c>
      <c r="K65" s="176">
        <v>0</v>
      </c>
      <c r="L65" s="176">
        <v>3</v>
      </c>
      <c r="M65" s="176">
        <v>0</v>
      </c>
      <c r="N65" s="176">
        <v>4</v>
      </c>
      <c r="O65" s="176">
        <v>0</v>
      </c>
      <c r="P65" s="176">
        <v>2</v>
      </c>
      <c r="Q65" s="177">
        <f t="shared" si="2"/>
        <v>2</v>
      </c>
      <c r="R65" s="177">
        <f t="shared" si="3"/>
        <v>13</v>
      </c>
      <c r="S65" s="171">
        <v>1.1000000000000001</v>
      </c>
      <c r="T65" s="172">
        <v>0.7</v>
      </c>
      <c r="U65" s="171">
        <v>0</v>
      </c>
      <c r="V65" s="172">
        <v>0</v>
      </c>
      <c r="W65" s="179"/>
    </row>
    <row r="66" spans="1:23">
      <c r="A66" s="425"/>
      <c r="B66" s="169">
        <v>36703</v>
      </c>
      <c r="C66" s="170">
        <v>36703</v>
      </c>
      <c r="D66" s="170">
        <v>36710</v>
      </c>
      <c r="E66" s="171">
        <v>7.5</v>
      </c>
      <c r="F66" s="172">
        <v>7.56</v>
      </c>
      <c r="G66" s="173">
        <v>1.2</v>
      </c>
      <c r="H66" s="174"/>
      <c r="I66" s="175">
        <v>3</v>
      </c>
      <c r="J66" s="176">
        <v>7</v>
      </c>
      <c r="K66" s="176">
        <v>0</v>
      </c>
      <c r="L66" s="176">
        <v>5</v>
      </c>
      <c r="M66" s="176">
        <v>0</v>
      </c>
      <c r="N66" s="176">
        <v>6</v>
      </c>
      <c r="O66" s="176">
        <v>0</v>
      </c>
      <c r="P66" s="176">
        <v>3</v>
      </c>
      <c r="Q66" s="177">
        <f t="shared" si="2"/>
        <v>3</v>
      </c>
      <c r="R66" s="177">
        <f t="shared" si="3"/>
        <v>21</v>
      </c>
      <c r="S66" s="171">
        <v>1.05</v>
      </c>
      <c r="T66" s="172">
        <v>0.7</v>
      </c>
      <c r="U66" s="171">
        <v>0</v>
      </c>
      <c r="V66" s="172"/>
      <c r="W66" s="179"/>
    </row>
    <row r="67" spans="1:23">
      <c r="A67" s="425"/>
      <c r="B67" s="169">
        <v>36710</v>
      </c>
      <c r="C67" s="170">
        <v>36710</v>
      </c>
      <c r="D67" s="170">
        <v>36717</v>
      </c>
      <c r="E67" s="171">
        <v>7.51</v>
      </c>
      <c r="F67" s="172">
        <v>7.4</v>
      </c>
      <c r="G67" s="173">
        <v>1.1000000000000001</v>
      </c>
      <c r="H67" s="174"/>
      <c r="I67" s="175">
        <v>5</v>
      </c>
      <c r="J67" s="176">
        <v>9</v>
      </c>
      <c r="K67" s="176">
        <v>0</v>
      </c>
      <c r="L67" s="176">
        <v>6</v>
      </c>
      <c r="M67" s="176">
        <v>0</v>
      </c>
      <c r="N67" s="176">
        <v>5</v>
      </c>
      <c r="O67" s="176">
        <v>0</v>
      </c>
      <c r="P67" s="176">
        <v>2</v>
      </c>
      <c r="Q67" s="177">
        <f t="shared" si="2"/>
        <v>5</v>
      </c>
      <c r="R67" s="177">
        <f t="shared" si="3"/>
        <v>22</v>
      </c>
      <c r="S67" s="171">
        <v>1.1000000000000001</v>
      </c>
      <c r="T67" s="172">
        <v>0.45</v>
      </c>
      <c r="U67" s="171">
        <v>0</v>
      </c>
      <c r="V67" s="172">
        <v>0</v>
      </c>
      <c r="W67" s="179"/>
    </row>
    <row r="68" spans="1:23">
      <c r="A68" s="425"/>
      <c r="B68" s="169">
        <v>36717</v>
      </c>
      <c r="C68" s="170">
        <v>36717</v>
      </c>
      <c r="D68" s="170">
        <v>36724</v>
      </c>
      <c r="E68" s="171">
        <v>7.52</v>
      </c>
      <c r="F68" s="172">
        <v>7.48</v>
      </c>
      <c r="G68" s="173">
        <v>1.5</v>
      </c>
      <c r="H68" s="174"/>
      <c r="I68" s="175">
        <v>7</v>
      </c>
      <c r="J68" s="176">
        <v>11</v>
      </c>
      <c r="K68" s="176">
        <v>0</v>
      </c>
      <c r="L68" s="176">
        <v>6</v>
      </c>
      <c r="M68" s="176">
        <v>0</v>
      </c>
      <c r="N68" s="176">
        <v>6</v>
      </c>
      <c r="O68" s="176">
        <v>0</v>
      </c>
      <c r="P68" s="176">
        <v>2</v>
      </c>
      <c r="Q68" s="177">
        <f t="shared" ref="Q68:Q99" si="4">I68+K68+M68+O68</f>
        <v>7</v>
      </c>
      <c r="R68" s="177">
        <f t="shared" ref="R68:R99" si="5">J68+L68+N68+P68</f>
        <v>25</v>
      </c>
      <c r="S68" s="171">
        <v>1.1499999999999999</v>
      </c>
      <c r="T68" s="172">
        <v>0.45</v>
      </c>
      <c r="U68" s="171">
        <v>0</v>
      </c>
      <c r="V68" s="172">
        <v>0</v>
      </c>
      <c r="W68" s="179"/>
    </row>
    <row r="69" spans="1:23">
      <c r="A69" s="425"/>
      <c r="B69" s="169">
        <v>36724</v>
      </c>
      <c r="C69" s="170">
        <v>36724</v>
      </c>
      <c r="D69" s="170">
        <v>36731</v>
      </c>
      <c r="E69" s="171">
        <v>7.52</v>
      </c>
      <c r="F69" s="172">
        <v>7.48</v>
      </c>
      <c r="G69" s="173">
        <v>2.7</v>
      </c>
      <c r="H69" s="174"/>
      <c r="I69" s="175">
        <v>20</v>
      </c>
      <c r="J69" s="176">
        <v>27</v>
      </c>
      <c r="K69" s="176">
        <v>2</v>
      </c>
      <c r="L69" s="176">
        <v>11</v>
      </c>
      <c r="M69" s="176">
        <v>0</v>
      </c>
      <c r="N69" s="176">
        <v>7</v>
      </c>
      <c r="O69" s="176">
        <v>0</v>
      </c>
      <c r="P69" s="176">
        <v>2</v>
      </c>
      <c r="Q69" s="177">
        <f t="shared" si="4"/>
        <v>22</v>
      </c>
      <c r="R69" s="177">
        <f t="shared" si="5"/>
        <v>47</v>
      </c>
      <c r="S69" s="171">
        <v>1.1000000000000001</v>
      </c>
      <c r="T69" s="172">
        <v>0.4</v>
      </c>
      <c r="U69" s="171">
        <v>0</v>
      </c>
      <c r="V69" s="172">
        <v>0</v>
      </c>
      <c r="W69" s="179"/>
    </row>
    <row r="70" spans="1:23">
      <c r="A70" s="425"/>
      <c r="B70" s="169">
        <v>36731</v>
      </c>
      <c r="C70" s="170">
        <v>36731</v>
      </c>
      <c r="D70" s="170">
        <v>36738</v>
      </c>
      <c r="E70" s="171">
        <v>7.27</v>
      </c>
      <c r="F70" s="172">
        <v>7.3</v>
      </c>
      <c r="G70" s="173">
        <v>2.2000000000000002</v>
      </c>
      <c r="H70" s="174"/>
      <c r="I70" s="175">
        <v>23</v>
      </c>
      <c r="J70" s="176">
        <v>31</v>
      </c>
      <c r="K70" s="176">
        <v>2</v>
      </c>
      <c r="L70" s="176">
        <v>10</v>
      </c>
      <c r="M70" s="176">
        <v>0</v>
      </c>
      <c r="N70" s="176">
        <v>5</v>
      </c>
      <c r="O70" s="176">
        <v>0</v>
      </c>
      <c r="P70" s="176">
        <v>1</v>
      </c>
      <c r="Q70" s="177">
        <f t="shared" si="4"/>
        <v>25</v>
      </c>
      <c r="R70" s="177">
        <f t="shared" si="5"/>
        <v>47</v>
      </c>
      <c r="S70" s="171">
        <v>0.95</v>
      </c>
      <c r="T70" s="172">
        <v>0.4</v>
      </c>
      <c r="U70" s="171">
        <v>0</v>
      </c>
      <c r="V70" s="172">
        <v>0</v>
      </c>
      <c r="W70" s="179"/>
    </row>
    <row r="71" spans="1:23">
      <c r="A71" s="425"/>
      <c r="B71" s="169">
        <v>36742</v>
      </c>
      <c r="C71" s="170">
        <v>36742</v>
      </c>
      <c r="D71" s="170">
        <v>36749</v>
      </c>
      <c r="E71" s="171">
        <v>7.24</v>
      </c>
      <c r="F71" s="172">
        <v>7.48</v>
      </c>
      <c r="G71" s="173">
        <v>2.5</v>
      </c>
      <c r="H71" s="174"/>
      <c r="I71" s="175">
        <v>34</v>
      </c>
      <c r="J71" s="176">
        <v>43</v>
      </c>
      <c r="K71" s="176">
        <v>4</v>
      </c>
      <c r="L71" s="176">
        <v>13</v>
      </c>
      <c r="M71" s="176">
        <v>0</v>
      </c>
      <c r="N71" s="176">
        <v>6</v>
      </c>
      <c r="O71" s="176">
        <v>0</v>
      </c>
      <c r="P71" s="176">
        <v>1</v>
      </c>
      <c r="Q71" s="177">
        <f t="shared" si="4"/>
        <v>38</v>
      </c>
      <c r="R71" s="177">
        <f t="shared" si="5"/>
        <v>63</v>
      </c>
      <c r="S71" s="171">
        <v>1.05</v>
      </c>
      <c r="T71" s="172">
        <v>0.35</v>
      </c>
      <c r="U71" s="171">
        <v>0</v>
      </c>
      <c r="V71" s="172">
        <v>0.1</v>
      </c>
      <c r="W71" s="179"/>
    </row>
    <row r="72" spans="1:23">
      <c r="A72" s="425"/>
      <c r="B72" s="169">
        <v>36746</v>
      </c>
      <c r="C72" s="170">
        <v>36746</v>
      </c>
      <c r="D72" s="170">
        <v>36753</v>
      </c>
      <c r="E72" s="171">
        <v>7.37</v>
      </c>
      <c r="F72" s="172">
        <v>7.38</v>
      </c>
      <c r="G72" s="173">
        <v>2.5</v>
      </c>
      <c r="H72" s="174"/>
      <c r="I72" s="175">
        <v>37</v>
      </c>
      <c r="J72" s="176">
        <v>35</v>
      </c>
      <c r="K72" s="176">
        <v>4</v>
      </c>
      <c r="L72" s="176">
        <v>4</v>
      </c>
      <c r="M72" s="176">
        <v>0</v>
      </c>
      <c r="N72" s="176">
        <v>0</v>
      </c>
      <c r="O72" s="176">
        <v>0</v>
      </c>
      <c r="P72" s="176">
        <v>0</v>
      </c>
      <c r="Q72" s="177">
        <f t="shared" si="4"/>
        <v>41</v>
      </c>
      <c r="R72" s="177">
        <f t="shared" si="5"/>
        <v>39</v>
      </c>
      <c r="S72" s="171">
        <v>1.05</v>
      </c>
      <c r="T72" s="172">
        <v>0.15</v>
      </c>
      <c r="U72" s="171">
        <v>0.1</v>
      </c>
      <c r="V72" s="172">
        <v>0</v>
      </c>
      <c r="W72" s="179"/>
    </row>
    <row r="73" spans="1:23">
      <c r="A73" s="425"/>
      <c r="B73" s="169">
        <v>36752</v>
      </c>
      <c r="C73" s="170">
        <v>36752</v>
      </c>
      <c r="D73" s="170">
        <v>36759</v>
      </c>
      <c r="E73" s="171">
        <v>7.29</v>
      </c>
      <c r="F73" s="172">
        <v>7.39</v>
      </c>
      <c r="G73" s="173">
        <v>2.9</v>
      </c>
      <c r="H73" s="174"/>
      <c r="I73" s="175">
        <v>38</v>
      </c>
      <c r="J73" s="176">
        <v>48</v>
      </c>
      <c r="K73" s="176">
        <v>7</v>
      </c>
      <c r="L73" s="176">
        <v>19</v>
      </c>
      <c r="M73" s="176">
        <v>1</v>
      </c>
      <c r="N73" s="176">
        <v>7</v>
      </c>
      <c r="O73" s="176">
        <v>0</v>
      </c>
      <c r="P73" s="176">
        <v>2</v>
      </c>
      <c r="Q73" s="177">
        <f t="shared" si="4"/>
        <v>46</v>
      </c>
      <c r="R73" s="177">
        <f t="shared" si="5"/>
        <v>76</v>
      </c>
      <c r="S73" s="171">
        <v>1.1499999999999999</v>
      </c>
      <c r="T73" s="172">
        <v>0.15</v>
      </c>
      <c r="U73" s="171">
        <v>0</v>
      </c>
      <c r="V73" s="172">
        <v>0</v>
      </c>
      <c r="W73" s="179"/>
    </row>
    <row r="74" spans="1:23">
      <c r="A74" s="425"/>
      <c r="B74" s="169">
        <v>36759</v>
      </c>
      <c r="C74" s="170">
        <v>36759</v>
      </c>
      <c r="D74" s="170">
        <v>36766</v>
      </c>
      <c r="E74" s="171">
        <v>7.42</v>
      </c>
      <c r="F74" s="172">
        <v>7.44</v>
      </c>
      <c r="G74" s="173">
        <v>1.9</v>
      </c>
      <c r="H74" s="174"/>
      <c r="I74" s="175">
        <v>24</v>
      </c>
      <c r="J74" s="176">
        <v>31</v>
      </c>
      <c r="K74" s="176">
        <v>4</v>
      </c>
      <c r="L74" s="176">
        <v>12</v>
      </c>
      <c r="M74" s="176">
        <v>0</v>
      </c>
      <c r="N74" s="176">
        <v>5</v>
      </c>
      <c r="O74" s="176">
        <v>0</v>
      </c>
      <c r="P74" s="176">
        <v>1</v>
      </c>
      <c r="Q74" s="177">
        <f t="shared" si="4"/>
        <v>28</v>
      </c>
      <c r="R74" s="177">
        <f t="shared" si="5"/>
        <v>49</v>
      </c>
      <c r="S74" s="171">
        <v>1.1499999999999999</v>
      </c>
      <c r="T74" s="172">
        <v>0</v>
      </c>
      <c r="U74" s="171">
        <v>0.05</v>
      </c>
      <c r="V74" s="172">
        <v>0</v>
      </c>
      <c r="W74" s="179"/>
    </row>
    <row r="75" spans="1:23">
      <c r="A75" s="425"/>
      <c r="B75" s="169">
        <v>36767</v>
      </c>
      <c r="C75" s="170">
        <v>36767</v>
      </c>
      <c r="D75" s="170">
        <v>36774</v>
      </c>
      <c r="E75" s="171">
        <v>7.25</v>
      </c>
      <c r="F75" s="172">
        <v>7.18</v>
      </c>
      <c r="G75" s="173">
        <v>2.4</v>
      </c>
      <c r="H75" s="174"/>
      <c r="I75" s="175">
        <v>38</v>
      </c>
      <c r="J75" s="176">
        <v>41</v>
      </c>
      <c r="K75" s="176">
        <v>9</v>
      </c>
      <c r="L75" s="176">
        <v>14</v>
      </c>
      <c r="M75" s="176">
        <v>1</v>
      </c>
      <c r="N75" s="176">
        <v>4</v>
      </c>
      <c r="O75" s="176">
        <v>0</v>
      </c>
      <c r="P75" s="176">
        <v>1</v>
      </c>
      <c r="Q75" s="177">
        <f t="shared" si="4"/>
        <v>48</v>
      </c>
      <c r="R75" s="177">
        <f t="shared" si="5"/>
        <v>60</v>
      </c>
      <c r="S75" s="171">
        <v>1.2</v>
      </c>
      <c r="T75" s="172">
        <v>1.1499999999999999</v>
      </c>
      <c r="U75" s="171">
        <v>0.1</v>
      </c>
      <c r="V75" s="172">
        <v>0</v>
      </c>
      <c r="W75" s="179"/>
    </row>
    <row r="76" spans="1:23">
      <c r="A76" s="425"/>
      <c r="B76" s="169">
        <v>36774</v>
      </c>
      <c r="C76" s="170">
        <v>36774</v>
      </c>
      <c r="D76" s="170">
        <v>36781</v>
      </c>
      <c r="E76" s="171">
        <v>7.32</v>
      </c>
      <c r="F76" s="172">
        <v>7.23</v>
      </c>
      <c r="G76" s="173">
        <v>2.7</v>
      </c>
      <c r="H76" s="174"/>
      <c r="I76" s="175">
        <v>34</v>
      </c>
      <c r="J76" s="176">
        <v>42</v>
      </c>
      <c r="K76" s="176">
        <v>9</v>
      </c>
      <c r="L76" s="176">
        <v>17</v>
      </c>
      <c r="M76" s="176">
        <v>0</v>
      </c>
      <c r="N76" s="176">
        <v>5</v>
      </c>
      <c r="O76" s="176">
        <v>0</v>
      </c>
      <c r="P76" s="176">
        <v>1</v>
      </c>
      <c r="Q76" s="177">
        <f t="shared" si="4"/>
        <v>43</v>
      </c>
      <c r="R76" s="177">
        <f t="shared" si="5"/>
        <v>65</v>
      </c>
      <c r="S76" s="171">
        <v>1.1499999999999999</v>
      </c>
      <c r="T76" s="172">
        <v>0.05</v>
      </c>
      <c r="U76" s="171">
        <v>0</v>
      </c>
      <c r="V76" s="172">
        <v>0</v>
      </c>
      <c r="W76" s="179"/>
    </row>
    <row r="77" spans="1:23">
      <c r="A77" s="425"/>
      <c r="B77" s="169">
        <v>36780</v>
      </c>
      <c r="C77" s="170">
        <v>36780</v>
      </c>
      <c r="D77" s="170">
        <v>36787</v>
      </c>
      <c r="E77" s="171">
        <v>7.23</v>
      </c>
      <c r="F77" s="172">
        <v>7.25</v>
      </c>
      <c r="G77" s="173">
        <v>2.8</v>
      </c>
      <c r="H77" s="174"/>
      <c r="I77" s="175">
        <v>33</v>
      </c>
      <c r="J77" s="176">
        <v>41</v>
      </c>
      <c r="K77" s="176">
        <v>9</v>
      </c>
      <c r="L77" s="176">
        <v>16</v>
      </c>
      <c r="M77" s="176">
        <v>0</v>
      </c>
      <c r="N77" s="176">
        <v>4</v>
      </c>
      <c r="O77" s="176">
        <v>0</v>
      </c>
      <c r="P77" s="176">
        <v>1</v>
      </c>
      <c r="Q77" s="177">
        <f t="shared" si="4"/>
        <v>42</v>
      </c>
      <c r="R77" s="177">
        <f t="shared" si="5"/>
        <v>62</v>
      </c>
      <c r="S77" s="171">
        <v>1.1000000000000001</v>
      </c>
      <c r="T77" s="172">
        <v>0.05</v>
      </c>
      <c r="U77" s="171">
        <v>0</v>
      </c>
      <c r="V77" s="172">
        <v>0</v>
      </c>
      <c r="W77" s="179"/>
    </row>
    <row r="78" spans="1:23">
      <c r="A78" s="425"/>
      <c r="B78" s="169">
        <v>36787</v>
      </c>
      <c r="C78" s="170">
        <v>36787</v>
      </c>
      <c r="D78" s="170">
        <v>36794</v>
      </c>
      <c r="E78" s="171">
        <v>7.21</v>
      </c>
      <c r="F78" s="172">
        <v>7.25</v>
      </c>
      <c r="G78" s="173">
        <v>2.9</v>
      </c>
      <c r="H78" s="174"/>
      <c r="I78" s="175">
        <v>33</v>
      </c>
      <c r="J78" s="176">
        <v>41</v>
      </c>
      <c r="K78" s="176">
        <v>11</v>
      </c>
      <c r="L78" s="176">
        <v>18</v>
      </c>
      <c r="M78" s="176">
        <v>1</v>
      </c>
      <c r="N78" s="176">
        <v>5</v>
      </c>
      <c r="O78" s="176">
        <v>0</v>
      </c>
      <c r="P78" s="176">
        <v>1</v>
      </c>
      <c r="Q78" s="177">
        <f t="shared" si="4"/>
        <v>45</v>
      </c>
      <c r="R78" s="177">
        <f t="shared" si="5"/>
        <v>65</v>
      </c>
      <c r="S78" s="171">
        <v>1.1000000000000001</v>
      </c>
      <c r="T78" s="172">
        <v>0.15</v>
      </c>
      <c r="U78" s="171">
        <v>0</v>
      </c>
      <c r="V78" s="172">
        <v>0.15</v>
      </c>
      <c r="W78" s="179"/>
    </row>
    <row r="79" spans="1:23">
      <c r="A79" s="425"/>
      <c r="B79" s="169">
        <v>36794</v>
      </c>
      <c r="C79" s="170">
        <v>36794</v>
      </c>
      <c r="D79" s="170">
        <v>36801</v>
      </c>
      <c r="E79" s="171">
        <v>7.33</v>
      </c>
      <c r="F79" s="172">
        <v>7.38</v>
      </c>
      <c r="G79" s="173">
        <v>2.5</v>
      </c>
      <c r="H79" s="174"/>
      <c r="I79" s="175">
        <v>27</v>
      </c>
      <c r="J79" s="176">
        <v>40</v>
      </c>
      <c r="K79" s="176">
        <v>9</v>
      </c>
      <c r="L79" s="176">
        <v>19</v>
      </c>
      <c r="M79" s="176">
        <v>1</v>
      </c>
      <c r="N79" s="176">
        <v>5</v>
      </c>
      <c r="O79" s="176">
        <v>0</v>
      </c>
      <c r="P79" s="176">
        <v>1</v>
      </c>
      <c r="Q79" s="177">
        <f t="shared" si="4"/>
        <v>37</v>
      </c>
      <c r="R79" s="177">
        <f t="shared" si="5"/>
        <v>65</v>
      </c>
      <c r="S79" s="171">
        <v>1.2</v>
      </c>
      <c r="T79" s="172">
        <v>0.1</v>
      </c>
      <c r="U79" s="171">
        <v>0</v>
      </c>
      <c r="V79" s="172">
        <v>0</v>
      </c>
      <c r="W79" s="179"/>
    </row>
    <row r="80" spans="1:23">
      <c r="A80" s="425"/>
      <c r="B80" s="169">
        <v>36801</v>
      </c>
      <c r="C80" s="170">
        <v>36801</v>
      </c>
      <c r="D80" s="170">
        <v>36809</v>
      </c>
      <c r="E80" s="171">
        <v>7.52</v>
      </c>
      <c r="F80" s="172">
        <v>7.15</v>
      </c>
      <c r="G80" s="173">
        <v>2.9</v>
      </c>
      <c r="H80" s="174"/>
      <c r="I80" s="175">
        <v>31</v>
      </c>
      <c r="J80" s="176">
        <v>37</v>
      </c>
      <c r="K80" s="176">
        <v>11</v>
      </c>
      <c r="L80" s="176">
        <v>17</v>
      </c>
      <c r="M80" s="176">
        <v>1</v>
      </c>
      <c r="N80" s="176">
        <v>4</v>
      </c>
      <c r="O80" s="176">
        <v>0</v>
      </c>
      <c r="P80" s="176">
        <v>1</v>
      </c>
      <c r="Q80" s="177">
        <f t="shared" si="4"/>
        <v>43</v>
      </c>
      <c r="R80" s="177">
        <f t="shared" si="5"/>
        <v>59</v>
      </c>
      <c r="S80" s="171">
        <v>0.8</v>
      </c>
      <c r="T80" s="172">
        <v>0.05</v>
      </c>
      <c r="U80" s="171">
        <v>0.1</v>
      </c>
      <c r="V80" s="172">
        <v>0</v>
      </c>
      <c r="W80" s="179"/>
    </row>
    <row r="81" spans="1:23">
      <c r="A81" s="425"/>
      <c r="B81" s="169">
        <v>36809</v>
      </c>
      <c r="C81" s="170">
        <v>36809</v>
      </c>
      <c r="D81" s="170">
        <v>36815</v>
      </c>
      <c r="E81" s="171">
        <v>7.3</v>
      </c>
      <c r="F81" s="172">
        <v>7.26</v>
      </c>
      <c r="G81" s="173">
        <v>3.6</v>
      </c>
      <c r="H81" s="174"/>
      <c r="I81" s="175">
        <v>23</v>
      </c>
      <c r="J81" s="176">
        <v>34</v>
      </c>
      <c r="K81" s="176">
        <v>9</v>
      </c>
      <c r="L81" s="176">
        <v>17</v>
      </c>
      <c r="M81" s="176">
        <v>1</v>
      </c>
      <c r="N81" s="176">
        <v>4</v>
      </c>
      <c r="O81" s="176">
        <v>0</v>
      </c>
      <c r="P81" s="176">
        <v>1</v>
      </c>
      <c r="Q81" s="177">
        <f t="shared" si="4"/>
        <v>33</v>
      </c>
      <c r="R81" s="177">
        <f t="shared" si="5"/>
        <v>56</v>
      </c>
      <c r="S81" s="171">
        <v>1.1499999999999999</v>
      </c>
      <c r="T81" s="172">
        <v>0.05</v>
      </c>
      <c r="U81" s="171">
        <v>0</v>
      </c>
      <c r="V81" s="172">
        <v>0</v>
      </c>
      <c r="W81" s="179"/>
    </row>
    <row r="82" spans="1:23">
      <c r="A82" s="425"/>
      <c r="B82" s="169">
        <v>36815</v>
      </c>
      <c r="C82" s="170">
        <v>36815</v>
      </c>
      <c r="D82" s="170">
        <v>36822</v>
      </c>
      <c r="E82" s="171">
        <v>7.35</v>
      </c>
      <c r="F82" s="172">
        <v>7.48</v>
      </c>
      <c r="G82" s="173">
        <v>3.6</v>
      </c>
      <c r="H82" s="174"/>
      <c r="I82" s="175">
        <v>24</v>
      </c>
      <c r="J82" s="176">
        <v>37</v>
      </c>
      <c r="K82" s="176">
        <v>10</v>
      </c>
      <c r="L82" s="176">
        <v>20</v>
      </c>
      <c r="M82" s="176">
        <v>1</v>
      </c>
      <c r="N82" s="176">
        <v>5</v>
      </c>
      <c r="O82" s="176">
        <v>0</v>
      </c>
      <c r="P82" s="176">
        <v>1</v>
      </c>
      <c r="Q82" s="177">
        <f t="shared" si="4"/>
        <v>35</v>
      </c>
      <c r="R82" s="177">
        <f t="shared" si="5"/>
        <v>63</v>
      </c>
      <c r="S82" s="171">
        <v>0.95</v>
      </c>
      <c r="T82" s="172">
        <v>0.05</v>
      </c>
      <c r="U82" s="171">
        <v>0.1</v>
      </c>
      <c r="V82" s="172">
        <v>0</v>
      </c>
      <c r="W82" s="179"/>
    </row>
    <row r="83" spans="1:23">
      <c r="A83" s="425"/>
      <c r="B83" s="169">
        <v>36822</v>
      </c>
      <c r="C83" s="170">
        <v>36822</v>
      </c>
      <c r="D83" s="170">
        <v>36829</v>
      </c>
      <c r="E83" s="171">
        <v>7.49</v>
      </c>
      <c r="F83" s="172">
        <v>7.4</v>
      </c>
      <c r="G83" s="173">
        <v>3.6</v>
      </c>
      <c r="H83" s="174"/>
      <c r="I83" s="175">
        <v>22</v>
      </c>
      <c r="J83" s="176">
        <v>35</v>
      </c>
      <c r="K83" s="176">
        <v>10</v>
      </c>
      <c r="L83" s="176">
        <v>19</v>
      </c>
      <c r="M83" s="176">
        <v>1</v>
      </c>
      <c r="N83" s="176">
        <v>6</v>
      </c>
      <c r="O83" s="176">
        <v>0</v>
      </c>
      <c r="P83" s="176">
        <v>1</v>
      </c>
      <c r="Q83" s="177">
        <f t="shared" si="4"/>
        <v>33</v>
      </c>
      <c r="R83" s="177">
        <f t="shared" si="5"/>
        <v>61</v>
      </c>
      <c r="S83" s="171">
        <v>1.1499999999999999</v>
      </c>
      <c r="T83" s="172">
        <v>0.05</v>
      </c>
      <c r="U83" s="171">
        <v>0.1</v>
      </c>
      <c r="V83" s="172">
        <v>0</v>
      </c>
      <c r="W83" s="179"/>
    </row>
    <row r="84" spans="1:23">
      <c r="A84" s="425"/>
      <c r="B84" s="169">
        <v>36830</v>
      </c>
      <c r="C84" s="170">
        <v>36830</v>
      </c>
      <c r="D84" s="170">
        <v>36836</v>
      </c>
      <c r="E84" s="171">
        <v>7.31</v>
      </c>
      <c r="F84" s="172">
        <v>7.31</v>
      </c>
      <c r="G84" s="173">
        <v>3.6</v>
      </c>
      <c r="H84" s="174"/>
      <c r="I84" s="175">
        <v>19</v>
      </c>
      <c r="J84" s="176">
        <v>30</v>
      </c>
      <c r="K84" s="176">
        <v>10</v>
      </c>
      <c r="L84" s="176">
        <v>18</v>
      </c>
      <c r="M84" s="176">
        <v>1</v>
      </c>
      <c r="N84" s="176">
        <v>5</v>
      </c>
      <c r="O84" s="176">
        <v>0</v>
      </c>
      <c r="P84" s="176">
        <v>1</v>
      </c>
      <c r="Q84" s="177">
        <f t="shared" si="4"/>
        <v>30</v>
      </c>
      <c r="R84" s="177">
        <f t="shared" si="5"/>
        <v>54</v>
      </c>
      <c r="S84" s="171">
        <v>1.2</v>
      </c>
      <c r="T84" s="172">
        <v>0</v>
      </c>
      <c r="U84" s="171">
        <v>0.1</v>
      </c>
      <c r="V84" s="172">
        <v>0</v>
      </c>
      <c r="W84" s="179"/>
    </row>
    <row r="85" spans="1:23">
      <c r="A85" s="425"/>
      <c r="B85" s="169">
        <v>36837</v>
      </c>
      <c r="C85" s="170">
        <v>36837</v>
      </c>
      <c r="D85" s="170">
        <v>36843</v>
      </c>
      <c r="E85" s="171">
        <v>7.28</v>
      </c>
      <c r="F85" s="172">
        <v>7.44</v>
      </c>
      <c r="G85" s="173">
        <v>3.6</v>
      </c>
      <c r="H85" s="174"/>
      <c r="I85" s="175">
        <v>20</v>
      </c>
      <c r="J85" s="176">
        <v>31</v>
      </c>
      <c r="K85" s="176">
        <v>12</v>
      </c>
      <c r="L85" s="176">
        <v>17</v>
      </c>
      <c r="M85" s="176">
        <v>2</v>
      </c>
      <c r="N85" s="176">
        <v>3</v>
      </c>
      <c r="O85" s="176">
        <v>0</v>
      </c>
      <c r="P85" s="176">
        <v>0</v>
      </c>
      <c r="Q85" s="177">
        <f t="shared" si="4"/>
        <v>34</v>
      </c>
      <c r="R85" s="177">
        <f t="shared" si="5"/>
        <v>51</v>
      </c>
      <c r="S85" s="171">
        <v>1.1000000000000001</v>
      </c>
      <c r="T85" s="172">
        <v>0.05</v>
      </c>
      <c r="U85" s="171">
        <v>0.1</v>
      </c>
      <c r="V85" s="172">
        <v>0</v>
      </c>
      <c r="W85" s="179"/>
    </row>
    <row r="86" spans="1:23">
      <c r="A86" s="425"/>
      <c r="B86" s="169">
        <v>36843</v>
      </c>
      <c r="C86" s="170">
        <v>36843</v>
      </c>
      <c r="D86" s="170">
        <v>36850</v>
      </c>
      <c r="E86" s="171">
        <v>7.4</v>
      </c>
      <c r="F86" s="172">
        <v>7.36</v>
      </c>
      <c r="G86" s="173">
        <v>3.9</v>
      </c>
      <c r="H86" s="174"/>
      <c r="I86" s="175">
        <v>17</v>
      </c>
      <c r="J86" s="176">
        <v>30</v>
      </c>
      <c r="K86" s="176">
        <v>8</v>
      </c>
      <c r="L86" s="176">
        <v>17</v>
      </c>
      <c r="M86" s="176">
        <v>1</v>
      </c>
      <c r="N86" s="176">
        <v>3</v>
      </c>
      <c r="O86" s="176">
        <v>0</v>
      </c>
      <c r="P86" s="176">
        <v>0</v>
      </c>
      <c r="Q86" s="177">
        <f t="shared" si="4"/>
        <v>26</v>
      </c>
      <c r="R86" s="177">
        <f t="shared" si="5"/>
        <v>50</v>
      </c>
      <c r="S86" s="171">
        <v>1.1499999999999999</v>
      </c>
      <c r="T86" s="172">
        <v>0</v>
      </c>
      <c r="U86" s="171">
        <v>0.1</v>
      </c>
      <c r="V86" s="172">
        <v>0.1</v>
      </c>
      <c r="W86" s="179"/>
    </row>
    <row r="87" spans="1:23">
      <c r="A87" s="425"/>
      <c r="B87" s="169">
        <v>36850</v>
      </c>
      <c r="C87" s="170">
        <v>36850</v>
      </c>
      <c r="D87" s="170">
        <v>36857</v>
      </c>
      <c r="E87" s="171">
        <v>7.25</v>
      </c>
      <c r="F87" s="172">
        <v>7.34</v>
      </c>
      <c r="G87" s="173">
        <v>4.5999999999999996</v>
      </c>
      <c r="H87" s="174"/>
      <c r="I87" s="175">
        <v>18</v>
      </c>
      <c r="J87" s="176">
        <v>39</v>
      </c>
      <c r="K87" s="176">
        <v>7</v>
      </c>
      <c r="L87" s="176">
        <v>22</v>
      </c>
      <c r="M87" s="176">
        <v>1</v>
      </c>
      <c r="N87" s="176">
        <v>4</v>
      </c>
      <c r="O87" s="176">
        <v>0</v>
      </c>
      <c r="P87" s="176">
        <v>0</v>
      </c>
      <c r="Q87" s="177">
        <f t="shared" si="4"/>
        <v>26</v>
      </c>
      <c r="R87" s="177">
        <f t="shared" si="5"/>
        <v>65</v>
      </c>
      <c r="S87" s="171">
        <v>1.05</v>
      </c>
      <c r="T87" s="172">
        <v>0</v>
      </c>
      <c r="U87" s="171">
        <v>0.2</v>
      </c>
      <c r="V87" s="172">
        <v>0</v>
      </c>
      <c r="W87" s="179"/>
    </row>
    <row r="88" spans="1:23">
      <c r="A88" s="425"/>
      <c r="B88" s="169">
        <v>36857</v>
      </c>
      <c r="C88" s="170">
        <v>36857</v>
      </c>
      <c r="D88" s="170">
        <v>36864</v>
      </c>
      <c r="E88" s="171">
        <v>7.28</v>
      </c>
      <c r="F88" s="172">
        <v>7.4</v>
      </c>
      <c r="G88" s="173">
        <v>4.8</v>
      </c>
      <c r="H88" s="174"/>
      <c r="I88" s="175">
        <v>17</v>
      </c>
      <c r="J88" s="176">
        <v>40</v>
      </c>
      <c r="K88" s="176">
        <v>9</v>
      </c>
      <c r="L88" s="176">
        <v>23</v>
      </c>
      <c r="M88" s="176">
        <v>2</v>
      </c>
      <c r="N88" s="176">
        <v>5</v>
      </c>
      <c r="O88" s="176">
        <v>0</v>
      </c>
      <c r="P88" s="176">
        <v>0</v>
      </c>
      <c r="Q88" s="177">
        <f t="shared" si="4"/>
        <v>28</v>
      </c>
      <c r="R88" s="177">
        <f t="shared" si="5"/>
        <v>68</v>
      </c>
      <c r="S88" s="171">
        <v>1.05</v>
      </c>
      <c r="T88" s="172">
        <v>0</v>
      </c>
      <c r="U88" s="171">
        <v>0.2</v>
      </c>
      <c r="V88" s="172">
        <v>0</v>
      </c>
      <c r="W88" s="179"/>
    </row>
    <row r="89" spans="1:23">
      <c r="A89" s="425"/>
      <c r="B89" s="169">
        <v>36864</v>
      </c>
      <c r="C89" s="170">
        <v>36864</v>
      </c>
      <c r="D89" s="170">
        <v>36871</v>
      </c>
      <c r="E89" s="171">
        <v>7.11</v>
      </c>
      <c r="F89" s="172">
        <v>7.32</v>
      </c>
      <c r="G89" s="173">
        <v>4.7</v>
      </c>
      <c r="H89" s="174"/>
      <c r="I89" s="175">
        <v>18</v>
      </c>
      <c r="J89" s="176">
        <v>34</v>
      </c>
      <c r="K89" s="176">
        <v>7</v>
      </c>
      <c r="L89" s="176">
        <v>20</v>
      </c>
      <c r="M89" s="176">
        <v>2</v>
      </c>
      <c r="N89" s="176">
        <v>4</v>
      </c>
      <c r="O89" s="176">
        <v>0</v>
      </c>
      <c r="P89" s="176">
        <v>0</v>
      </c>
      <c r="Q89" s="177">
        <f t="shared" si="4"/>
        <v>27</v>
      </c>
      <c r="R89" s="177">
        <f t="shared" si="5"/>
        <v>58</v>
      </c>
      <c r="S89" s="171">
        <v>1.1000000000000001</v>
      </c>
      <c r="T89" s="172">
        <v>0</v>
      </c>
      <c r="U89" s="171">
        <v>0.2</v>
      </c>
      <c r="V89" s="172">
        <v>0</v>
      </c>
      <c r="W89" s="179"/>
    </row>
    <row r="90" spans="1:23">
      <c r="A90" s="425"/>
      <c r="B90" s="169">
        <v>36871</v>
      </c>
      <c r="C90" s="170">
        <v>36871</v>
      </c>
      <c r="D90" s="170">
        <v>36878</v>
      </c>
      <c r="E90" s="171">
        <v>7.37</v>
      </c>
      <c r="F90" s="172">
        <v>7.35</v>
      </c>
      <c r="G90" s="173">
        <v>5</v>
      </c>
      <c r="H90" s="174"/>
      <c r="I90" s="175">
        <v>19</v>
      </c>
      <c r="J90" s="176">
        <v>45</v>
      </c>
      <c r="K90" s="176">
        <v>8</v>
      </c>
      <c r="L90" s="176">
        <v>24</v>
      </c>
      <c r="M90" s="176">
        <v>2</v>
      </c>
      <c r="N90" s="176">
        <v>4</v>
      </c>
      <c r="O90" s="176">
        <v>0</v>
      </c>
      <c r="P90" s="176">
        <v>0</v>
      </c>
      <c r="Q90" s="177">
        <f t="shared" si="4"/>
        <v>29</v>
      </c>
      <c r="R90" s="177">
        <f t="shared" si="5"/>
        <v>73</v>
      </c>
      <c r="S90" s="171">
        <v>1.05</v>
      </c>
      <c r="T90" s="172">
        <v>0</v>
      </c>
      <c r="U90" s="171">
        <v>0.2</v>
      </c>
      <c r="V90" s="172">
        <v>0</v>
      </c>
      <c r="W90" s="179"/>
    </row>
    <row r="91" spans="1:23">
      <c r="A91" s="425"/>
      <c r="B91" s="169">
        <v>36882</v>
      </c>
      <c r="C91" s="170">
        <v>36882</v>
      </c>
      <c r="D91" s="170">
        <v>36889</v>
      </c>
      <c r="E91" s="171">
        <v>7.41</v>
      </c>
      <c r="F91" s="172"/>
      <c r="G91" s="173">
        <v>5.2</v>
      </c>
      <c r="H91" s="174"/>
      <c r="I91" s="175">
        <v>20</v>
      </c>
      <c r="J91" s="176"/>
      <c r="K91" s="176">
        <v>11</v>
      </c>
      <c r="L91" s="176"/>
      <c r="M91" s="176">
        <v>2</v>
      </c>
      <c r="N91" s="176"/>
      <c r="O91" s="176">
        <v>0</v>
      </c>
      <c r="P91" s="176"/>
      <c r="Q91" s="177">
        <f t="shared" si="4"/>
        <v>33</v>
      </c>
      <c r="R91" s="177">
        <f t="shared" si="5"/>
        <v>0</v>
      </c>
      <c r="S91" s="171">
        <v>1</v>
      </c>
      <c r="T91" s="172"/>
      <c r="U91" s="171">
        <v>0.15</v>
      </c>
      <c r="V91" s="172"/>
      <c r="W91" s="179"/>
    </row>
    <row r="92" spans="1:23">
      <c r="A92" s="425"/>
      <c r="B92" s="169">
        <v>36887</v>
      </c>
      <c r="C92" s="170">
        <v>36887</v>
      </c>
      <c r="D92" s="170">
        <v>36894</v>
      </c>
      <c r="E92" s="171">
        <v>7.46</v>
      </c>
      <c r="F92" s="172">
        <v>7.51</v>
      </c>
      <c r="G92" s="173"/>
      <c r="H92" s="174"/>
      <c r="I92" s="175">
        <v>22</v>
      </c>
      <c r="J92" s="176">
        <v>52</v>
      </c>
      <c r="K92" s="176">
        <v>12</v>
      </c>
      <c r="L92" s="176">
        <v>28</v>
      </c>
      <c r="M92" s="176">
        <v>2</v>
      </c>
      <c r="N92" s="176">
        <v>5</v>
      </c>
      <c r="O92" s="176">
        <v>0</v>
      </c>
      <c r="P92" s="176">
        <v>0</v>
      </c>
      <c r="Q92" s="177">
        <f t="shared" si="4"/>
        <v>36</v>
      </c>
      <c r="R92" s="177">
        <f t="shared" si="5"/>
        <v>85</v>
      </c>
      <c r="S92" s="171">
        <v>1.1000000000000001</v>
      </c>
      <c r="T92" s="172">
        <v>0</v>
      </c>
      <c r="U92" s="171">
        <v>0.3</v>
      </c>
      <c r="V92" s="172">
        <v>0</v>
      </c>
      <c r="W92" s="179"/>
    </row>
    <row r="93" spans="1:23">
      <c r="A93" s="425"/>
      <c r="B93" s="169">
        <v>36894</v>
      </c>
      <c r="C93" s="170">
        <v>36894</v>
      </c>
      <c r="D93" s="170">
        <v>36901</v>
      </c>
      <c r="E93" s="171">
        <v>7.27</v>
      </c>
      <c r="F93" s="172">
        <v>7.35</v>
      </c>
      <c r="G93" s="173">
        <v>5.3</v>
      </c>
      <c r="H93" s="174"/>
      <c r="I93" s="175">
        <v>19</v>
      </c>
      <c r="J93" s="176">
        <v>50</v>
      </c>
      <c r="K93" s="176">
        <v>9</v>
      </c>
      <c r="L93" s="176">
        <v>28</v>
      </c>
      <c r="M93" s="176">
        <v>2</v>
      </c>
      <c r="N93" s="176">
        <v>5</v>
      </c>
      <c r="O93" s="176">
        <v>0</v>
      </c>
      <c r="P93" s="176">
        <v>0</v>
      </c>
      <c r="Q93" s="177">
        <f t="shared" si="4"/>
        <v>30</v>
      </c>
      <c r="R93" s="177">
        <f t="shared" si="5"/>
        <v>83</v>
      </c>
      <c r="S93" s="171">
        <v>1.05</v>
      </c>
      <c r="T93" s="172">
        <v>0</v>
      </c>
      <c r="U93" s="171">
        <v>0.2</v>
      </c>
      <c r="V93" s="172">
        <v>0</v>
      </c>
      <c r="W93" s="179"/>
    </row>
    <row r="94" spans="1:23">
      <c r="A94" s="425"/>
      <c r="B94" s="169">
        <v>36899</v>
      </c>
      <c r="C94" s="170">
        <v>36899</v>
      </c>
      <c r="D94" s="170">
        <v>36906</v>
      </c>
      <c r="E94" s="171">
        <v>7.46</v>
      </c>
      <c r="F94" s="172">
        <v>7.41</v>
      </c>
      <c r="G94" s="173">
        <v>5.5</v>
      </c>
      <c r="H94" s="174"/>
      <c r="I94" s="175">
        <v>22</v>
      </c>
      <c r="J94" s="176">
        <v>44</v>
      </c>
      <c r="K94" s="176">
        <v>12</v>
      </c>
      <c r="L94" s="176">
        <v>26</v>
      </c>
      <c r="M94" s="176">
        <v>2</v>
      </c>
      <c r="N94" s="176">
        <v>5</v>
      </c>
      <c r="O94" s="176">
        <v>0</v>
      </c>
      <c r="P94" s="176">
        <v>0</v>
      </c>
      <c r="Q94" s="177">
        <f t="shared" si="4"/>
        <v>36</v>
      </c>
      <c r="R94" s="177">
        <f t="shared" si="5"/>
        <v>75</v>
      </c>
      <c r="S94" s="171">
        <v>1.1499999999999999</v>
      </c>
      <c r="T94" s="172">
        <v>0</v>
      </c>
      <c r="U94" s="171">
        <v>0.35</v>
      </c>
      <c r="V94" s="172">
        <v>0</v>
      </c>
      <c r="W94" s="179"/>
    </row>
    <row r="95" spans="1:23">
      <c r="A95" s="425"/>
      <c r="B95" s="169">
        <v>36906</v>
      </c>
      <c r="C95" s="170">
        <v>36906</v>
      </c>
      <c r="D95" s="170">
        <v>36913</v>
      </c>
      <c r="E95" s="171">
        <v>7.43</v>
      </c>
      <c r="F95" s="172">
        <v>7.55</v>
      </c>
      <c r="G95" s="173">
        <v>5.4</v>
      </c>
      <c r="H95" s="174"/>
      <c r="I95" s="175">
        <v>22</v>
      </c>
      <c r="J95" s="176">
        <v>46</v>
      </c>
      <c r="K95" s="176">
        <v>11</v>
      </c>
      <c r="L95" s="176">
        <v>27</v>
      </c>
      <c r="M95" s="176">
        <v>2</v>
      </c>
      <c r="N95" s="176">
        <v>5</v>
      </c>
      <c r="O95" s="176">
        <v>0</v>
      </c>
      <c r="P95" s="176">
        <v>1</v>
      </c>
      <c r="Q95" s="177">
        <f t="shared" si="4"/>
        <v>35</v>
      </c>
      <c r="R95" s="177">
        <f t="shared" si="5"/>
        <v>79</v>
      </c>
      <c r="S95" s="171">
        <v>1.05</v>
      </c>
      <c r="T95" s="172">
        <v>0</v>
      </c>
      <c r="U95" s="171">
        <v>0.6</v>
      </c>
      <c r="V95" s="172">
        <v>0.15</v>
      </c>
      <c r="W95" s="179"/>
    </row>
    <row r="96" spans="1:23">
      <c r="A96" s="425"/>
      <c r="B96" s="169">
        <v>36913</v>
      </c>
      <c r="C96" s="170">
        <v>36913</v>
      </c>
      <c r="D96" s="170">
        <v>36920</v>
      </c>
      <c r="E96" s="171">
        <v>7.38</v>
      </c>
      <c r="F96" s="172">
        <v>7.34</v>
      </c>
      <c r="G96" s="173">
        <v>5.4</v>
      </c>
      <c r="H96" s="174"/>
      <c r="I96" s="175">
        <v>22</v>
      </c>
      <c r="J96" s="176">
        <v>55</v>
      </c>
      <c r="K96" s="176">
        <v>12</v>
      </c>
      <c r="L96" s="176">
        <v>30</v>
      </c>
      <c r="M96" s="176">
        <v>2</v>
      </c>
      <c r="N96" s="176">
        <v>6</v>
      </c>
      <c r="O96" s="176">
        <v>0</v>
      </c>
      <c r="P96" s="176">
        <v>0</v>
      </c>
      <c r="Q96" s="177">
        <f t="shared" si="4"/>
        <v>36</v>
      </c>
      <c r="R96" s="177">
        <f t="shared" si="5"/>
        <v>91</v>
      </c>
      <c r="S96" s="171">
        <v>1.1000000000000001</v>
      </c>
      <c r="T96" s="172">
        <v>0</v>
      </c>
      <c r="U96" s="171">
        <v>0.6</v>
      </c>
      <c r="V96" s="172">
        <v>0.1</v>
      </c>
      <c r="W96" s="179"/>
    </row>
    <row r="97" spans="1:23">
      <c r="A97" s="425"/>
      <c r="B97" s="169">
        <v>36920</v>
      </c>
      <c r="C97" s="170">
        <v>36920</v>
      </c>
      <c r="D97" s="170">
        <v>36927</v>
      </c>
      <c r="E97" s="171">
        <v>7.29</v>
      </c>
      <c r="F97" s="172">
        <v>7.28</v>
      </c>
      <c r="G97" s="173">
        <v>5.3</v>
      </c>
      <c r="H97" s="174"/>
      <c r="I97" s="175">
        <v>19</v>
      </c>
      <c r="J97" s="176">
        <v>45</v>
      </c>
      <c r="K97" s="176">
        <v>12</v>
      </c>
      <c r="L97" s="176">
        <v>26</v>
      </c>
      <c r="M97" s="176">
        <v>2</v>
      </c>
      <c r="N97" s="176">
        <v>6</v>
      </c>
      <c r="O97" s="176">
        <v>0</v>
      </c>
      <c r="P97" s="176">
        <v>1</v>
      </c>
      <c r="Q97" s="177">
        <f t="shared" si="4"/>
        <v>33</v>
      </c>
      <c r="R97" s="177">
        <f t="shared" si="5"/>
        <v>78</v>
      </c>
      <c r="S97" s="171">
        <v>1.05</v>
      </c>
      <c r="T97" s="172">
        <v>0</v>
      </c>
      <c r="U97" s="171">
        <v>0.4</v>
      </c>
      <c r="V97" s="172">
        <v>0</v>
      </c>
      <c r="W97" s="179"/>
    </row>
    <row r="98" spans="1:23">
      <c r="A98" s="425"/>
      <c r="B98" s="169">
        <v>36927</v>
      </c>
      <c r="C98" s="170">
        <v>36927</v>
      </c>
      <c r="D98" s="170">
        <v>36934</v>
      </c>
      <c r="E98" s="171">
        <v>7.25</v>
      </c>
      <c r="F98" s="172">
        <v>7.12</v>
      </c>
      <c r="G98" s="173">
        <v>5.4</v>
      </c>
      <c r="H98" s="174"/>
      <c r="I98" s="175">
        <v>19</v>
      </c>
      <c r="J98" s="176">
        <v>48</v>
      </c>
      <c r="K98" s="176">
        <v>11</v>
      </c>
      <c r="L98" s="176">
        <v>28</v>
      </c>
      <c r="M98" s="176">
        <v>2</v>
      </c>
      <c r="N98" s="176">
        <v>6</v>
      </c>
      <c r="O98" s="176">
        <v>0</v>
      </c>
      <c r="P98" s="176">
        <v>1</v>
      </c>
      <c r="Q98" s="177">
        <f t="shared" si="4"/>
        <v>32</v>
      </c>
      <c r="R98" s="177">
        <f t="shared" si="5"/>
        <v>83</v>
      </c>
      <c r="S98" s="171">
        <v>1.05</v>
      </c>
      <c r="T98" s="172">
        <v>0</v>
      </c>
      <c r="U98" s="171">
        <v>0.45</v>
      </c>
      <c r="V98" s="172">
        <v>0.15</v>
      </c>
      <c r="W98" s="179"/>
    </row>
    <row r="99" spans="1:23">
      <c r="A99" s="425"/>
      <c r="B99" s="169">
        <v>36934</v>
      </c>
      <c r="C99" s="170">
        <v>36934</v>
      </c>
      <c r="D99" s="170">
        <v>36941</v>
      </c>
      <c r="E99" s="171">
        <v>6.91</v>
      </c>
      <c r="F99" s="172">
        <v>7.01</v>
      </c>
      <c r="G99" s="173">
        <v>5.6</v>
      </c>
      <c r="H99" s="174"/>
      <c r="I99" s="175">
        <v>18</v>
      </c>
      <c r="J99" s="176">
        <v>48</v>
      </c>
      <c r="K99" s="176">
        <v>11</v>
      </c>
      <c r="L99" s="176">
        <v>28</v>
      </c>
      <c r="M99" s="176">
        <v>2</v>
      </c>
      <c r="N99" s="176">
        <v>6</v>
      </c>
      <c r="O99" s="176">
        <v>0</v>
      </c>
      <c r="P99" s="176">
        <v>1</v>
      </c>
      <c r="Q99" s="177">
        <f t="shared" si="4"/>
        <v>31</v>
      </c>
      <c r="R99" s="177">
        <f t="shared" si="5"/>
        <v>83</v>
      </c>
      <c r="S99" s="171">
        <v>1.05</v>
      </c>
      <c r="T99" s="172">
        <v>0</v>
      </c>
      <c r="U99" s="171">
        <v>0.5</v>
      </c>
      <c r="V99" s="172">
        <v>0.35</v>
      </c>
      <c r="W99" s="179"/>
    </row>
    <row r="100" spans="1:23">
      <c r="A100" s="425"/>
      <c r="B100" s="169">
        <v>36941</v>
      </c>
      <c r="C100" s="170">
        <v>36941</v>
      </c>
      <c r="D100" s="170">
        <v>36948</v>
      </c>
      <c r="E100" s="171">
        <v>7.24</v>
      </c>
      <c r="F100" s="172">
        <v>7.25</v>
      </c>
      <c r="G100" s="173">
        <v>5.5</v>
      </c>
      <c r="H100" s="174"/>
      <c r="I100" s="175">
        <v>19</v>
      </c>
      <c r="J100" s="176">
        <v>54</v>
      </c>
      <c r="K100" s="176">
        <v>10</v>
      </c>
      <c r="L100" s="176">
        <v>26</v>
      </c>
      <c r="M100" s="176">
        <v>2</v>
      </c>
      <c r="N100" s="176">
        <v>4</v>
      </c>
      <c r="O100" s="176">
        <v>0</v>
      </c>
      <c r="P100" s="176">
        <v>0</v>
      </c>
      <c r="Q100" s="177">
        <f t="shared" ref="Q100:Q131" si="6">I100+K100+M100+O100</f>
        <v>31</v>
      </c>
      <c r="R100" s="177">
        <f t="shared" ref="R100:R131" si="7">J100+L100+N100+P100</f>
        <v>84</v>
      </c>
      <c r="S100" s="171">
        <v>1.05</v>
      </c>
      <c r="T100" s="172">
        <v>0</v>
      </c>
      <c r="U100" s="171">
        <v>0.4</v>
      </c>
      <c r="V100" s="172">
        <v>0</v>
      </c>
      <c r="W100" s="179"/>
    </row>
    <row r="101" spans="1:23">
      <c r="A101" s="425"/>
      <c r="B101" s="169">
        <v>36955</v>
      </c>
      <c r="C101" s="170">
        <v>36955</v>
      </c>
      <c r="D101" s="170">
        <v>36962</v>
      </c>
      <c r="E101" s="171">
        <v>7.4</v>
      </c>
      <c r="F101" s="172">
        <v>7.49</v>
      </c>
      <c r="G101" s="173">
        <v>5.6</v>
      </c>
      <c r="H101" s="174"/>
      <c r="I101" s="175">
        <v>21</v>
      </c>
      <c r="J101" s="176">
        <v>55</v>
      </c>
      <c r="K101" s="176">
        <v>11</v>
      </c>
      <c r="L101" s="176">
        <v>28</v>
      </c>
      <c r="M101" s="176">
        <v>2</v>
      </c>
      <c r="N101" s="176">
        <v>6</v>
      </c>
      <c r="O101" s="176">
        <v>0</v>
      </c>
      <c r="P101" s="176">
        <v>0</v>
      </c>
      <c r="Q101" s="177">
        <f t="shared" si="6"/>
        <v>34</v>
      </c>
      <c r="R101" s="177">
        <f t="shared" si="7"/>
        <v>89</v>
      </c>
      <c r="S101" s="171">
        <v>0.9</v>
      </c>
      <c r="T101" s="172">
        <v>0</v>
      </c>
      <c r="U101" s="171">
        <v>0.4</v>
      </c>
      <c r="V101" s="172">
        <v>0.1</v>
      </c>
      <c r="W101" s="179"/>
    </row>
    <row r="102" spans="1:23">
      <c r="A102" s="425"/>
      <c r="B102" s="169">
        <v>36962</v>
      </c>
      <c r="C102" s="170">
        <v>36962</v>
      </c>
      <c r="D102" s="170">
        <v>36969</v>
      </c>
      <c r="E102" s="171">
        <v>7.1</v>
      </c>
      <c r="F102" s="172">
        <v>7.23</v>
      </c>
      <c r="G102" s="173">
        <v>5.6</v>
      </c>
      <c r="H102" s="174"/>
      <c r="I102" s="175">
        <v>22</v>
      </c>
      <c r="J102" s="176">
        <v>45</v>
      </c>
      <c r="K102" s="176">
        <v>12</v>
      </c>
      <c r="L102" s="176">
        <v>28</v>
      </c>
      <c r="M102" s="176">
        <v>3</v>
      </c>
      <c r="N102" s="176">
        <v>6</v>
      </c>
      <c r="O102" s="176">
        <v>0</v>
      </c>
      <c r="P102" s="176">
        <v>0</v>
      </c>
      <c r="Q102" s="177">
        <f t="shared" si="6"/>
        <v>37</v>
      </c>
      <c r="R102" s="177">
        <f t="shared" si="7"/>
        <v>79</v>
      </c>
      <c r="S102" s="171">
        <v>1</v>
      </c>
      <c r="T102" s="172">
        <v>0</v>
      </c>
      <c r="U102" s="171">
        <v>0.5</v>
      </c>
      <c r="V102" s="172">
        <v>0.1</v>
      </c>
      <c r="W102" s="179"/>
    </row>
    <row r="103" spans="1:23">
      <c r="A103" s="425"/>
      <c r="B103" s="169">
        <v>36969</v>
      </c>
      <c r="C103" s="170">
        <v>36969</v>
      </c>
      <c r="D103" s="170">
        <v>36976</v>
      </c>
      <c r="E103" s="171">
        <v>7.26</v>
      </c>
      <c r="F103" s="172">
        <v>7.36</v>
      </c>
      <c r="G103" s="173">
        <v>5.4</v>
      </c>
      <c r="H103" s="174"/>
      <c r="I103" s="175">
        <v>19</v>
      </c>
      <c r="J103" s="176">
        <v>62</v>
      </c>
      <c r="K103" s="176">
        <v>13</v>
      </c>
      <c r="L103" s="176">
        <v>28</v>
      </c>
      <c r="M103" s="176">
        <v>3</v>
      </c>
      <c r="N103" s="176">
        <v>5</v>
      </c>
      <c r="O103" s="176">
        <v>0</v>
      </c>
      <c r="P103" s="176">
        <v>0</v>
      </c>
      <c r="Q103" s="177">
        <f t="shared" si="6"/>
        <v>35</v>
      </c>
      <c r="R103" s="177">
        <f t="shared" si="7"/>
        <v>95</v>
      </c>
      <c r="S103" s="171">
        <v>1.1499999999999999</v>
      </c>
      <c r="T103" s="172">
        <v>0</v>
      </c>
      <c r="U103" s="171"/>
      <c r="V103" s="172">
        <v>0.15</v>
      </c>
      <c r="W103" s="179"/>
    </row>
    <row r="104" spans="1:23">
      <c r="A104" s="425"/>
      <c r="B104" s="169">
        <v>36976</v>
      </c>
      <c r="C104" s="170">
        <v>36976</v>
      </c>
      <c r="D104" s="170">
        <v>36983</v>
      </c>
      <c r="E104" s="171">
        <v>7.28</v>
      </c>
      <c r="F104" s="172">
        <v>7.27</v>
      </c>
      <c r="G104" s="173">
        <v>5.2</v>
      </c>
      <c r="H104" s="174"/>
      <c r="I104" s="175">
        <v>21</v>
      </c>
      <c r="J104" s="176">
        <v>54</v>
      </c>
      <c r="K104" s="176">
        <v>10</v>
      </c>
      <c r="L104" s="176">
        <v>26</v>
      </c>
      <c r="M104" s="176">
        <v>2</v>
      </c>
      <c r="N104" s="176">
        <v>5</v>
      </c>
      <c r="O104" s="176">
        <v>0</v>
      </c>
      <c r="P104" s="176">
        <v>0</v>
      </c>
      <c r="Q104" s="177">
        <f t="shared" si="6"/>
        <v>33</v>
      </c>
      <c r="R104" s="177">
        <f t="shared" si="7"/>
        <v>85</v>
      </c>
      <c r="S104" s="171">
        <v>1</v>
      </c>
      <c r="T104" s="172">
        <v>0</v>
      </c>
      <c r="U104" s="171">
        <v>0.45</v>
      </c>
      <c r="V104" s="172">
        <v>0.1</v>
      </c>
      <c r="W104" s="179"/>
    </row>
    <row r="105" spans="1:23">
      <c r="A105" s="425"/>
      <c r="B105" s="169">
        <v>36983</v>
      </c>
      <c r="C105" s="170">
        <v>36983</v>
      </c>
      <c r="D105" s="170">
        <v>36990</v>
      </c>
      <c r="E105" s="171">
        <v>7.26</v>
      </c>
      <c r="F105" s="172">
        <v>7.37</v>
      </c>
      <c r="G105" s="173">
        <v>5.3</v>
      </c>
      <c r="H105" s="174"/>
      <c r="I105" s="175">
        <v>25</v>
      </c>
      <c r="J105" s="176">
        <v>59</v>
      </c>
      <c r="K105" s="176">
        <v>11</v>
      </c>
      <c r="L105" s="176">
        <v>26</v>
      </c>
      <c r="M105" s="176">
        <v>2</v>
      </c>
      <c r="N105" s="176">
        <v>4</v>
      </c>
      <c r="O105" s="176">
        <v>0</v>
      </c>
      <c r="P105" s="176">
        <v>0</v>
      </c>
      <c r="Q105" s="177">
        <f t="shared" si="6"/>
        <v>38</v>
      </c>
      <c r="R105" s="177">
        <f t="shared" si="7"/>
        <v>89</v>
      </c>
      <c r="S105" s="171">
        <v>1.05</v>
      </c>
      <c r="T105" s="172">
        <v>0</v>
      </c>
      <c r="U105" s="171">
        <v>0.45</v>
      </c>
      <c r="V105" s="172">
        <v>0.1</v>
      </c>
      <c r="W105" s="179"/>
    </row>
    <row r="106" spans="1:23">
      <c r="A106" s="425"/>
      <c r="B106" s="169">
        <v>36991</v>
      </c>
      <c r="C106" s="170">
        <v>36991</v>
      </c>
      <c r="D106" s="170">
        <v>36998</v>
      </c>
      <c r="E106" s="171">
        <v>7.32</v>
      </c>
      <c r="F106" s="172">
        <v>7.25</v>
      </c>
      <c r="G106" s="173">
        <v>4.4000000000000004</v>
      </c>
      <c r="H106" s="174"/>
      <c r="I106" s="175">
        <v>18</v>
      </c>
      <c r="J106" s="176">
        <v>50</v>
      </c>
      <c r="K106" s="176">
        <v>11</v>
      </c>
      <c r="L106" s="176">
        <v>23</v>
      </c>
      <c r="M106" s="176">
        <v>2</v>
      </c>
      <c r="N106" s="176">
        <v>4</v>
      </c>
      <c r="O106" s="176">
        <v>0</v>
      </c>
      <c r="P106" s="176">
        <v>0</v>
      </c>
      <c r="Q106" s="177">
        <f t="shared" si="6"/>
        <v>31</v>
      </c>
      <c r="R106" s="177">
        <f t="shared" si="7"/>
        <v>77</v>
      </c>
      <c r="S106" s="171">
        <v>0.95</v>
      </c>
      <c r="T106" s="172">
        <v>0</v>
      </c>
      <c r="U106" s="171">
        <v>0.25</v>
      </c>
      <c r="V106" s="172">
        <v>0.15</v>
      </c>
      <c r="W106" s="179"/>
    </row>
    <row r="107" spans="1:23">
      <c r="A107" s="425"/>
      <c r="B107" s="169">
        <v>37004</v>
      </c>
      <c r="C107" s="170">
        <v>37004</v>
      </c>
      <c r="D107" s="170">
        <v>37011</v>
      </c>
      <c r="E107" s="171">
        <v>7.43</v>
      </c>
      <c r="F107" s="172">
        <v>7.61</v>
      </c>
      <c r="G107" s="173">
        <v>5</v>
      </c>
      <c r="H107" s="174"/>
      <c r="I107" s="175">
        <v>23</v>
      </c>
      <c r="J107" s="176">
        <v>56</v>
      </c>
      <c r="K107" s="176">
        <v>11</v>
      </c>
      <c r="L107" s="176">
        <v>24</v>
      </c>
      <c r="M107" s="176">
        <v>2</v>
      </c>
      <c r="N107" s="176">
        <v>5</v>
      </c>
      <c r="O107" s="176">
        <v>0</v>
      </c>
      <c r="P107" s="176">
        <v>0</v>
      </c>
      <c r="Q107" s="177">
        <f t="shared" si="6"/>
        <v>36</v>
      </c>
      <c r="R107" s="177">
        <f t="shared" si="7"/>
        <v>85</v>
      </c>
      <c r="S107" s="171">
        <v>1.05</v>
      </c>
      <c r="T107" s="172">
        <v>0</v>
      </c>
      <c r="U107" s="171">
        <v>0.3</v>
      </c>
      <c r="V107" s="172">
        <v>0.15</v>
      </c>
      <c r="W107" s="179"/>
    </row>
    <row r="108" spans="1:23">
      <c r="A108" s="425"/>
      <c r="B108" s="169">
        <v>37011</v>
      </c>
      <c r="C108" s="170">
        <v>37011</v>
      </c>
      <c r="D108" s="170">
        <v>37018</v>
      </c>
      <c r="E108" s="171">
        <v>7.25</v>
      </c>
      <c r="F108" s="172">
        <v>7.37</v>
      </c>
      <c r="G108" s="173">
        <v>3.3</v>
      </c>
      <c r="H108" s="174"/>
      <c r="I108" s="175">
        <v>16</v>
      </c>
      <c r="J108" s="176">
        <v>42</v>
      </c>
      <c r="K108" s="176">
        <v>6</v>
      </c>
      <c r="L108" s="176">
        <v>14</v>
      </c>
      <c r="M108" s="176">
        <v>1</v>
      </c>
      <c r="N108" s="176">
        <v>2</v>
      </c>
      <c r="O108" s="176">
        <v>0</v>
      </c>
      <c r="P108" s="176">
        <v>0</v>
      </c>
      <c r="Q108" s="177">
        <f t="shared" si="6"/>
        <v>23</v>
      </c>
      <c r="R108" s="177">
        <f t="shared" si="7"/>
        <v>58</v>
      </c>
      <c r="S108" s="171">
        <v>1</v>
      </c>
      <c r="T108" s="172">
        <v>0</v>
      </c>
      <c r="U108" s="171">
        <v>0.3</v>
      </c>
      <c r="V108" s="172">
        <v>0.1</v>
      </c>
      <c r="W108" s="179"/>
    </row>
    <row r="109" spans="1:23">
      <c r="A109" s="425"/>
      <c r="B109" s="169">
        <v>37018</v>
      </c>
      <c r="C109" s="170">
        <v>37018</v>
      </c>
      <c r="D109" s="170">
        <v>37025</v>
      </c>
      <c r="E109" s="171">
        <v>7.32</v>
      </c>
      <c r="F109" s="172">
        <v>7.44</v>
      </c>
      <c r="G109" s="173">
        <v>4.0999999999999996</v>
      </c>
      <c r="H109" s="174"/>
      <c r="I109" s="175">
        <v>27</v>
      </c>
      <c r="J109" s="176">
        <v>59</v>
      </c>
      <c r="K109" s="176">
        <v>11</v>
      </c>
      <c r="L109" s="176">
        <v>21</v>
      </c>
      <c r="M109" s="176">
        <v>2</v>
      </c>
      <c r="N109" s="176">
        <v>4</v>
      </c>
      <c r="O109" s="176">
        <v>0</v>
      </c>
      <c r="P109" s="176">
        <v>0</v>
      </c>
      <c r="Q109" s="177">
        <f t="shared" si="6"/>
        <v>40</v>
      </c>
      <c r="R109" s="177">
        <f t="shared" si="7"/>
        <v>84</v>
      </c>
      <c r="S109" s="171">
        <v>1.1499999999999999</v>
      </c>
      <c r="T109" s="172">
        <v>0</v>
      </c>
      <c r="U109" s="171">
        <v>0.35</v>
      </c>
      <c r="V109" s="172">
        <v>0.15</v>
      </c>
      <c r="W109" s="179"/>
    </row>
    <row r="110" spans="1:23">
      <c r="A110" s="425"/>
      <c r="B110" s="169">
        <v>37025</v>
      </c>
      <c r="C110" s="170">
        <v>37025</v>
      </c>
      <c r="D110" s="170">
        <v>37033</v>
      </c>
      <c r="E110" s="171">
        <v>7.32</v>
      </c>
      <c r="F110" s="172">
        <v>7.53</v>
      </c>
      <c r="G110" s="173">
        <v>4.3</v>
      </c>
      <c r="H110" s="174"/>
      <c r="I110" s="175">
        <v>28</v>
      </c>
      <c r="J110" s="176">
        <v>59</v>
      </c>
      <c r="K110" s="176">
        <v>13</v>
      </c>
      <c r="L110" s="176">
        <v>21</v>
      </c>
      <c r="M110" s="176">
        <v>3</v>
      </c>
      <c r="N110" s="176">
        <v>4</v>
      </c>
      <c r="O110" s="176">
        <v>0</v>
      </c>
      <c r="P110" s="176">
        <v>0</v>
      </c>
      <c r="Q110" s="177">
        <f t="shared" si="6"/>
        <v>44</v>
      </c>
      <c r="R110" s="177">
        <f t="shared" si="7"/>
        <v>84</v>
      </c>
      <c r="S110" s="171">
        <v>1.05</v>
      </c>
      <c r="T110" s="172">
        <v>0.05</v>
      </c>
      <c r="U110" s="171">
        <v>0.3</v>
      </c>
      <c r="V110" s="172">
        <v>0.1</v>
      </c>
      <c r="W110" s="179"/>
    </row>
    <row r="111" spans="1:23">
      <c r="A111" s="425"/>
      <c r="B111" s="169">
        <v>37033</v>
      </c>
      <c r="C111" s="170">
        <v>37040</v>
      </c>
      <c r="D111" s="170">
        <v>37040</v>
      </c>
      <c r="E111" s="171">
        <v>7.3</v>
      </c>
      <c r="F111" s="172">
        <v>7.35</v>
      </c>
      <c r="G111" s="173">
        <v>4.0999999999999996</v>
      </c>
      <c r="H111" s="174"/>
      <c r="I111" s="175">
        <v>25</v>
      </c>
      <c r="J111" s="176">
        <v>59</v>
      </c>
      <c r="K111" s="176">
        <v>12</v>
      </c>
      <c r="L111" s="176">
        <v>21</v>
      </c>
      <c r="M111" s="176">
        <v>2</v>
      </c>
      <c r="N111" s="176">
        <v>3</v>
      </c>
      <c r="O111" s="176">
        <v>0</v>
      </c>
      <c r="P111" s="176">
        <v>0</v>
      </c>
      <c r="Q111" s="177">
        <f t="shared" si="6"/>
        <v>39</v>
      </c>
      <c r="R111" s="177">
        <f t="shared" si="7"/>
        <v>83</v>
      </c>
      <c r="S111" s="171">
        <v>1.1000000000000001</v>
      </c>
      <c r="T111" s="172">
        <v>0</v>
      </c>
      <c r="U111" s="171">
        <v>0.35</v>
      </c>
      <c r="V111" s="172">
        <v>0.2</v>
      </c>
      <c r="W111" s="179"/>
    </row>
    <row r="112" spans="1:23">
      <c r="A112" s="425"/>
      <c r="B112" s="169">
        <v>37039</v>
      </c>
      <c r="C112" s="170">
        <v>37039</v>
      </c>
      <c r="D112" s="170">
        <v>37046</v>
      </c>
      <c r="E112" s="171">
        <v>7.27</v>
      </c>
      <c r="F112" s="172">
        <v>7.32</v>
      </c>
      <c r="G112" s="173">
        <v>4.5</v>
      </c>
      <c r="H112" s="174"/>
      <c r="I112" s="175">
        <v>27</v>
      </c>
      <c r="J112" s="176">
        <v>57</v>
      </c>
      <c r="K112" s="176">
        <v>13</v>
      </c>
      <c r="L112" s="176">
        <v>21</v>
      </c>
      <c r="M112" s="176">
        <v>2</v>
      </c>
      <c r="N112" s="176">
        <v>0</v>
      </c>
      <c r="O112" s="176">
        <v>0</v>
      </c>
      <c r="P112" s="176">
        <v>0</v>
      </c>
      <c r="Q112" s="177">
        <f t="shared" si="6"/>
        <v>42</v>
      </c>
      <c r="R112" s="177">
        <f t="shared" si="7"/>
        <v>78</v>
      </c>
      <c r="S112" s="171">
        <v>1.05</v>
      </c>
      <c r="T112" s="172">
        <v>0</v>
      </c>
      <c r="U112" s="171">
        <v>0.3</v>
      </c>
      <c r="V112" s="172">
        <v>0.15</v>
      </c>
      <c r="W112" s="179"/>
    </row>
    <row r="113" spans="1:23">
      <c r="A113" s="425"/>
      <c r="B113" s="169">
        <v>37046</v>
      </c>
      <c r="C113" s="170">
        <v>37046</v>
      </c>
      <c r="D113" s="170">
        <v>37053</v>
      </c>
      <c r="E113" s="171">
        <v>7.58</v>
      </c>
      <c r="F113" s="172">
        <v>7.59</v>
      </c>
      <c r="G113" s="173">
        <v>1.1000000000000001</v>
      </c>
      <c r="H113" s="174"/>
      <c r="I113" s="175">
        <v>0</v>
      </c>
      <c r="J113" s="176">
        <v>3</v>
      </c>
      <c r="K113" s="176">
        <v>0</v>
      </c>
      <c r="L113" s="176">
        <v>2</v>
      </c>
      <c r="M113" s="176">
        <v>0</v>
      </c>
      <c r="N113" s="176">
        <v>2</v>
      </c>
      <c r="O113" s="176">
        <v>0</v>
      </c>
      <c r="P113" s="176">
        <v>1</v>
      </c>
      <c r="Q113" s="177">
        <f t="shared" si="6"/>
        <v>0</v>
      </c>
      <c r="R113" s="177">
        <f t="shared" si="7"/>
        <v>8</v>
      </c>
      <c r="S113" s="171">
        <v>1</v>
      </c>
      <c r="T113" s="172">
        <v>0.45</v>
      </c>
      <c r="U113" s="171">
        <v>0</v>
      </c>
      <c r="V113" s="172">
        <v>0</v>
      </c>
      <c r="W113" s="179"/>
    </row>
    <row r="114" spans="1:23">
      <c r="A114" s="425"/>
      <c r="B114" s="169">
        <v>37053</v>
      </c>
      <c r="C114" s="170">
        <v>37053</v>
      </c>
      <c r="D114" s="170">
        <v>37060</v>
      </c>
      <c r="E114" s="171">
        <v>7.34</v>
      </c>
      <c r="F114" s="172">
        <v>7.5</v>
      </c>
      <c r="G114" s="173">
        <v>0.9</v>
      </c>
      <c r="H114" s="174"/>
      <c r="I114" s="175">
        <v>0</v>
      </c>
      <c r="J114" s="176">
        <v>3</v>
      </c>
      <c r="K114" s="176">
        <v>0</v>
      </c>
      <c r="L114" s="176">
        <v>2</v>
      </c>
      <c r="M114" s="176">
        <v>0</v>
      </c>
      <c r="N114" s="176">
        <v>3</v>
      </c>
      <c r="O114" s="176">
        <v>0</v>
      </c>
      <c r="P114" s="176">
        <v>9</v>
      </c>
      <c r="Q114" s="177">
        <f t="shared" si="6"/>
        <v>0</v>
      </c>
      <c r="R114" s="177">
        <f t="shared" si="7"/>
        <v>17</v>
      </c>
      <c r="S114" s="171">
        <v>0.95</v>
      </c>
      <c r="T114" s="172">
        <v>0.2</v>
      </c>
      <c r="U114" s="171">
        <v>0</v>
      </c>
      <c r="V114" s="172">
        <v>0</v>
      </c>
      <c r="W114" s="179"/>
    </row>
    <row r="115" spans="1:23">
      <c r="A115" s="425"/>
      <c r="B115" s="169">
        <v>37060</v>
      </c>
      <c r="C115" s="170">
        <v>37060</v>
      </c>
      <c r="D115" s="170">
        <v>37067</v>
      </c>
      <c r="E115" s="171">
        <v>7.41</v>
      </c>
      <c r="F115" s="172">
        <v>7.48</v>
      </c>
      <c r="G115" s="173">
        <v>1</v>
      </c>
      <c r="H115" s="174"/>
      <c r="I115" s="175">
        <v>1</v>
      </c>
      <c r="J115" s="176">
        <v>4</v>
      </c>
      <c r="K115" s="176">
        <v>0</v>
      </c>
      <c r="L115" s="176">
        <v>3</v>
      </c>
      <c r="M115" s="176">
        <v>0</v>
      </c>
      <c r="N115" s="176">
        <v>4</v>
      </c>
      <c r="O115" s="176">
        <v>0</v>
      </c>
      <c r="P115" s="176">
        <v>2</v>
      </c>
      <c r="Q115" s="177">
        <f t="shared" si="6"/>
        <v>1</v>
      </c>
      <c r="R115" s="177">
        <f t="shared" si="7"/>
        <v>13</v>
      </c>
      <c r="S115" s="171">
        <v>1</v>
      </c>
      <c r="T115" s="172">
        <v>0.1</v>
      </c>
      <c r="U115" s="171">
        <v>0</v>
      </c>
      <c r="V115" s="172">
        <v>0</v>
      </c>
      <c r="W115" s="179"/>
    </row>
    <row r="116" spans="1:23">
      <c r="A116" s="425"/>
      <c r="B116" s="169">
        <v>37067</v>
      </c>
      <c r="C116" s="170">
        <v>37067</v>
      </c>
      <c r="D116" s="170">
        <v>37074</v>
      </c>
      <c r="E116" s="171">
        <v>7.45</v>
      </c>
      <c r="F116" s="172">
        <v>7.46</v>
      </c>
      <c r="G116" s="173">
        <v>1.2</v>
      </c>
      <c r="H116" s="174"/>
      <c r="I116" s="175">
        <v>1</v>
      </c>
      <c r="J116" s="176">
        <v>4</v>
      </c>
      <c r="K116" s="176">
        <v>0</v>
      </c>
      <c r="L116" s="176">
        <v>4</v>
      </c>
      <c r="M116" s="176">
        <v>0</v>
      </c>
      <c r="N116" s="176">
        <v>5</v>
      </c>
      <c r="O116" s="176">
        <v>0</v>
      </c>
      <c r="P116" s="176">
        <v>3</v>
      </c>
      <c r="Q116" s="177">
        <f t="shared" si="6"/>
        <v>1</v>
      </c>
      <c r="R116" s="177">
        <f t="shared" si="7"/>
        <v>16</v>
      </c>
      <c r="S116" s="171">
        <v>0.95</v>
      </c>
      <c r="T116" s="172">
        <v>0.2</v>
      </c>
      <c r="U116" s="171">
        <v>0</v>
      </c>
      <c r="V116" s="172">
        <v>0</v>
      </c>
      <c r="W116" s="179"/>
    </row>
    <row r="117" spans="1:23">
      <c r="A117" s="425"/>
      <c r="B117" s="169">
        <v>37074</v>
      </c>
      <c r="C117" s="170">
        <v>37074</v>
      </c>
      <c r="D117" s="170">
        <v>37081</v>
      </c>
      <c r="E117" s="171">
        <v>7.64</v>
      </c>
      <c r="F117" s="172">
        <v>7.52</v>
      </c>
      <c r="G117" s="173">
        <v>1.4</v>
      </c>
      <c r="H117" s="174"/>
      <c r="I117" s="175">
        <v>2</v>
      </c>
      <c r="J117" s="176">
        <v>2</v>
      </c>
      <c r="K117" s="176">
        <v>0</v>
      </c>
      <c r="L117" s="176">
        <v>0</v>
      </c>
      <c r="M117" s="176">
        <v>0</v>
      </c>
      <c r="N117" s="176">
        <v>0</v>
      </c>
      <c r="O117" s="176">
        <v>0</v>
      </c>
      <c r="P117" s="176">
        <v>0</v>
      </c>
      <c r="Q117" s="177">
        <f t="shared" si="6"/>
        <v>2</v>
      </c>
      <c r="R117" s="177">
        <f t="shared" si="7"/>
        <v>2</v>
      </c>
      <c r="S117" s="171">
        <v>0.95</v>
      </c>
      <c r="T117" s="172">
        <v>0.1</v>
      </c>
      <c r="U117" s="171">
        <v>0</v>
      </c>
      <c r="V117" s="172">
        <v>0</v>
      </c>
      <c r="W117" s="179"/>
    </row>
    <row r="118" spans="1:23">
      <c r="A118" s="425"/>
      <c r="B118" s="169">
        <v>37081</v>
      </c>
      <c r="C118" s="170">
        <v>37081</v>
      </c>
      <c r="D118" s="170">
        <v>37088</v>
      </c>
      <c r="E118" s="171">
        <v>7.36</v>
      </c>
      <c r="F118" s="172">
        <v>7.49</v>
      </c>
      <c r="G118" s="173">
        <v>1.6</v>
      </c>
      <c r="H118" s="174"/>
      <c r="I118" s="175">
        <v>5</v>
      </c>
      <c r="J118" s="176">
        <v>7</v>
      </c>
      <c r="K118" s="176">
        <v>0</v>
      </c>
      <c r="L118" s="176">
        <v>4</v>
      </c>
      <c r="M118" s="176">
        <v>0</v>
      </c>
      <c r="N118" s="176">
        <v>4</v>
      </c>
      <c r="O118" s="176">
        <v>0</v>
      </c>
      <c r="P118" s="176">
        <v>2</v>
      </c>
      <c r="Q118" s="177">
        <f t="shared" si="6"/>
        <v>5</v>
      </c>
      <c r="R118" s="177">
        <f t="shared" si="7"/>
        <v>17</v>
      </c>
      <c r="S118" s="171">
        <v>1.1000000000000001</v>
      </c>
      <c r="T118" s="172">
        <v>0.35</v>
      </c>
      <c r="U118" s="171">
        <v>0</v>
      </c>
      <c r="V118" s="172">
        <v>0.1</v>
      </c>
      <c r="W118" s="179"/>
    </row>
    <row r="119" spans="1:23">
      <c r="A119" s="425"/>
      <c r="B119" s="169">
        <v>37088</v>
      </c>
      <c r="C119" s="170">
        <v>37088</v>
      </c>
      <c r="D119" s="170">
        <v>37095</v>
      </c>
      <c r="E119" s="171">
        <v>7.39</v>
      </c>
      <c r="F119" s="172">
        <v>7.43</v>
      </c>
      <c r="G119" s="173">
        <v>1.6</v>
      </c>
      <c r="H119" s="174"/>
      <c r="I119" s="175">
        <v>7</v>
      </c>
      <c r="J119" s="176">
        <v>10</v>
      </c>
      <c r="K119" s="176">
        <v>0</v>
      </c>
      <c r="L119" s="176">
        <v>4</v>
      </c>
      <c r="M119" s="176">
        <v>0</v>
      </c>
      <c r="N119" s="176">
        <v>5</v>
      </c>
      <c r="O119" s="176">
        <v>0</v>
      </c>
      <c r="P119" s="176">
        <v>3</v>
      </c>
      <c r="Q119" s="177">
        <f t="shared" si="6"/>
        <v>7</v>
      </c>
      <c r="R119" s="177">
        <f t="shared" si="7"/>
        <v>22</v>
      </c>
      <c r="S119" s="171">
        <v>1</v>
      </c>
      <c r="T119" s="172">
        <v>0.35</v>
      </c>
      <c r="U119" s="171">
        <v>0.1</v>
      </c>
      <c r="V119" s="172">
        <v>0.1</v>
      </c>
      <c r="W119" s="179"/>
    </row>
    <row r="120" spans="1:23">
      <c r="A120" s="425"/>
      <c r="B120" s="169">
        <v>37095</v>
      </c>
      <c r="C120" s="170">
        <v>37095</v>
      </c>
      <c r="D120" s="170">
        <v>37102</v>
      </c>
      <c r="E120" s="171">
        <v>7.39</v>
      </c>
      <c r="F120" s="172">
        <v>7.36</v>
      </c>
      <c r="G120" s="173">
        <v>2.1</v>
      </c>
      <c r="H120" s="174"/>
      <c r="I120" s="175">
        <v>13</v>
      </c>
      <c r="J120" s="176">
        <v>20</v>
      </c>
      <c r="K120" s="176">
        <v>1</v>
      </c>
      <c r="L120" s="176">
        <v>9</v>
      </c>
      <c r="M120" s="176">
        <v>0</v>
      </c>
      <c r="N120" s="176">
        <v>7</v>
      </c>
      <c r="O120" s="176">
        <v>0</v>
      </c>
      <c r="P120" s="176">
        <v>2</v>
      </c>
      <c r="Q120" s="177">
        <f t="shared" si="6"/>
        <v>14</v>
      </c>
      <c r="R120" s="177">
        <f t="shared" si="7"/>
        <v>38</v>
      </c>
      <c r="S120" s="171">
        <v>1</v>
      </c>
      <c r="T120" s="172">
        <v>0.2</v>
      </c>
      <c r="U120" s="171">
        <v>0.1</v>
      </c>
      <c r="V120" s="172">
        <v>0.1</v>
      </c>
      <c r="W120" s="179"/>
    </row>
    <row r="121" spans="1:23">
      <c r="A121" s="425"/>
      <c r="B121" s="169">
        <v>37103</v>
      </c>
      <c r="C121" s="170">
        <v>37103</v>
      </c>
      <c r="D121" s="170">
        <v>37110</v>
      </c>
      <c r="E121" s="171">
        <v>7.43</v>
      </c>
      <c r="F121" s="172">
        <v>7.24</v>
      </c>
      <c r="G121" s="173">
        <v>2</v>
      </c>
      <c r="H121" s="174"/>
      <c r="I121" s="175">
        <v>19</v>
      </c>
      <c r="J121" s="176">
        <v>22</v>
      </c>
      <c r="K121" s="176">
        <v>1</v>
      </c>
      <c r="L121" s="176">
        <v>1</v>
      </c>
      <c r="M121" s="176">
        <v>1</v>
      </c>
      <c r="N121" s="176">
        <v>1</v>
      </c>
      <c r="O121" s="176">
        <v>0</v>
      </c>
      <c r="P121" s="176">
        <v>0</v>
      </c>
      <c r="Q121" s="177">
        <f t="shared" si="6"/>
        <v>21</v>
      </c>
      <c r="R121" s="177">
        <f t="shared" si="7"/>
        <v>24</v>
      </c>
      <c r="S121" s="171">
        <v>1.05</v>
      </c>
      <c r="T121" s="172">
        <v>0.2</v>
      </c>
      <c r="U121" s="171">
        <v>0.1</v>
      </c>
      <c r="V121" s="172">
        <v>0.1</v>
      </c>
      <c r="W121" s="179"/>
    </row>
    <row r="122" spans="1:23">
      <c r="A122" s="425"/>
      <c r="B122" s="169">
        <v>37110</v>
      </c>
      <c r="C122" s="170">
        <v>37110</v>
      </c>
      <c r="D122" s="170">
        <v>37116</v>
      </c>
      <c r="E122" s="171">
        <v>7.33</v>
      </c>
      <c r="F122" s="172">
        <v>7.43</v>
      </c>
      <c r="G122" s="173">
        <v>2.4</v>
      </c>
      <c r="H122" s="174"/>
      <c r="I122" s="175">
        <v>34</v>
      </c>
      <c r="J122" s="176">
        <v>45</v>
      </c>
      <c r="K122" s="176">
        <v>3</v>
      </c>
      <c r="L122" s="176">
        <v>11</v>
      </c>
      <c r="M122" s="176">
        <v>1</v>
      </c>
      <c r="N122" s="176">
        <v>6</v>
      </c>
      <c r="O122" s="176">
        <v>0</v>
      </c>
      <c r="P122" s="176">
        <v>1</v>
      </c>
      <c r="Q122" s="177">
        <f t="shared" si="6"/>
        <v>38</v>
      </c>
      <c r="R122" s="177">
        <f t="shared" si="7"/>
        <v>63</v>
      </c>
      <c r="S122" s="171">
        <v>1</v>
      </c>
      <c r="T122" s="172">
        <v>0.2</v>
      </c>
      <c r="U122" s="171">
        <v>0.1</v>
      </c>
      <c r="V122" s="172">
        <v>0.15</v>
      </c>
      <c r="W122" s="179" t="s">
        <v>315</v>
      </c>
    </row>
    <row r="123" spans="1:23">
      <c r="A123" s="425"/>
      <c r="B123" s="169">
        <v>37116</v>
      </c>
      <c r="C123" s="170">
        <v>37116</v>
      </c>
      <c r="D123" s="170">
        <v>37123</v>
      </c>
      <c r="E123" s="171">
        <v>7.26</v>
      </c>
      <c r="F123" s="172">
        <v>7.21</v>
      </c>
      <c r="G123" s="173">
        <v>2.2000000000000002</v>
      </c>
      <c r="H123" s="174"/>
      <c r="I123" s="175">
        <v>40</v>
      </c>
      <c r="J123" s="176">
        <v>53</v>
      </c>
      <c r="K123" s="176">
        <v>4</v>
      </c>
      <c r="L123" s="176">
        <v>12</v>
      </c>
      <c r="M123" s="176">
        <v>0</v>
      </c>
      <c r="N123" s="176">
        <v>5</v>
      </c>
      <c r="O123" s="176">
        <v>0</v>
      </c>
      <c r="P123" s="176">
        <v>1</v>
      </c>
      <c r="Q123" s="177">
        <f t="shared" si="6"/>
        <v>44</v>
      </c>
      <c r="R123" s="177">
        <f t="shared" si="7"/>
        <v>71</v>
      </c>
      <c r="S123" s="171">
        <v>1.1000000000000001</v>
      </c>
      <c r="T123" s="172">
        <v>0.15</v>
      </c>
      <c r="U123" s="171">
        <v>0.1</v>
      </c>
      <c r="V123" s="172">
        <v>0.1</v>
      </c>
      <c r="W123" s="179"/>
    </row>
    <row r="124" spans="1:23">
      <c r="A124" s="425"/>
      <c r="B124" s="169">
        <v>37123</v>
      </c>
      <c r="C124" s="170">
        <v>37123</v>
      </c>
      <c r="D124" s="170">
        <v>37130</v>
      </c>
      <c r="E124" s="171">
        <v>7.19</v>
      </c>
      <c r="F124" s="172">
        <v>7.18</v>
      </c>
      <c r="G124" s="173">
        <v>2.4</v>
      </c>
      <c r="H124" s="174"/>
      <c r="I124" s="175">
        <v>43</v>
      </c>
      <c r="J124" s="176">
        <v>57</v>
      </c>
      <c r="K124" s="176">
        <v>6</v>
      </c>
      <c r="L124" s="176">
        <v>14</v>
      </c>
      <c r="M124" s="176">
        <v>0</v>
      </c>
      <c r="N124" s="176">
        <v>5</v>
      </c>
      <c r="O124" s="176">
        <v>0</v>
      </c>
      <c r="P124" s="176">
        <v>0</v>
      </c>
      <c r="Q124" s="177">
        <f t="shared" si="6"/>
        <v>49</v>
      </c>
      <c r="R124" s="177">
        <f t="shared" si="7"/>
        <v>76</v>
      </c>
      <c r="S124" s="171">
        <v>1.35</v>
      </c>
      <c r="T124" s="172">
        <v>0.15</v>
      </c>
      <c r="U124" s="171">
        <v>0.1</v>
      </c>
      <c r="V124" s="172">
        <v>0.1</v>
      </c>
      <c r="W124" s="179"/>
    </row>
    <row r="125" spans="1:23">
      <c r="A125" s="425"/>
      <c r="B125" s="169">
        <v>37131</v>
      </c>
      <c r="C125" s="170">
        <v>37131</v>
      </c>
      <c r="D125" s="170">
        <v>37138</v>
      </c>
      <c r="E125" s="171">
        <v>7.17</v>
      </c>
      <c r="F125" s="172">
        <v>7.11</v>
      </c>
      <c r="G125" s="173">
        <v>2.4</v>
      </c>
      <c r="H125" s="174"/>
      <c r="I125" s="175">
        <v>43</v>
      </c>
      <c r="J125" s="176">
        <v>53</v>
      </c>
      <c r="K125" s="176">
        <v>9</v>
      </c>
      <c r="L125" s="176">
        <v>15</v>
      </c>
      <c r="M125" s="176">
        <v>1</v>
      </c>
      <c r="N125" s="176">
        <v>4</v>
      </c>
      <c r="O125" s="176">
        <v>0</v>
      </c>
      <c r="P125" s="176">
        <v>0</v>
      </c>
      <c r="Q125" s="177">
        <f t="shared" si="6"/>
        <v>53</v>
      </c>
      <c r="R125" s="177">
        <f t="shared" si="7"/>
        <v>72</v>
      </c>
      <c r="S125" s="171">
        <v>1.1000000000000001</v>
      </c>
      <c r="T125" s="172">
        <v>0.2</v>
      </c>
      <c r="U125" s="171">
        <v>0.1</v>
      </c>
      <c r="V125" s="172">
        <v>0.1</v>
      </c>
      <c r="W125" s="179"/>
    </row>
    <row r="126" spans="1:23">
      <c r="A126" s="425"/>
      <c r="B126" s="169">
        <v>37138</v>
      </c>
      <c r="C126" s="170">
        <v>37138</v>
      </c>
      <c r="D126" s="170">
        <v>37145</v>
      </c>
      <c r="E126" s="171">
        <v>7.14</v>
      </c>
      <c r="F126" s="172">
        <v>7.26</v>
      </c>
      <c r="G126" s="173">
        <v>2.5</v>
      </c>
      <c r="H126" s="174"/>
      <c r="I126" s="175">
        <v>38</v>
      </c>
      <c r="J126" s="176">
        <v>41</v>
      </c>
      <c r="K126" s="176">
        <v>9</v>
      </c>
      <c r="L126" s="176">
        <v>11</v>
      </c>
      <c r="M126" s="176">
        <v>1</v>
      </c>
      <c r="N126" s="176">
        <v>2</v>
      </c>
      <c r="O126" s="176">
        <v>0</v>
      </c>
      <c r="P126" s="176">
        <v>0</v>
      </c>
      <c r="Q126" s="177">
        <f t="shared" si="6"/>
        <v>48</v>
      </c>
      <c r="R126" s="177">
        <f t="shared" si="7"/>
        <v>54</v>
      </c>
      <c r="S126" s="171">
        <v>1</v>
      </c>
      <c r="T126" s="172">
        <v>0.15</v>
      </c>
      <c r="U126" s="171">
        <v>0.1</v>
      </c>
      <c r="V126" s="172">
        <v>0.1</v>
      </c>
      <c r="W126" s="179"/>
    </row>
    <row r="127" spans="1:23">
      <c r="A127" s="425"/>
      <c r="B127" s="169">
        <v>37144</v>
      </c>
      <c r="C127" s="170">
        <v>37144</v>
      </c>
      <c r="D127" s="170">
        <v>37151</v>
      </c>
      <c r="E127" s="171">
        <v>7.25</v>
      </c>
      <c r="F127" s="172">
        <v>7.23</v>
      </c>
      <c r="G127" s="173">
        <v>2.6</v>
      </c>
      <c r="H127" s="174"/>
      <c r="I127" s="175">
        <v>35</v>
      </c>
      <c r="J127" s="176">
        <v>50</v>
      </c>
      <c r="K127" s="176">
        <v>9</v>
      </c>
      <c r="L127" s="176">
        <v>17</v>
      </c>
      <c r="M127" s="176">
        <v>1</v>
      </c>
      <c r="N127" s="176">
        <v>4</v>
      </c>
      <c r="O127" s="176">
        <v>1</v>
      </c>
      <c r="P127" s="176">
        <v>1</v>
      </c>
      <c r="Q127" s="177">
        <f t="shared" si="6"/>
        <v>46</v>
      </c>
      <c r="R127" s="177">
        <f t="shared" si="7"/>
        <v>72</v>
      </c>
      <c r="S127" s="171">
        <v>1.1000000000000001</v>
      </c>
      <c r="T127" s="172">
        <v>0.2</v>
      </c>
      <c r="U127" s="171">
        <v>0.1</v>
      </c>
      <c r="V127" s="172">
        <v>0.1</v>
      </c>
      <c r="W127" s="179"/>
    </row>
    <row r="128" spans="1:23">
      <c r="A128" s="425"/>
      <c r="B128" s="169">
        <v>37151</v>
      </c>
      <c r="C128" s="170">
        <v>37151</v>
      </c>
      <c r="D128" s="170">
        <v>37158</v>
      </c>
      <c r="E128" s="171">
        <v>7.19</v>
      </c>
      <c r="F128" s="172">
        <v>7.26</v>
      </c>
      <c r="G128" s="173">
        <v>3.1</v>
      </c>
      <c r="H128" s="174"/>
      <c r="I128" s="175">
        <v>37</v>
      </c>
      <c r="J128" s="176">
        <v>45</v>
      </c>
      <c r="K128" s="176">
        <v>10</v>
      </c>
      <c r="L128" s="176">
        <v>15</v>
      </c>
      <c r="M128" s="176">
        <v>1</v>
      </c>
      <c r="N128" s="176">
        <v>4</v>
      </c>
      <c r="O128" s="176">
        <v>0</v>
      </c>
      <c r="P128" s="176">
        <v>0</v>
      </c>
      <c r="Q128" s="177">
        <f t="shared" si="6"/>
        <v>48</v>
      </c>
      <c r="R128" s="177">
        <f t="shared" si="7"/>
        <v>64</v>
      </c>
      <c r="S128" s="171">
        <v>1</v>
      </c>
      <c r="T128" s="172">
        <v>0.15</v>
      </c>
      <c r="U128" s="171">
        <v>0.15</v>
      </c>
      <c r="V128" s="172">
        <v>0.1</v>
      </c>
      <c r="W128" s="179"/>
    </row>
    <row r="129" spans="1:23">
      <c r="A129" s="425"/>
      <c r="B129" s="169">
        <v>37158</v>
      </c>
      <c r="C129" s="170">
        <v>37158</v>
      </c>
      <c r="D129" s="170">
        <v>37165</v>
      </c>
      <c r="E129" s="171">
        <v>7.25</v>
      </c>
      <c r="F129" s="172">
        <v>7.34</v>
      </c>
      <c r="G129" s="173">
        <v>3.2</v>
      </c>
      <c r="H129" s="174"/>
      <c r="I129" s="175">
        <v>34</v>
      </c>
      <c r="J129" s="176">
        <v>47</v>
      </c>
      <c r="K129" s="176">
        <v>10</v>
      </c>
      <c r="L129" s="176">
        <v>17</v>
      </c>
      <c r="M129" s="176">
        <v>1</v>
      </c>
      <c r="N129" s="176">
        <v>4</v>
      </c>
      <c r="O129" s="176">
        <v>0</v>
      </c>
      <c r="P129" s="176">
        <v>1</v>
      </c>
      <c r="Q129" s="177">
        <f t="shared" si="6"/>
        <v>45</v>
      </c>
      <c r="R129" s="177">
        <f t="shared" si="7"/>
        <v>69</v>
      </c>
      <c r="S129" s="171">
        <v>1.1499999999999999</v>
      </c>
      <c r="T129" s="172">
        <v>0.15</v>
      </c>
      <c r="U129" s="171">
        <v>0.1</v>
      </c>
      <c r="V129" s="172">
        <v>0.1</v>
      </c>
      <c r="W129" s="179"/>
    </row>
    <row r="130" spans="1:23">
      <c r="A130" s="425"/>
      <c r="B130" s="169">
        <v>37166</v>
      </c>
      <c r="C130" s="170">
        <v>37166</v>
      </c>
      <c r="D130" s="170">
        <v>37173</v>
      </c>
      <c r="E130" s="171">
        <v>7.33</v>
      </c>
      <c r="F130" s="172">
        <v>7.42</v>
      </c>
      <c r="G130" s="173">
        <v>3.2</v>
      </c>
      <c r="H130" s="174"/>
      <c r="I130" s="175">
        <v>34</v>
      </c>
      <c r="J130" s="176">
        <v>56</v>
      </c>
      <c r="K130" s="176">
        <v>11</v>
      </c>
      <c r="L130" s="176">
        <v>21</v>
      </c>
      <c r="M130" s="176">
        <v>1</v>
      </c>
      <c r="N130" s="176">
        <v>6</v>
      </c>
      <c r="O130" s="176">
        <v>0</v>
      </c>
      <c r="P130" s="176">
        <v>0</v>
      </c>
      <c r="Q130" s="177">
        <f t="shared" si="6"/>
        <v>46</v>
      </c>
      <c r="R130" s="177">
        <f t="shared" si="7"/>
        <v>83</v>
      </c>
      <c r="S130" s="171">
        <v>1.05</v>
      </c>
      <c r="T130" s="172">
        <v>0.1</v>
      </c>
      <c r="U130" s="171">
        <v>0.15</v>
      </c>
      <c r="V130" s="172">
        <v>0.1</v>
      </c>
      <c r="W130" s="179"/>
    </row>
    <row r="131" spans="1:23">
      <c r="A131" s="425"/>
      <c r="B131" s="169">
        <v>37173</v>
      </c>
      <c r="C131" s="170">
        <v>37173</v>
      </c>
      <c r="D131" s="170">
        <v>37181</v>
      </c>
      <c r="E131" s="171">
        <v>7.26</v>
      </c>
      <c r="F131" s="172">
        <v>7.23</v>
      </c>
      <c r="G131" s="173">
        <v>3.2</v>
      </c>
      <c r="H131" s="174"/>
      <c r="I131" s="175">
        <v>32</v>
      </c>
      <c r="J131" s="176">
        <v>52</v>
      </c>
      <c r="K131" s="176">
        <v>10</v>
      </c>
      <c r="L131" s="176">
        <v>20</v>
      </c>
      <c r="M131" s="176">
        <v>1</v>
      </c>
      <c r="N131" s="176">
        <v>5</v>
      </c>
      <c r="O131" s="176">
        <v>0</v>
      </c>
      <c r="P131" s="176">
        <v>0</v>
      </c>
      <c r="Q131" s="177">
        <f t="shared" si="6"/>
        <v>43</v>
      </c>
      <c r="R131" s="177">
        <f t="shared" si="7"/>
        <v>77</v>
      </c>
      <c r="S131" s="171">
        <v>1</v>
      </c>
      <c r="T131" s="172">
        <v>0.05</v>
      </c>
      <c r="U131" s="171">
        <v>0.15</v>
      </c>
      <c r="V131" s="172">
        <v>0.1</v>
      </c>
      <c r="W131" s="179" t="s">
        <v>316</v>
      </c>
    </row>
    <row r="132" spans="1:23">
      <c r="A132" s="425"/>
      <c r="B132" s="169">
        <v>37179</v>
      </c>
      <c r="C132" s="170">
        <v>37179</v>
      </c>
      <c r="D132" s="170">
        <v>37186</v>
      </c>
      <c r="E132" s="171">
        <v>7.3</v>
      </c>
      <c r="F132" s="172">
        <v>7.04</v>
      </c>
      <c r="G132" s="173">
        <v>2.8</v>
      </c>
      <c r="H132" s="174"/>
      <c r="I132" s="175">
        <v>29</v>
      </c>
      <c r="J132" s="176">
        <v>49</v>
      </c>
      <c r="K132" s="176">
        <v>9</v>
      </c>
      <c r="L132" s="176">
        <v>18</v>
      </c>
      <c r="M132" s="176">
        <v>1</v>
      </c>
      <c r="N132" s="176">
        <v>4</v>
      </c>
      <c r="O132" s="176">
        <v>0</v>
      </c>
      <c r="P132" s="176">
        <v>0</v>
      </c>
      <c r="Q132" s="177">
        <f t="shared" ref="Q132:Q142" si="8">I132+K132+M132+O132</f>
        <v>39</v>
      </c>
      <c r="R132" s="177">
        <f t="shared" ref="R132:R142" si="9">J132+L132+N132+P132</f>
        <v>71</v>
      </c>
      <c r="S132" s="171">
        <v>1.1000000000000001</v>
      </c>
      <c r="T132" s="172">
        <v>0.1</v>
      </c>
      <c r="U132" s="171">
        <v>0.1</v>
      </c>
      <c r="V132" s="172">
        <v>0.1</v>
      </c>
      <c r="W132" s="179"/>
    </row>
    <row r="133" spans="1:23">
      <c r="A133" s="425"/>
      <c r="B133" s="169">
        <v>37186</v>
      </c>
      <c r="C133" s="170">
        <v>37186</v>
      </c>
      <c r="D133" s="170">
        <v>37193</v>
      </c>
      <c r="E133" s="171">
        <v>7.31</v>
      </c>
      <c r="F133" s="172">
        <v>7.43</v>
      </c>
      <c r="G133" s="173">
        <v>2.7</v>
      </c>
      <c r="H133" s="174"/>
      <c r="I133" s="175">
        <v>26</v>
      </c>
      <c r="J133" s="176">
        <v>34</v>
      </c>
      <c r="K133" s="176">
        <v>9</v>
      </c>
      <c r="L133" s="176">
        <v>15</v>
      </c>
      <c r="M133" s="176">
        <v>1</v>
      </c>
      <c r="N133" s="176">
        <v>5</v>
      </c>
      <c r="O133" s="176">
        <v>0</v>
      </c>
      <c r="P133" s="176">
        <v>1</v>
      </c>
      <c r="Q133" s="177">
        <f t="shared" si="8"/>
        <v>36</v>
      </c>
      <c r="R133" s="177">
        <f t="shared" si="9"/>
        <v>55</v>
      </c>
      <c r="S133" s="171">
        <v>1.1000000000000001</v>
      </c>
      <c r="T133" s="172">
        <v>0.15</v>
      </c>
      <c r="U133" s="171">
        <v>0.15</v>
      </c>
      <c r="V133" s="172">
        <v>0.15</v>
      </c>
      <c r="W133" s="179"/>
    </row>
    <row r="134" spans="1:23">
      <c r="A134" s="425"/>
      <c r="B134" s="169">
        <v>37193</v>
      </c>
      <c r="C134" s="170">
        <v>37193</v>
      </c>
      <c r="D134" s="170">
        <v>37200</v>
      </c>
      <c r="E134" s="171">
        <v>7.18</v>
      </c>
      <c r="F134" s="172">
        <v>7.33</v>
      </c>
      <c r="G134" s="173">
        <v>2.9</v>
      </c>
      <c r="H134" s="174"/>
      <c r="I134" s="175">
        <v>25</v>
      </c>
      <c r="J134" s="176">
        <v>43</v>
      </c>
      <c r="K134" s="176">
        <v>9</v>
      </c>
      <c r="L134" s="176">
        <v>17</v>
      </c>
      <c r="M134" s="176">
        <v>1</v>
      </c>
      <c r="N134" s="176">
        <v>4</v>
      </c>
      <c r="O134" s="176">
        <v>0</v>
      </c>
      <c r="P134" s="176">
        <v>0</v>
      </c>
      <c r="Q134" s="177">
        <f t="shared" si="8"/>
        <v>35</v>
      </c>
      <c r="R134" s="177">
        <f t="shared" si="9"/>
        <v>64</v>
      </c>
      <c r="S134" s="171">
        <v>1.1000000000000001</v>
      </c>
      <c r="T134" s="172">
        <v>0.05</v>
      </c>
      <c r="U134" s="171">
        <v>0.1</v>
      </c>
      <c r="V134" s="172">
        <v>0.15</v>
      </c>
      <c r="W134" s="179"/>
    </row>
    <row r="135" spans="1:23">
      <c r="A135" s="425"/>
      <c r="B135" s="169">
        <v>37200</v>
      </c>
      <c r="C135" s="170">
        <v>37200</v>
      </c>
      <c r="D135" s="170">
        <v>37207</v>
      </c>
      <c r="E135" s="171">
        <v>7.2</v>
      </c>
      <c r="F135" s="172">
        <v>7.35</v>
      </c>
      <c r="G135" s="173">
        <v>3.2</v>
      </c>
      <c r="H135" s="174"/>
      <c r="I135" s="175">
        <v>23</v>
      </c>
      <c r="J135" s="176">
        <v>48</v>
      </c>
      <c r="K135" s="176">
        <v>8</v>
      </c>
      <c r="L135" s="176">
        <v>19</v>
      </c>
      <c r="M135" s="176">
        <v>1</v>
      </c>
      <c r="N135" s="176">
        <v>5</v>
      </c>
      <c r="O135" s="176">
        <v>0</v>
      </c>
      <c r="P135" s="176">
        <v>1</v>
      </c>
      <c r="Q135" s="177">
        <f t="shared" si="8"/>
        <v>32</v>
      </c>
      <c r="R135" s="177">
        <f t="shared" si="9"/>
        <v>73</v>
      </c>
      <c r="S135" s="171">
        <v>1.05</v>
      </c>
      <c r="T135" s="172">
        <v>0.1</v>
      </c>
      <c r="U135" s="171">
        <v>0.15</v>
      </c>
      <c r="V135" s="172">
        <v>0.1</v>
      </c>
      <c r="W135" s="179"/>
    </row>
    <row r="136" spans="1:23">
      <c r="A136" s="425"/>
      <c r="B136" s="169">
        <v>37207</v>
      </c>
      <c r="C136" s="170">
        <v>37207</v>
      </c>
      <c r="D136" s="170">
        <v>37214</v>
      </c>
      <c r="E136" s="171">
        <v>7.08</v>
      </c>
      <c r="F136" s="172">
        <v>7.32</v>
      </c>
      <c r="G136" s="173">
        <v>3.2</v>
      </c>
      <c r="H136" s="174"/>
      <c r="I136" s="175">
        <v>22</v>
      </c>
      <c r="J136" s="176">
        <v>44</v>
      </c>
      <c r="K136" s="176">
        <v>8</v>
      </c>
      <c r="L136" s="176">
        <v>18</v>
      </c>
      <c r="M136" s="176">
        <v>1</v>
      </c>
      <c r="N136" s="176">
        <v>4</v>
      </c>
      <c r="O136" s="176">
        <v>0</v>
      </c>
      <c r="P136" s="176">
        <v>0</v>
      </c>
      <c r="Q136" s="177">
        <f t="shared" si="8"/>
        <v>31</v>
      </c>
      <c r="R136" s="177">
        <f t="shared" si="9"/>
        <v>66</v>
      </c>
      <c r="S136" s="171">
        <v>1.1499999999999999</v>
      </c>
      <c r="T136" s="172">
        <v>0.05</v>
      </c>
      <c r="U136" s="171">
        <v>0.15</v>
      </c>
      <c r="V136" s="172">
        <v>0.1</v>
      </c>
      <c r="W136" s="179"/>
    </row>
    <row r="137" spans="1:23">
      <c r="A137" s="425"/>
      <c r="B137" s="169">
        <v>37214</v>
      </c>
      <c r="C137" s="170">
        <v>37214</v>
      </c>
      <c r="D137" s="170">
        <v>37221</v>
      </c>
      <c r="E137" s="171">
        <v>7.33</v>
      </c>
      <c r="F137" s="172">
        <v>7.3</v>
      </c>
      <c r="G137" s="173">
        <v>3.6</v>
      </c>
      <c r="H137" s="174"/>
      <c r="I137" s="175">
        <v>21</v>
      </c>
      <c r="J137" s="176">
        <v>44</v>
      </c>
      <c r="K137" s="176">
        <v>8</v>
      </c>
      <c r="L137" s="176">
        <v>18</v>
      </c>
      <c r="M137" s="176">
        <v>1</v>
      </c>
      <c r="N137" s="176">
        <v>4</v>
      </c>
      <c r="O137" s="176">
        <v>0</v>
      </c>
      <c r="P137" s="176">
        <v>0</v>
      </c>
      <c r="Q137" s="177">
        <f t="shared" si="8"/>
        <v>30</v>
      </c>
      <c r="R137" s="177">
        <f t="shared" si="9"/>
        <v>66</v>
      </c>
      <c r="S137" s="171">
        <v>1.05</v>
      </c>
      <c r="T137" s="172">
        <v>0.05</v>
      </c>
      <c r="U137" s="171">
        <v>0.15</v>
      </c>
      <c r="V137" s="172">
        <v>0.1</v>
      </c>
      <c r="W137" s="179"/>
    </row>
    <row r="138" spans="1:23">
      <c r="A138" s="425"/>
      <c r="B138" s="169">
        <v>37221</v>
      </c>
      <c r="C138" s="170">
        <v>37221</v>
      </c>
      <c r="D138" s="170">
        <v>37228</v>
      </c>
      <c r="E138" s="171">
        <v>7.43</v>
      </c>
      <c r="F138" s="172">
        <v>7.58</v>
      </c>
      <c r="G138" s="173">
        <v>4.4000000000000004</v>
      </c>
      <c r="H138" s="174"/>
      <c r="I138" s="175">
        <v>18</v>
      </c>
      <c r="J138" s="176">
        <v>76</v>
      </c>
      <c r="K138" s="176">
        <v>6</v>
      </c>
      <c r="L138" s="176">
        <v>22</v>
      </c>
      <c r="M138" s="176">
        <v>1</v>
      </c>
      <c r="N138" s="176">
        <v>4</v>
      </c>
      <c r="O138" s="176">
        <v>0</v>
      </c>
      <c r="P138" s="176">
        <v>0</v>
      </c>
      <c r="Q138" s="177">
        <f t="shared" si="8"/>
        <v>25</v>
      </c>
      <c r="R138" s="177">
        <f t="shared" si="9"/>
        <v>102</v>
      </c>
      <c r="S138" s="171">
        <v>1.1499999999999999</v>
      </c>
      <c r="T138" s="172">
        <v>0</v>
      </c>
      <c r="U138" s="171">
        <v>0.25</v>
      </c>
      <c r="V138" s="172">
        <v>0.15</v>
      </c>
      <c r="W138" s="179"/>
    </row>
    <row r="139" spans="1:23">
      <c r="A139" s="425"/>
      <c r="B139" s="169">
        <v>37229</v>
      </c>
      <c r="C139" s="170">
        <v>37229</v>
      </c>
      <c r="D139" s="170">
        <v>37236</v>
      </c>
      <c r="E139" s="171">
        <v>7.14</v>
      </c>
      <c r="F139" s="172">
        <v>7.31</v>
      </c>
      <c r="G139" s="173">
        <v>4.0999999999999996</v>
      </c>
      <c r="H139" s="174"/>
      <c r="I139" s="175">
        <v>19</v>
      </c>
      <c r="J139" s="176">
        <v>53</v>
      </c>
      <c r="K139" s="176">
        <v>6</v>
      </c>
      <c r="L139" s="176">
        <v>19</v>
      </c>
      <c r="M139" s="176">
        <v>2</v>
      </c>
      <c r="N139" s="176">
        <v>4</v>
      </c>
      <c r="O139" s="176">
        <v>0</v>
      </c>
      <c r="P139" s="176">
        <v>0</v>
      </c>
      <c r="Q139" s="177">
        <f t="shared" si="8"/>
        <v>27</v>
      </c>
      <c r="R139" s="177">
        <f t="shared" si="9"/>
        <v>76</v>
      </c>
      <c r="S139" s="171">
        <v>1.2</v>
      </c>
      <c r="T139" s="172">
        <v>0</v>
      </c>
      <c r="U139" s="171">
        <v>0.3</v>
      </c>
      <c r="V139" s="172">
        <v>0.1</v>
      </c>
      <c r="W139" s="179"/>
    </row>
    <row r="140" spans="1:23">
      <c r="A140" s="425"/>
      <c r="B140" s="169">
        <v>37235</v>
      </c>
      <c r="C140" s="170">
        <v>37235</v>
      </c>
      <c r="D140" s="170">
        <v>37242</v>
      </c>
      <c r="E140" s="171">
        <v>7.33</v>
      </c>
      <c r="F140" s="172">
        <v>7.25</v>
      </c>
      <c r="G140" s="173">
        <v>4.3</v>
      </c>
      <c r="H140" s="174"/>
      <c r="I140" s="175">
        <v>19</v>
      </c>
      <c r="J140" s="176">
        <v>62</v>
      </c>
      <c r="K140" s="176">
        <v>7</v>
      </c>
      <c r="L140" s="176">
        <v>21</v>
      </c>
      <c r="M140" s="176">
        <v>2</v>
      </c>
      <c r="N140" s="176">
        <v>4</v>
      </c>
      <c r="O140" s="176">
        <v>0</v>
      </c>
      <c r="P140" s="176">
        <v>0</v>
      </c>
      <c r="Q140" s="177">
        <f t="shared" si="8"/>
        <v>28</v>
      </c>
      <c r="R140" s="177">
        <f t="shared" si="9"/>
        <v>87</v>
      </c>
      <c r="S140" s="171">
        <v>1.2</v>
      </c>
      <c r="T140" s="172">
        <v>0</v>
      </c>
      <c r="U140" s="171">
        <v>0.35</v>
      </c>
      <c r="V140" s="172">
        <v>0.15</v>
      </c>
      <c r="W140" s="179"/>
    </row>
    <row r="141" spans="1:23">
      <c r="A141" s="425"/>
      <c r="B141" s="169">
        <v>37242</v>
      </c>
      <c r="C141" s="170">
        <v>37242</v>
      </c>
      <c r="D141" s="170">
        <v>37249</v>
      </c>
      <c r="E141" s="171">
        <v>7.3</v>
      </c>
      <c r="F141" s="172">
        <v>7.36</v>
      </c>
      <c r="G141" s="173">
        <v>4.4000000000000004</v>
      </c>
      <c r="H141" s="174"/>
      <c r="I141" s="175">
        <v>20</v>
      </c>
      <c r="J141" s="176">
        <v>55</v>
      </c>
      <c r="K141" s="176">
        <v>8</v>
      </c>
      <c r="L141" s="176">
        <v>21</v>
      </c>
      <c r="M141" s="176">
        <v>2</v>
      </c>
      <c r="N141" s="176">
        <v>4</v>
      </c>
      <c r="O141" s="176">
        <v>0</v>
      </c>
      <c r="P141" s="176">
        <v>0</v>
      </c>
      <c r="Q141" s="177">
        <f t="shared" si="8"/>
        <v>30</v>
      </c>
      <c r="R141" s="177">
        <f t="shared" si="9"/>
        <v>80</v>
      </c>
      <c r="S141" s="171">
        <v>1.1499999999999999</v>
      </c>
      <c r="T141" s="172">
        <v>0</v>
      </c>
      <c r="U141" s="171">
        <v>0.35</v>
      </c>
      <c r="V141" s="172">
        <v>0.15</v>
      </c>
      <c r="W141" s="179"/>
    </row>
    <row r="142" spans="1:23">
      <c r="A142" s="425"/>
      <c r="B142" s="169">
        <v>37249</v>
      </c>
      <c r="C142" s="170">
        <v>37249</v>
      </c>
      <c r="D142" s="170">
        <v>37256</v>
      </c>
      <c r="E142" s="171">
        <v>7.3</v>
      </c>
      <c r="F142" s="172">
        <v>6.94</v>
      </c>
      <c r="G142" s="173"/>
      <c r="H142" s="174"/>
      <c r="I142" s="175">
        <v>19</v>
      </c>
      <c r="J142" s="176">
        <v>59</v>
      </c>
      <c r="K142" s="176">
        <v>7</v>
      </c>
      <c r="L142" s="176">
        <v>21</v>
      </c>
      <c r="M142" s="176">
        <v>2</v>
      </c>
      <c r="N142" s="176">
        <v>4</v>
      </c>
      <c r="O142" s="176">
        <v>0</v>
      </c>
      <c r="P142" s="176">
        <v>0</v>
      </c>
      <c r="Q142" s="177">
        <f t="shared" si="8"/>
        <v>28</v>
      </c>
      <c r="R142" s="177">
        <f t="shared" si="9"/>
        <v>84</v>
      </c>
      <c r="S142" s="171">
        <v>1.1499999999999999</v>
      </c>
      <c r="T142" s="172">
        <v>0</v>
      </c>
      <c r="U142" s="171">
        <v>0.35</v>
      </c>
      <c r="V142" s="172">
        <v>0.2</v>
      </c>
      <c r="W142" s="179"/>
    </row>
    <row r="143" spans="1:23">
      <c r="A143" s="180" t="s">
        <v>261</v>
      </c>
      <c r="B143" s="181"/>
      <c r="C143" s="182"/>
      <c r="D143" s="182"/>
      <c r="E143" s="183"/>
      <c r="F143" s="184"/>
      <c r="G143" s="185"/>
      <c r="H143" s="186"/>
      <c r="I143" s="187"/>
      <c r="J143" s="188"/>
      <c r="K143" s="188"/>
      <c r="L143" s="188"/>
      <c r="M143" s="188"/>
      <c r="N143" s="188"/>
      <c r="O143" s="188"/>
      <c r="P143" s="188"/>
      <c r="Q143" s="188"/>
      <c r="R143" s="188"/>
      <c r="S143" s="183"/>
      <c r="T143" s="184"/>
      <c r="U143" s="183"/>
      <c r="V143" s="184"/>
      <c r="W143" s="179"/>
    </row>
    <row r="144" spans="1:23">
      <c r="A144" s="424"/>
      <c r="B144" s="189"/>
      <c r="C144" s="189"/>
      <c r="D144" s="190" t="s">
        <v>262</v>
      </c>
      <c r="E144" s="191">
        <f t="shared" ref="E144:V144" si="10">AVERAGE(E4:E143)</f>
        <v>7.2101438848920854</v>
      </c>
      <c r="F144" s="192">
        <f t="shared" si="10"/>
        <v>7.2369343065693448</v>
      </c>
      <c r="G144" s="164">
        <f t="shared" si="10"/>
        <v>3.8343065693430662</v>
      </c>
      <c r="H144" s="165" t="e">
        <f t="shared" si="10"/>
        <v>#DIV/0!</v>
      </c>
      <c r="I144" s="164">
        <f t="shared" si="10"/>
        <v>22.820143884892087</v>
      </c>
      <c r="J144" s="193">
        <f t="shared" si="10"/>
        <v>42.050724637681157</v>
      </c>
      <c r="K144" s="193">
        <f t="shared" si="10"/>
        <v>8.3669064748201443</v>
      </c>
      <c r="L144" s="193">
        <f t="shared" si="10"/>
        <v>19.5</v>
      </c>
      <c r="M144" s="193">
        <f t="shared" si="10"/>
        <v>1.5107913669064748</v>
      </c>
      <c r="N144" s="193">
        <f t="shared" si="10"/>
        <v>5.2391304347826084</v>
      </c>
      <c r="O144" s="193">
        <f t="shared" si="10"/>
        <v>7.1942446043165471E-3</v>
      </c>
      <c r="P144" s="193">
        <f t="shared" si="10"/>
        <v>0.66666666666666663</v>
      </c>
      <c r="Q144" s="193">
        <f t="shared" si="10"/>
        <v>32.705035971223019</v>
      </c>
      <c r="R144" s="193">
        <f t="shared" si="10"/>
        <v>66.97122302158273</v>
      </c>
      <c r="S144" s="191">
        <f t="shared" si="10"/>
        <v>1.0870503597122301</v>
      </c>
      <c r="T144" s="192">
        <f t="shared" si="10"/>
        <v>0.13695652173913042</v>
      </c>
      <c r="U144" s="191">
        <f t="shared" si="10"/>
        <v>0.16956521739130445</v>
      </c>
      <c r="V144" s="192">
        <f t="shared" si="10"/>
        <v>5.5109489051094869E-2</v>
      </c>
      <c r="W144" s="179"/>
    </row>
    <row r="145" spans="1:23">
      <c r="A145" s="179"/>
      <c r="B145" s="143"/>
      <c r="C145" s="143"/>
      <c r="D145" s="194" t="s">
        <v>317</v>
      </c>
      <c r="E145" s="195"/>
      <c r="F145" s="196">
        <f>ABS(E144-F144)/MAX(E144:F144)</f>
        <v>3.7019020129753495E-3</v>
      </c>
      <c r="G145" s="195"/>
      <c r="H145" s="196" t="e">
        <f>ABS(G144-H144)/MAX(G144:H144)</f>
        <v>#DIV/0!</v>
      </c>
      <c r="I145" s="195"/>
      <c r="J145" s="196">
        <f>ABS(I144-J144)/MAX(I144:J144)</f>
        <v>0.45731865309062414</v>
      </c>
      <c r="K145" s="196"/>
      <c r="L145" s="196">
        <f>ABS(K144-L144)/MAX(K144:L144)</f>
        <v>0.57092787308614645</v>
      </c>
      <c r="M145" s="196"/>
      <c r="N145" s="196">
        <f>ABS(M144-N144)/MAX(M144:N144)</f>
        <v>0.71163318308009194</v>
      </c>
      <c r="O145" s="196"/>
      <c r="P145" s="196">
        <f>ABS(O144-P144)/MAX(O144:P144)</f>
        <v>0.98920863309352525</v>
      </c>
      <c r="Q145" s="196"/>
      <c r="R145" s="196">
        <f>ABS(Q144-R144)/MAX(Q144:R144)</f>
        <v>0.51165538725964121</v>
      </c>
      <c r="S145" s="195"/>
      <c r="T145" s="196">
        <f>ABS(S144-T144)/MAX(S144:T144)</f>
        <v>0.87401087675884093</v>
      </c>
      <c r="U145" s="195"/>
      <c r="V145" s="196">
        <f>ABS(U144-V144)/MAX(U144:V144)</f>
        <v>0.67499532098072279</v>
      </c>
      <c r="W145" s="179"/>
    </row>
    <row r="146" spans="1:23">
      <c r="A146" s="426"/>
      <c r="B146" s="426"/>
      <c r="C146" s="426"/>
      <c r="D146" s="426"/>
      <c r="E146" s="426"/>
      <c r="F146" s="426"/>
      <c r="G146" s="426"/>
      <c r="H146" s="426"/>
      <c r="I146" s="426"/>
      <c r="J146" s="426"/>
      <c r="K146" s="426"/>
      <c r="L146" s="426"/>
      <c r="M146" s="426"/>
      <c r="N146" s="426"/>
      <c r="O146" s="426"/>
      <c r="P146" s="426"/>
      <c r="Q146" s="426"/>
      <c r="R146" s="426"/>
      <c r="S146" s="426"/>
      <c r="T146" s="426"/>
      <c r="U146" s="426"/>
      <c r="V146" s="426"/>
      <c r="W146" s="423"/>
    </row>
    <row r="147" spans="1:23">
      <c r="A147" s="423"/>
      <c r="B147" s="423"/>
      <c r="C147" s="423"/>
      <c r="D147" s="194" t="s">
        <v>268</v>
      </c>
      <c r="E147" s="143">
        <f>COUNT(E93:E141)</f>
        <v>49</v>
      </c>
      <c r="F147" s="143">
        <f>COUNT(F93:F141)</f>
        <v>49</v>
      </c>
      <c r="G147" s="143">
        <f>COUNT(G93:G141)</f>
        <v>49</v>
      </c>
      <c r="H147" s="423"/>
      <c r="I147" s="143">
        <f t="shared" ref="I147:V147" si="11">COUNT(I93:I141)</f>
        <v>49</v>
      </c>
      <c r="J147" s="143">
        <f t="shared" si="11"/>
        <v>49</v>
      </c>
      <c r="K147" s="143">
        <f t="shared" si="11"/>
        <v>49</v>
      </c>
      <c r="L147" s="143">
        <f t="shared" si="11"/>
        <v>49</v>
      </c>
      <c r="M147" s="143">
        <f t="shared" si="11"/>
        <v>49</v>
      </c>
      <c r="N147" s="143">
        <f t="shared" si="11"/>
        <v>49</v>
      </c>
      <c r="O147" s="143">
        <f t="shared" si="11"/>
        <v>49</v>
      </c>
      <c r="P147" s="143">
        <f t="shared" si="11"/>
        <v>49</v>
      </c>
      <c r="Q147" s="143">
        <f t="shared" si="11"/>
        <v>49</v>
      </c>
      <c r="R147" s="143">
        <f t="shared" si="11"/>
        <v>49</v>
      </c>
      <c r="S147" s="143">
        <f t="shared" si="11"/>
        <v>49</v>
      </c>
      <c r="T147" s="143">
        <f t="shared" si="11"/>
        <v>49</v>
      </c>
      <c r="U147" s="143">
        <f t="shared" si="11"/>
        <v>48</v>
      </c>
      <c r="V147" s="143">
        <f t="shared" si="11"/>
        <v>49</v>
      </c>
      <c r="W147" s="197">
        <f>SUM(E147:V147)</f>
        <v>832</v>
      </c>
    </row>
    <row r="182" spans="5:5">
      <c r="E182" s="423"/>
    </row>
    <row r="183" spans="5:5">
      <c r="E183" s="423"/>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96"/>
  <sheetViews>
    <sheetView zoomScale="87" zoomScaleNormal="87" workbookViewId="0">
      <selection activeCell="W96" sqref="W96"/>
    </sheetView>
  </sheetViews>
  <sheetFormatPr baseColWidth="10" defaultColWidth="8.7109375" defaultRowHeight="16"/>
  <cols>
    <col min="1" max="1" width="1.7109375" style="144" customWidth="1"/>
    <col min="2" max="256" width="9.7109375" style="144" customWidth="1"/>
  </cols>
  <sheetData>
    <row r="1" spans="1:23" ht="23">
      <c r="A1" s="423"/>
      <c r="B1" s="145" t="s">
        <v>318</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36332</v>
      </c>
      <c r="C4" s="161">
        <v>36332</v>
      </c>
      <c r="D4" s="161">
        <v>36339</v>
      </c>
      <c r="E4" s="162">
        <v>6.96</v>
      </c>
      <c r="F4" s="163">
        <v>6.91</v>
      </c>
      <c r="G4" s="164">
        <v>5</v>
      </c>
      <c r="H4" s="165"/>
      <c r="I4" s="166">
        <v>55</v>
      </c>
      <c r="J4">
        <v>58</v>
      </c>
      <c r="K4">
        <v>17</v>
      </c>
      <c r="L4">
        <v>18</v>
      </c>
      <c r="M4">
        <v>2</v>
      </c>
      <c r="N4">
        <v>2</v>
      </c>
      <c r="O4">
        <v>0</v>
      </c>
      <c r="P4">
        <v>0</v>
      </c>
      <c r="Q4">
        <f t="shared" ref="Q4:Q25" si="0">I4+K4+M4+O4</f>
        <v>74</v>
      </c>
      <c r="R4">
        <f t="shared" ref="R4:R25" si="1">J4+L4+N4+P4</f>
        <v>78</v>
      </c>
      <c r="S4">
        <v>0.15</v>
      </c>
      <c r="T4">
        <v>0</v>
      </c>
      <c r="U4">
        <v>0.15</v>
      </c>
      <c r="V4" s="163">
        <v>0</v>
      </c>
      <c r="W4" s="179"/>
    </row>
    <row r="5" spans="1:23">
      <c r="A5"/>
      <c r="B5">
        <v>36339</v>
      </c>
      <c r="C5">
        <v>36339</v>
      </c>
      <c r="D5">
        <v>36346</v>
      </c>
      <c r="E5">
        <v>6.88</v>
      </c>
      <c r="F5">
        <v>7.1</v>
      </c>
      <c r="G5">
        <v>4.9000000000000004</v>
      </c>
      <c r="H5"/>
      <c r="I5">
        <v>43</v>
      </c>
      <c r="J5">
        <v>66</v>
      </c>
      <c r="K5">
        <v>14</v>
      </c>
      <c r="L5">
        <v>23</v>
      </c>
      <c r="M5">
        <v>2</v>
      </c>
      <c r="N5">
        <v>3</v>
      </c>
      <c r="O5">
        <v>0</v>
      </c>
      <c r="P5">
        <v>0</v>
      </c>
      <c r="Q5">
        <f t="shared" si="0"/>
        <v>59</v>
      </c>
      <c r="R5">
        <f t="shared" si="1"/>
        <v>92</v>
      </c>
      <c r="S5">
        <v>0.2</v>
      </c>
      <c r="T5">
        <v>0</v>
      </c>
      <c r="U5">
        <v>0.25</v>
      </c>
      <c r="V5">
        <v>0</v>
      </c>
      <c r="W5" s="179"/>
    </row>
    <row r="6" spans="1:23">
      <c r="A6"/>
      <c r="B6">
        <v>36346</v>
      </c>
      <c r="C6">
        <v>36346</v>
      </c>
      <c r="D6">
        <v>36353</v>
      </c>
      <c r="E6">
        <v>7.01</v>
      </c>
      <c r="F6">
        <v>6.96</v>
      </c>
      <c r="G6">
        <v>5</v>
      </c>
      <c r="H6"/>
      <c r="I6">
        <v>48</v>
      </c>
      <c r="J6">
        <v>64</v>
      </c>
      <c r="K6">
        <v>17</v>
      </c>
      <c r="L6">
        <v>17</v>
      </c>
      <c r="M6">
        <v>2</v>
      </c>
      <c r="N6">
        <v>2</v>
      </c>
      <c r="O6">
        <v>0</v>
      </c>
      <c r="P6">
        <v>0</v>
      </c>
      <c r="Q6">
        <f t="shared" si="0"/>
        <v>67</v>
      </c>
      <c r="R6">
        <f t="shared" si="1"/>
        <v>83</v>
      </c>
      <c r="S6">
        <v>0.1</v>
      </c>
      <c r="T6">
        <v>0</v>
      </c>
      <c r="U6">
        <v>0.25</v>
      </c>
      <c r="V6">
        <v>0</v>
      </c>
      <c r="W6" s="179"/>
    </row>
    <row r="7" spans="1:23">
      <c r="A7"/>
      <c r="B7">
        <v>36353</v>
      </c>
      <c r="C7">
        <v>36353</v>
      </c>
      <c r="D7">
        <v>36360</v>
      </c>
      <c r="E7">
        <v>6.92</v>
      </c>
      <c r="F7">
        <v>6.79</v>
      </c>
      <c r="G7">
        <v>5.0999999999999996</v>
      </c>
      <c r="H7"/>
      <c r="I7">
        <v>51</v>
      </c>
      <c r="J7">
        <v>64</v>
      </c>
      <c r="K7">
        <v>18</v>
      </c>
      <c r="L7">
        <v>21</v>
      </c>
      <c r="M7">
        <v>2</v>
      </c>
      <c r="N7">
        <v>3</v>
      </c>
      <c r="O7">
        <v>0</v>
      </c>
      <c r="P7">
        <v>0</v>
      </c>
      <c r="Q7">
        <f t="shared" si="0"/>
        <v>71</v>
      </c>
      <c r="R7">
        <f t="shared" si="1"/>
        <v>88</v>
      </c>
      <c r="S7">
        <v>0.15</v>
      </c>
      <c r="T7">
        <v>0</v>
      </c>
      <c r="U7">
        <v>0.2</v>
      </c>
      <c r="V7">
        <v>0</v>
      </c>
      <c r="W7" s="179"/>
    </row>
    <row r="8" spans="1:23">
      <c r="A8"/>
      <c r="B8">
        <v>36360</v>
      </c>
      <c r="C8">
        <v>36360</v>
      </c>
      <c r="D8">
        <v>36367</v>
      </c>
      <c r="E8">
        <v>6.94</v>
      </c>
      <c r="F8">
        <v>6.88</v>
      </c>
      <c r="G8">
        <v>5</v>
      </c>
      <c r="H8"/>
      <c r="I8">
        <v>52</v>
      </c>
      <c r="J8">
        <v>70</v>
      </c>
      <c r="K8">
        <v>19</v>
      </c>
      <c r="L8">
        <v>25</v>
      </c>
      <c r="M8">
        <v>2</v>
      </c>
      <c r="N8">
        <v>2</v>
      </c>
      <c r="O8">
        <v>0</v>
      </c>
      <c r="P8">
        <v>0</v>
      </c>
      <c r="Q8">
        <f t="shared" si="0"/>
        <v>73</v>
      </c>
      <c r="R8">
        <f t="shared" si="1"/>
        <v>97</v>
      </c>
      <c r="S8">
        <v>0.15</v>
      </c>
      <c r="T8">
        <v>0</v>
      </c>
      <c r="U8">
        <v>0.25</v>
      </c>
      <c r="V8">
        <v>0</v>
      </c>
      <c r="W8" s="179"/>
    </row>
    <row r="9" spans="1:23">
      <c r="A9"/>
      <c r="B9">
        <v>36367</v>
      </c>
      <c r="C9">
        <v>36367</v>
      </c>
      <c r="D9">
        <v>36375</v>
      </c>
      <c r="E9">
        <v>6.92</v>
      </c>
      <c r="F9">
        <v>6.79</v>
      </c>
      <c r="G9">
        <v>5.9</v>
      </c>
      <c r="H9"/>
      <c r="I9">
        <v>58</v>
      </c>
      <c r="J9">
        <v>67</v>
      </c>
      <c r="K9">
        <v>21</v>
      </c>
      <c r="L9">
        <v>23</v>
      </c>
      <c r="M9">
        <v>2</v>
      </c>
      <c r="N9">
        <v>2</v>
      </c>
      <c r="O9">
        <v>0</v>
      </c>
      <c r="P9">
        <v>0</v>
      </c>
      <c r="Q9">
        <f t="shared" si="0"/>
        <v>81</v>
      </c>
      <c r="R9">
        <f t="shared" si="1"/>
        <v>92</v>
      </c>
      <c r="S9">
        <v>0.05</v>
      </c>
      <c r="T9">
        <v>0</v>
      </c>
      <c r="U9">
        <v>0.3</v>
      </c>
      <c r="V9">
        <v>0</v>
      </c>
      <c r="W9" s="179"/>
    </row>
    <row r="10" spans="1:23">
      <c r="A10"/>
      <c r="B10">
        <v>36375</v>
      </c>
      <c r="C10">
        <v>36375</v>
      </c>
      <c r="D10">
        <v>36381</v>
      </c>
      <c r="E10">
        <v>6.78</v>
      </c>
      <c r="F10">
        <v>6.5</v>
      </c>
      <c r="G10">
        <v>5.4</v>
      </c>
      <c r="H10"/>
      <c r="I10">
        <v>47</v>
      </c>
      <c r="J10">
        <v>70</v>
      </c>
      <c r="K10">
        <v>19</v>
      </c>
      <c r="L10">
        <v>27</v>
      </c>
      <c r="M10">
        <v>2</v>
      </c>
      <c r="N10">
        <v>3</v>
      </c>
      <c r="O10">
        <v>0</v>
      </c>
      <c r="P10">
        <v>0</v>
      </c>
      <c r="Q10">
        <f t="shared" si="0"/>
        <v>68</v>
      </c>
      <c r="R10">
        <f t="shared" si="1"/>
        <v>100</v>
      </c>
      <c r="S10">
        <v>0.2</v>
      </c>
      <c r="T10">
        <v>0</v>
      </c>
      <c r="U10">
        <v>0.3</v>
      </c>
      <c r="V10">
        <v>0</v>
      </c>
      <c r="W10" s="179"/>
    </row>
    <row r="11" spans="1:23">
      <c r="A11"/>
      <c r="B11">
        <v>36381</v>
      </c>
      <c r="C11">
        <v>36381</v>
      </c>
      <c r="D11">
        <v>36388</v>
      </c>
      <c r="E11">
        <v>6.71</v>
      </c>
      <c r="F11">
        <v>6.6</v>
      </c>
      <c r="G11">
        <v>5.8</v>
      </c>
      <c r="H11"/>
      <c r="I11">
        <v>54</v>
      </c>
      <c r="J11">
        <v>76</v>
      </c>
      <c r="K11">
        <v>22</v>
      </c>
      <c r="L11">
        <v>30</v>
      </c>
      <c r="M11">
        <v>2</v>
      </c>
      <c r="N11">
        <v>3</v>
      </c>
      <c r="O11">
        <v>0</v>
      </c>
      <c r="P11">
        <v>0</v>
      </c>
      <c r="Q11">
        <f t="shared" si="0"/>
        <v>78</v>
      </c>
      <c r="R11">
        <f t="shared" si="1"/>
        <v>109</v>
      </c>
      <c r="S11">
        <v>0.05</v>
      </c>
      <c r="T11">
        <v>0</v>
      </c>
      <c r="U11">
        <v>0.4</v>
      </c>
      <c r="V11">
        <v>0</v>
      </c>
      <c r="W11" s="179"/>
    </row>
    <row r="12" spans="1:23">
      <c r="A12"/>
      <c r="B12">
        <v>36388</v>
      </c>
      <c r="C12">
        <v>36388</v>
      </c>
      <c r="D12">
        <v>36395</v>
      </c>
      <c r="E12">
        <v>6.62</v>
      </c>
      <c r="F12">
        <v>6.79</v>
      </c>
      <c r="G12">
        <v>5.7</v>
      </c>
      <c r="H12"/>
      <c r="I12">
        <v>63</v>
      </c>
      <c r="J12">
        <v>83</v>
      </c>
      <c r="K12">
        <v>26</v>
      </c>
      <c r="L12">
        <v>31</v>
      </c>
      <c r="M12">
        <v>3</v>
      </c>
      <c r="N12">
        <v>4</v>
      </c>
      <c r="O12">
        <v>0</v>
      </c>
      <c r="P12">
        <v>0</v>
      </c>
      <c r="Q12">
        <f t="shared" si="0"/>
        <v>92</v>
      </c>
      <c r="R12">
        <f t="shared" si="1"/>
        <v>118</v>
      </c>
      <c r="S12">
        <v>0.15</v>
      </c>
      <c r="T12">
        <v>0</v>
      </c>
      <c r="U12">
        <v>0.35</v>
      </c>
      <c r="V12">
        <v>0</v>
      </c>
      <c r="W12" s="179"/>
    </row>
    <row r="13" spans="1:23">
      <c r="A13"/>
      <c r="B13">
        <v>36395</v>
      </c>
      <c r="C13">
        <v>36395</v>
      </c>
      <c r="D13">
        <v>36402</v>
      </c>
      <c r="E13">
        <v>6.56</v>
      </c>
      <c r="F13">
        <v>6.6</v>
      </c>
      <c r="G13">
        <v>5.2</v>
      </c>
      <c r="H13"/>
      <c r="I13">
        <v>51</v>
      </c>
      <c r="J13">
        <v>68</v>
      </c>
      <c r="K13">
        <v>24</v>
      </c>
      <c r="L13">
        <v>32</v>
      </c>
      <c r="M13">
        <v>3</v>
      </c>
      <c r="N13">
        <v>4</v>
      </c>
      <c r="O13">
        <v>0</v>
      </c>
      <c r="P13">
        <v>0</v>
      </c>
      <c r="Q13">
        <f t="shared" si="0"/>
        <v>78</v>
      </c>
      <c r="R13">
        <f t="shared" si="1"/>
        <v>104</v>
      </c>
      <c r="S13">
        <v>0.15</v>
      </c>
      <c r="T13">
        <v>0</v>
      </c>
      <c r="U13">
        <v>0.35</v>
      </c>
      <c r="V13">
        <v>0</v>
      </c>
      <c r="W13" s="179"/>
    </row>
    <row r="14" spans="1:23">
      <c r="A14"/>
      <c r="B14">
        <v>36430</v>
      </c>
      <c r="C14">
        <v>36430</v>
      </c>
      <c r="D14">
        <v>36437</v>
      </c>
      <c r="E14">
        <v>6.89</v>
      </c>
      <c r="F14">
        <v>6.77</v>
      </c>
      <c r="G14">
        <v>5.5</v>
      </c>
      <c r="H14"/>
      <c r="I14">
        <v>30</v>
      </c>
      <c r="J14">
        <v>44</v>
      </c>
      <c r="K14">
        <v>18</v>
      </c>
      <c r="L14">
        <v>23</v>
      </c>
      <c r="M14">
        <v>3</v>
      </c>
      <c r="N14">
        <v>0</v>
      </c>
      <c r="O14">
        <v>0</v>
      </c>
      <c r="P14">
        <v>0</v>
      </c>
      <c r="Q14">
        <f t="shared" si="0"/>
        <v>51</v>
      </c>
      <c r="R14">
        <f t="shared" si="1"/>
        <v>67</v>
      </c>
      <c r="S14">
        <v>0.25</v>
      </c>
      <c r="T14">
        <v>0</v>
      </c>
      <c r="U14">
        <v>0.3</v>
      </c>
      <c r="V14">
        <v>0</v>
      </c>
      <c r="W14" s="179"/>
    </row>
    <row r="15" spans="1:23">
      <c r="A15"/>
      <c r="B15">
        <v>36437</v>
      </c>
      <c r="C15">
        <v>36437</v>
      </c>
      <c r="D15">
        <v>36445</v>
      </c>
      <c r="E15">
        <v>6.79</v>
      </c>
      <c r="F15">
        <v>6.96</v>
      </c>
      <c r="G15">
        <v>5.5</v>
      </c>
      <c r="H15"/>
      <c r="I15">
        <v>22</v>
      </c>
      <c r="J15">
        <v>33</v>
      </c>
      <c r="K15">
        <v>13</v>
      </c>
      <c r="L15">
        <v>18</v>
      </c>
      <c r="M15">
        <v>2</v>
      </c>
      <c r="N15">
        <v>3</v>
      </c>
      <c r="O15">
        <v>0</v>
      </c>
      <c r="P15">
        <v>0</v>
      </c>
      <c r="Q15">
        <f t="shared" si="0"/>
        <v>37</v>
      </c>
      <c r="R15">
        <f t="shared" si="1"/>
        <v>54</v>
      </c>
      <c r="S15">
        <v>0.2</v>
      </c>
      <c r="T15">
        <v>0</v>
      </c>
      <c r="U15">
        <v>0.3</v>
      </c>
      <c r="V15">
        <v>0</v>
      </c>
      <c r="W15" s="179"/>
    </row>
    <row r="16" spans="1:23">
      <c r="A16"/>
      <c r="B16">
        <v>36445</v>
      </c>
      <c r="C16">
        <v>36445</v>
      </c>
      <c r="D16">
        <v>36452</v>
      </c>
      <c r="E16">
        <v>6.8</v>
      </c>
      <c r="F16">
        <v>6.66</v>
      </c>
      <c r="G16">
        <v>6</v>
      </c>
      <c r="H16"/>
      <c r="I16">
        <v>18</v>
      </c>
      <c r="J16">
        <v>26</v>
      </c>
      <c r="K16">
        <v>13</v>
      </c>
      <c r="L16">
        <v>12</v>
      </c>
      <c r="M16">
        <v>2</v>
      </c>
      <c r="N16">
        <v>2</v>
      </c>
      <c r="O16">
        <v>0</v>
      </c>
      <c r="P16">
        <v>0</v>
      </c>
      <c r="Q16">
        <f t="shared" si="0"/>
        <v>33</v>
      </c>
      <c r="R16">
        <f t="shared" si="1"/>
        <v>40</v>
      </c>
      <c r="S16">
        <v>0.1</v>
      </c>
      <c r="T16">
        <v>0</v>
      </c>
      <c r="U16">
        <v>0.2</v>
      </c>
      <c r="V16">
        <v>0</v>
      </c>
      <c r="W16" s="179"/>
    </row>
    <row r="17" spans="1:23">
      <c r="A17"/>
      <c r="B17">
        <v>36452</v>
      </c>
      <c r="C17">
        <v>36452</v>
      </c>
      <c r="D17">
        <v>36459</v>
      </c>
      <c r="E17">
        <v>6.8</v>
      </c>
      <c r="F17">
        <v>6.89</v>
      </c>
      <c r="G17">
        <v>5.8</v>
      </c>
      <c r="H17"/>
      <c r="I17">
        <v>15</v>
      </c>
      <c r="J17">
        <v>28</v>
      </c>
      <c r="K17">
        <v>10</v>
      </c>
      <c r="L17">
        <v>21</v>
      </c>
      <c r="M17">
        <v>2</v>
      </c>
      <c r="N17">
        <v>4</v>
      </c>
      <c r="O17">
        <v>0</v>
      </c>
      <c r="P17">
        <v>0</v>
      </c>
      <c r="Q17">
        <f t="shared" si="0"/>
        <v>27</v>
      </c>
      <c r="R17">
        <f t="shared" si="1"/>
        <v>53</v>
      </c>
      <c r="S17">
        <v>0.2</v>
      </c>
      <c r="T17">
        <v>0</v>
      </c>
      <c r="U17">
        <v>0.05</v>
      </c>
      <c r="V17">
        <v>0</v>
      </c>
      <c r="W17" s="179"/>
    </row>
    <row r="18" spans="1:23">
      <c r="A18"/>
      <c r="B18">
        <v>36458</v>
      </c>
      <c r="C18">
        <v>36458</v>
      </c>
      <c r="D18">
        <v>36465</v>
      </c>
      <c r="E18">
        <v>6.86</v>
      </c>
      <c r="F18">
        <v>6.93</v>
      </c>
      <c r="G18">
        <v>5.7</v>
      </c>
      <c r="H18"/>
      <c r="I18">
        <v>17</v>
      </c>
      <c r="J18">
        <v>29</v>
      </c>
      <c r="K18">
        <v>12</v>
      </c>
      <c r="L18">
        <v>18</v>
      </c>
      <c r="M18">
        <v>2</v>
      </c>
      <c r="N18">
        <v>4</v>
      </c>
      <c r="O18">
        <v>0</v>
      </c>
      <c r="P18">
        <v>0</v>
      </c>
      <c r="Q18">
        <f t="shared" si="0"/>
        <v>31</v>
      </c>
      <c r="R18">
        <f t="shared" si="1"/>
        <v>51</v>
      </c>
      <c r="S18">
        <v>0.25</v>
      </c>
      <c r="T18">
        <v>0</v>
      </c>
      <c r="U18">
        <v>0.25</v>
      </c>
      <c r="V18">
        <v>0</v>
      </c>
      <c r="W18" s="179"/>
    </row>
    <row r="19" spans="1:23">
      <c r="A19"/>
      <c r="B19">
        <v>36465</v>
      </c>
      <c r="C19">
        <v>36465</v>
      </c>
      <c r="D19">
        <v>36472</v>
      </c>
      <c r="E19">
        <v>6.81</v>
      </c>
      <c r="F19">
        <v>6.77</v>
      </c>
      <c r="G19">
        <v>5.9</v>
      </c>
      <c r="H19"/>
      <c r="I19">
        <v>18</v>
      </c>
      <c r="J19">
        <v>28</v>
      </c>
      <c r="K19">
        <v>13</v>
      </c>
      <c r="L19">
        <v>20</v>
      </c>
      <c r="M19">
        <v>2</v>
      </c>
      <c r="N19">
        <v>4</v>
      </c>
      <c r="O19">
        <v>0</v>
      </c>
      <c r="P19">
        <v>0</v>
      </c>
      <c r="Q19">
        <f t="shared" si="0"/>
        <v>33</v>
      </c>
      <c r="R19">
        <f t="shared" si="1"/>
        <v>52</v>
      </c>
      <c r="S19">
        <v>0.05</v>
      </c>
      <c r="T19">
        <v>0</v>
      </c>
      <c r="U19">
        <v>0.25</v>
      </c>
      <c r="V19">
        <v>0</v>
      </c>
      <c r="W19" s="179"/>
    </row>
    <row r="20" spans="1:23">
      <c r="A20"/>
      <c r="B20">
        <v>36472</v>
      </c>
      <c r="C20">
        <v>36472</v>
      </c>
      <c r="D20">
        <v>36479</v>
      </c>
      <c r="E20">
        <v>6.75</v>
      </c>
      <c r="F20">
        <v>6.97</v>
      </c>
      <c r="G20">
        <v>5.7</v>
      </c>
      <c r="H20"/>
      <c r="I20">
        <v>16</v>
      </c>
      <c r="J20">
        <v>27</v>
      </c>
      <c r="K20">
        <v>11</v>
      </c>
      <c r="L20">
        <v>21</v>
      </c>
      <c r="M20">
        <v>3</v>
      </c>
      <c r="N20">
        <v>4</v>
      </c>
      <c r="O20">
        <v>0</v>
      </c>
      <c r="P20">
        <v>0</v>
      </c>
      <c r="Q20">
        <f t="shared" si="0"/>
        <v>30</v>
      </c>
      <c r="R20">
        <f t="shared" si="1"/>
        <v>52</v>
      </c>
      <c r="S20">
        <v>0.15</v>
      </c>
      <c r="T20">
        <v>0</v>
      </c>
      <c r="U20">
        <v>0.25</v>
      </c>
      <c r="V20">
        <v>0</v>
      </c>
      <c r="W20" s="179"/>
    </row>
    <row r="21" spans="1:23">
      <c r="A21"/>
      <c r="B21">
        <v>36696</v>
      </c>
      <c r="C21">
        <v>36696</v>
      </c>
      <c r="D21">
        <v>36703</v>
      </c>
      <c r="E21">
        <v>7.31</v>
      </c>
      <c r="F21">
        <v>7.23</v>
      </c>
      <c r="G21">
        <v>4.5999999999999996</v>
      </c>
      <c r="H21"/>
      <c r="I21">
        <v>24</v>
      </c>
      <c r="J21">
        <v>30</v>
      </c>
      <c r="K21">
        <v>13</v>
      </c>
      <c r="L21">
        <v>15</v>
      </c>
      <c r="M21">
        <v>2</v>
      </c>
      <c r="N21">
        <v>2</v>
      </c>
      <c r="O21">
        <v>0</v>
      </c>
      <c r="P21">
        <v>0</v>
      </c>
      <c r="Q21">
        <f t="shared" si="0"/>
        <v>39</v>
      </c>
      <c r="R21">
        <f t="shared" si="1"/>
        <v>47</v>
      </c>
      <c r="S21">
        <v>0.15</v>
      </c>
      <c r="T21">
        <v>0</v>
      </c>
      <c r="U21" t="s">
        <v>319</v>
      </c>
      <c r="V21">
        <v>0</v>
      </c>
      <c r="W21" s="179"/>
    </row>
    <row r="22" spans="1:23">
      <c r="A22"/>
      <c r="B22">
        <v>36703</v>
      </c>
      <c r="C22">
        <v>36703</v>
      </c>
      <c r="D22">
        <v>36710</v>
      </c>
      <c r="E22">
        <v>7.1</v>
      </c>
      <c r="F22">
        <v>7.22</v>
      </c>
      <c r="G22">
        <v>4.5</v>
      </c>
      <c r="H22"/>
      <c r="I22">
        <v>34</v>
      </c>
      <c r="J22">
        <v>44</v>
      </c>
      <c r="K22">
        <v>15</v>
      </c>
      <c r="L22">
        <v>19</v>
      </c>
      <c r="M22">
        <v>2</v>
      </c>
      <c r="N22">
        <v>3</v>
      </c>
      <c r="O22">
        <v>0</v>
      </c>
      <c r="P22">
        <v>0</v>
      </c>
      <c r="Q22">
        <f t="shared" si="0"/>
        <v>51</v>
      </c>
      <c r="R22">
        <f t="shared" si="1"/>
        <v>66</v>
      </c>
      <c r="S22">
        <v>0.15</v>
      </c>
      <c r="T22">
        <v>0</v>
      </c>
      <c r="U22">
        <v>0.2</v>
      </c>
      <c r="V22">
        <v>0</v>
      </c>
      <c r="W22" s="179"/>
    </row>
    <row r="23" spans="1:23">
      <c r="A23"/>
      <c r="B23">
        <v>36710</v>
      </c>
      <c r="C23">
        <v>36710</v>
      </c>
      <c r="D23">
        <v>36717</v>
      </c>
      <c r="E23">
        <v>7</v>
      </c>
      <c r="F23">
        <v>6.92</v>
      </c>
      <c r="G23">
        <v>4.4000000000000004</v>
      </c>
      <c r="H23"/>
      <c r="I23">
        <v>36</v>
      </c>
      <c r="J23">
        <v>45</v>
      </c>
      <c r="K23">
        <v>15</v>
      </c>
      <c r="L23">
        <v>18</v>
      </c>
      <c r="M23">
        <v>2</v>
      </c>
      <c r="N23">
        <v>2</v>
      </c>
      <c r="O23">
        <v>0</v>
      </c>
      <c r="P23">
        <v>0</v>
      </c>
      <c r="Q23">
        <f t="shared" si="0"/>
        <v>53</v>
      </c>
      <c r="R23">
        <f t="shared" si="1"/>
        <v>65</v>
      </c>
      <c r="S23">
        <v>0.1</v>
      </c>
      <c r="T23">
        <v>0</v>
      </c>
      <c r="U23">
        <v>0.05</v>
      </c>
      <c r="V23">
        <v>0</v>
      </c>
      <c r="W23" s="179"/>
    </row>
    <row r="24" spans="1:23">
      <c r="A24"/>
      <c r="B24">
        <v>36717</v>
      </c>
      <c r="C24">
        <v>36717</v>
      </c>
      <c r="D24">
        <v>36724</v>
      </c>
      <c r="E24">
        <v>7.05</v>
      </c>
      <c r="F24">
        <v>7.04</v>
      </c>
      <c r="G24">
        <v>4.5</v>
      </c>
      <c r="H24"/>
      <c r="I24">
        <v>42</v>
      </c>
      <c r="J24">
        <v>50</v>
      </c>
      <c r="K24">
        <v>17</v>
      </c>
      <c r="L24">
        <v>19</v>
      </c>
      <c r="M24">
        <v>2</v>
      </c>
      <c r="N24">
        <v>2</v>
      </c>
      <c r="O24">
        <v>0</v>
      </c>
      <c r="P24">
        <v>0</v>
      </c>
      <c r="Q24">
        <f t="shared" si="0"/>
        <v>61</v>
      </c>
      <c r="R24">
        <f t="shared" si="1"/>
        <v>71</v>
      </c>
      <c r="S24">
        <v>0.1</v>
      </c>
      <c r="T24">
        <v>0</v>
      </c>
      <c r="U24">
        <v>0.1</v>
      </c>
      <c r="V24">
        <v>0</v>
      </c>
      <c r="W24" s="179"/>
    </row>
    <row r="25" spans="1:23">
      <c r="A25"/>
      <c r="B25">
        <v>36724</v>
      </c>
      <c r="C25">
        <v>36724</v>
      </c>
      <c r="D25">
        <v>36731</v>
      </c>
      <c r="E25">
        <v>7</v>
      </c>
      <c r="F25">
        <v>7.05</v>
      </c>
      <c r="G25">
        <v>5.2</v>
      </c>
      <c r="H25"/>
      <c r="I25">
        <v>45</v>
      </c>
      <c r="J25">
        <v>60</v>
      </c>
      <c r="K25">
        <v>16</v>
      </c>
      <c r="L25">
        <v>21</v>
      </c>
      <c r="M25">
        <v>2</v>
      </c>
      <c r="N25">
        <v>2</v>
      </c>
      <c r="O25">
        <v>0</v>
      </c>
      <c r="P25">
        <v>0</v>
      </c>
      <c r="Q25">
        <f t="shared" si="0"/>
        <v>63</v>
      </c>
      <c r="R25">
        <f t="shared" si="1"/>
        <v>83</v>
      </c>
      <c r="S25">
        <v>0.1</v>
      </c>
      <c r="T25">
        <v>0</v>
      </c>
      <c r="U25">
        <v>0.2</v>
      </c>
      <c r="V25">
        <v>0</v>
      </c>
      <c r="W25" s="179"/>
    </row>
    <row r="26" spans="1:23">
      <c r="A26"/>
      <c r="B26">
        <v>36731</v>
      </c>
      <c r="C26">
        <v>36731</v>
      </c>
      <c r="D26">
        <v>36738</v>
      </c>
      <c r="E26">
        <v>6.96</v>
      </c>
      <c r="F26">
        <v>7.02</v>
      </c>
      <c r="G26">
        <v>4.7</v>
      </c>
      <c r="H26"/>
      <c r="I26">
        <v>38</v>
      </c>
      <c r="J26">
        <v>52</v>
      </c>
      <c r="K26">
        <v>15</v>
      </c>
      <c r="L26">
        <v>16</v>
      </c>
      <c r="M26">
        <v>2</v>
      </c>
      <c r="N26">
        <v>2</v>
      </c>
      <c r="O26">
        <v>0</v>
      </c>
      <c r="P26">
        <v>0</v>
      </c>
      <c r="Q26">
        <v>55</v>
      </c>
      <c r="R26">
        <v>70</v>
      </c>
      <c r="S26">
        <v>0.2</v>
      </c>
      <c r="T26">
        <v>0</v>
      </c>
      <c r="U26">
        <v>0.15</v>
      </c>
      <c r="V26">
        <v>0</v>
      </c>
      <c r="W26" s="179"/>
    </row>
    <row r="27" spans="1:23">
      <c r="A27"/>
      <c r="B27">
        <v>36742</v>
      </c>
      <c r="C27">
        <v>36742</v>
      </c>
      <c r="D27">
        <v>36749</v>
      </c>
      <c r="E27">
        <v>6.96</v>
      </c>
      <c r="F27">
        <v>7.2</v>
      </c>
      <c r="G27">
        <v>4.9000000000000004</v>
      </c>
      <c r="H27"/>
      <c r="I27">
        <v>35</v>
      </c>
      <c r="J27">
        <v>48</v>
      </c>
      <c r="K27">
        <v>15</v>
      </c>
      <c r="L27">
        <v>16</v>
      </c>
      <c r="M27">
        <v>2</v>
      </c>
      <c r="N27">
        <v>2</v>
      </c>
      <c r="O27">
        <v>0</v>
      </c>
      <c r="P27">
        <v>0</v>
      </c>
      <c r="Q27">
        <f t="shared" ref="Q27:Q58" si="2">I27+K27+M27+O27</f>
        <v>52</v>
      </c>
      <c r="R27">
        <f t="shared" ref="R27:R58" si="3">J27+L27+N27+P27</f>
        <v>66</v>
      </c>
      <c r="S27">
        <v>0.1</v>
      </c>
      <c r="T27">
        <v>0</v>
      </c>
      <c r="U27">
        <v>0.25</v>
      </c>
      <c r="V27">
        <v>0</v>
      </c>
      <c r="W27" s="179"/>
    </row>
    <row r="28" spans="1:23">
      <c r="A28"/>
      <c r="B28">
        <v>36746</v>
      </c>
      <c r="C28">
        <v>36746</v>
      </c>
      <c r="D28">
        <v>36753</v>
      </c>
      <c r="E28">
        <v>7</v>
      </c>
      <c r="F28">
        <v>7.07</v>
      </c>
      <c r="G28">
        <v>4.7</v>
      </c>
      <c r="H28"/>
      <c r="I28">
        <v>40</v>
      </c>
      <c r="J28">
        <v>47</v>
      </c>
      <c r="K28">
        <v>15</v>
      </c>
      <c r="L28">
        <v>14</v>
      </c>
      <c r="M28">
        <v>2</v>
      </c>
      <c r="N28">
        <v>2</v>
      </c>
      <c r="O28">
        <v>0</v>
      </c>
      <c r="P28">
        <v>0</v>
      </c>
      <c r="Q28">
        <f t="shared" si="2"/>
        <v>57</v>
      </c>
      <c r="R28">
        <f t="shared" si="3"/>
        <v>63</v>
      </c>
      <c r="S28">
        <v>0.1</v>
      </c>
      <c r="T28">
        <v>0</v>
      </c>
      <c r="U28">
        <v>0.2</v>
      </c>
      <c r="V28">
        <v>0</v>
      </c>
      <c r="W28" s="179"/>
    </row>
    <row r="29" spans="1:23">
      <c r="A29"/>
      <c r="B29">
        <v>36752</v>
      </c>
      <c r="C29">
        <v>36752</v>
      </c>
      <c r="D29">
        <v>36759</v>
      </c>
      <c r="E29">
        <v>7.01</v>
      </c>
      <c r="F29">
        <v>7.08</v>
      </c>
      <c r="G29">
        <v>5.3</v>
      </c>
      <c r="H29"/>
      <c r="I29">
        <v>43</v>
      </c>
      <c r="J29">
        <v>55</v>
      </c>
      <c r="K29">
        <v>16</v>
      </c>
      <c r="L29">
        <v>20</v>
      </c>
      <c r="M29">
        <v>2</v>
      </c>
      <c r="N29">
        <v>2</v>
      </c>
      <c r="O29">
        <v>0</v>
      </c>
      <c r="P29">
        <v>0</v>
      </c>
      <c r="Q29">
        <f t="shared" si="2"/>
        <v>61</v>
      </c>
      <c r="R29">
        <f t="shared" si="3"/>
        <v>77</v>
      </c>
      <c r="S29">
        <v>0.05</v>
      </c>
      <c r="T29">
        <v>0</v>
      </c>
      <c r="U29">
        <v>0.25</v>
      </c>
      <c r="V29">
        <v>0</v>
      </c>
      <c r="W29" s="179"/>
    </row>
    <row r="30" spans="1:23">
      <c r="A30"/>
      <c r="B30">
        <v>36759</v>
      </c>
      <c r="C30">
        <v>36759</v>
      </c>
      <c r="D30">
        <v>36766</v>
      </c>
      <c r="E30">
        <v>7.13</v>
      </c>
      <c r="F30">
        <v>7.13</v>
      </c>
      <c r="G30">
        <v>4.7</v>
      </c>
      <c r="H30"/>
      <c r="I30">
        <v>37</v>
      </c>
      <c r="J30">
        <v>47</v>
      </c>
      <c r="K30">
        <v>15</v>
      </c>
      <c r="L30">
        <v>14</v>
      </c>
      <c r="M30">
        <v>2</v>
      </c>
      <c r="N30">
        <v>2</v>
      </c>
      <c r="O30">
        <v>0</v>
      </c>
      <c r="P30">
        <v>0</v>
      </c>
      <c r="Q30">
        <f t="shared" si="2"/>
        <v>54</v>
      </c>
      <c r="R30">
        <f t="shared" si="3"/>
        <v>63</v>
      </c>
      <c r="S30">
        <v>0.25</v>
      </c>
      <c r="T30">
        <v>0</v>
      </c>
      <c r="U30" t="s">
        <v>320</v>
      </c>
      <c r="V30">
        <v>0</v>
      </c>
      <c r="W30" s="179"/>
    </row>
    <row r="31" spans="1:23">
      <c r="A31"/>
      <c r="B31">
        <v>36767</v>
      </c>
      <c r="C31">
        <v>36767</v>
      </c>
      <c r="D31">
        <v>36774</v>
      </c>
      <c r="E31">
        <v>6.95</v>
      </c>
      <c r="F31">
        <v>6.94</v>
      </c>
      <c r="G31">
        <v>4.5999999999999996</v>
      </c>
      <c r="H31"/>
      <c r="I31">
        <v>34</v>
      </c>
      <c r="J31">
        <v>45</v>
      </c>
      <c r="K31">
        <v>14</v>
      </c>
      <c r="L31">
        <v>18</v>
      </c>
      <c r="M31">
        <v>2</v>
      </c>
      <c r="N31">
        <v>2</v>
      </c>
      <c r="O31">
        <v>0</v>
      </c>
      <c r="P31">
        <v>0</v>
      </c>
      <c r="Q31">
        <f t="shared" si="2"/>
        <v>50</v>
      </c>
      <c r="R31">
        <f t="shared" si="3"/>
        <v>65</v>
      </c>
      <c r="S31">
        <v>0.2</v>
      </c>
      <c r="T31">
        <v>0</v>
      </c>
      <c r="U31">
        <v>0.25</v>
      </c>
      <c r="V31">
        <v>0</v>
      </c>
      <c r="W31" s="179"/>
    </row>
    <row r="32" spans="1:23">
      <c r="A32"/>
      <c r="B32">
        <v>36774</v>
      </c>
      <c r="C32">
        <v>36774</v>
      </c>
      <c r="D32">
        <v>36781</v>
      </c>
      <c r="E32">
        <v>6.94</v>
      </c>
      <c r="F32">
        <v>6.94</v>
      </c>
      <c r="G32">
        <v>4.5</v>
      </c>
      <c r="H32"/>
      <c r="I32">
        <v>27</v>
      </c>
      <c r="J32">
        <v>39</v>
      </c>
      <c r="K32">
        <v>11</v>
      </c>
      <c r="L32">
        <v>17</v>
      </c>
      <c r="M32">
        <v>1</v>
      </c>
      <c r="N32">
        <v>2</v>
      </c>
      <c r="O32">
        <v>0</v>
      </c>
      <c r="P32">
        <v>0</v>
      </c>
      <c r="Q32">
        <f t="shared" si="2"/>
        <v>39</v>
      </c>
      <c r="R32">
        <f t="shared" si="3"/>
        <v>58</v>
      </c>
      <c r="S32">
        <v>0.2</v>
      </c>
      <c r="T32">
        <v>0</v>
      </c>
      <c r="U32">
        <v>0.25</v>
      </c>
      <c r="V32">
        <v>0</v>
      </c>
      <c r="W32" s="179"/>
    </row>
    <row r="33" spans="1:23">
      <c r="A33"/>
      <c r="B33">
        <v>36780</v>
      </c>
      <c r="C33">
        <v>36780</v>
      </c>
      <c r="D33">
        <v>36787</v>
      </c>
      <c r="E33">
        <v>7.02</v>
      </c>
      <c r="F33">
        <v>7.06</v>
      </c>
      <c r="G33">
        <v>4.5999999999999996</v>
      </c>
      <c r="H33"/>
      <c r="I33">
        <v>26</v>
      </c>
      <c r="J33">
        <v>40</v>
      </c>
      <c r="K33">
        <v>11</v>
      </c>
      <c r="L33">
        <v>17</v>
      </c>
      <c r="M33">
        <v>1</v>
      </c>
      <c r="N33">
        <v>2</v>
      </c>
      <c r="O33"/>
      <c r="P33">
        <v>0</v>
      </c>
      <c r="Q33">
        <f t="shared" si="2"/>
        <v>38</v>
      </c>
      <c r="R33">
        <f t="shared" si="3"/>
        <v>59</v>
      </c>
      <c r="S33">
        <v>0.25</v>
      </c>
      <c r="T33">
        <v>0</v>
      </c>
      <c r="U33">
        <v>0.3</v>
      </c>
      <c r="V33">
        <v>0</v>
      </c>
      <c r="W33" s="179"/>
    </row>
    <row r="34" spans="1:23">
      <c r="A34"/>
      <c r="B34">
        <v>36787</v>
      </c>
      <c r="C34">
        <v>36787</v>
      </c>
      <c r="D34">
        <v>36794</v>
      </c>
      <c r="E34">
        <v>7.01</v>
      </c>
      <c r="F34">
        <v>6.98</v>
      </c>
      <c r="G34">
        <v>4.3</v>
      </c>
      <c r="H34"/>
      <c r="I34">
        <v>27</v>
      </c>
      <c r="J34">
        <v>33</v>
      </c>
      <c r="K34">
        <v>12</v>
      </c>
      <c r="L34">
        <v>15</v>
      </c>
      <c r="M34">
        <v>1</v>
      </c>
      <c r="N34">
        <v>2</v>
      </c>
      <c r="O34">
        <v>0</v>
      </c>
      <c r="P34">
        <v>0</v>
      </c>
      <c r="Q34">
        <f t="shared" si="2"/>
        <v>40</v>
      </c>
      <c r="R34">
        <f t="shared" si="3"/>
        <v>50</v>
      </c>
      <c r="S34">
        <v>0.2</v>
      </c>
      <c r="T34">
        <v>0</v>
      </c>
      <c r="U34">
        <v>0.25</v>
      </c>
      <c r="V34">
        <v>0</v>
      </c>
      <c r="W34" s="179"/>
    </row>
    <row r="35" spans="1:23">
      <c r="A35"/>
      <c r="B35">
        <v>36794</v>
      </c>
      <c r="C35">
        <v>36794</v>
      </c>
      <c r="D35">
        <v>36801</v>
      </c>
      <c r="E35">
        <v>6.92</v>
      </c>
      <c r="F35">
        <v>7.07</v>
      </c>
      <c r="G35">
        <v>4.2</v>
      </c>
      <c r="H35"/>
      <c r="I35">
        <v>24</v>
      </c>
      <c r="J35">
        <v>31</v>
      </c>
      <c r="K35">
        <v>10</v>
      </c>
      <c r="L35">
        <v>12</v>
      </c>
      <c r="M35">
        <v>2</v>
      </c>
      <c r="N35">
        <v>2</v>
      </c>
      <c r="O35">
        <v>0</v>
      </c>
      <c r="P35">
        <v>0</v>
      </c>
      <c r="Q35">
        <f t="shared" si="2"/>
        <v>36</v>
      </c>
      <c r="R35">
        <f t="shared" si="3"/>
        <v>45</v>
      </c>
      <c r="S35">
        <v>0.15</v>
      </c>
      <c r="T35">
        <v>0</v>
      </c>
      <c r="U35">
        <v>0.2</v>
      </c>
      <c r="V35">
        <v>0</v>
      </c>
      <c r="W35" s="179"/>
    </row>
    <row r="36" spans="1:23">
      <c r="A36"/>
      <c r="B36">
        <v>36801</v>
      </c>
      <c r="C36">
        <v>36801</v>
      </c>
      <c r="D36">
        <v>36809</v>
      </c>
      <c r="E36">
        <v>7.27</v>
      </c>
      <c r="F36">
        <v>7.09</v>
      </c>
      <c r="G36">
        <v>4.2</v>
      </c>
      <c r="H36"/>
      <c r="I36">
        <v>23</v>
      </c>
      <c r="J36">
        <v>29</v>
      </c>
      <c r="K36">
        <v>11</v>
      </c>
      <c r="L36">
        <v>14</v>
      </c>
      <c r="M36">
        <v>1</v>
      </c>
      <c r="N36">
        <v>2</v>
      </c>
      <c r="O36">
        <v>0</v>
      </c>
      <c r="P36">
        <v>0</v>
      </c>
      <c r="Q36">
        <f t="shared" si="2"/>
        <v>35</v>
      </c>
      <c r="R36">
        <f t="shared" si="3"/>
        <v>45</v>
      </c>
      <c r="S36">
        <v>0</v>
      </c>
      <c r="T36">
        <v>0</v>
      </c>
      <c r="U36">
        <v>0.15</v>
      </c>
      <c r="V36">
        <v>0</v>
      </c>
      <c r="W36" s="179"/>
    </row>
    <row r="37" spans="1:23">
      <c r="A37"/>
      <c r="B37">
        <v>36809</v>
      </c>
      <c r="C37">
        <v>36809</v>
      </c>
      <c r="D37">
        <v>36815</v>
      </c>
      <c r="E37">
        <v>7.08</v>
      </c>
      <c r="F37">
        <v>7.03</v>
      </c>
      <c r="G37">
        <v>4.8</v>
      </c>
      <c r="H37"/>
      <c r="I37">
        <v>17</v>
      </c>
      <c r="J37">
        <v>24</v>
      </c>
      <c r="K37">
        <v>8</v>
      </c>
      <c r="L37">
        <v>13</v>
      </c>
      <c r="M37">
        <v>1</v>
      </c>
      <c r="N37">
        <v>2</v>
      </c>
      <c r="O37">
        <v>0</v>
      </c>
      <c r="P37">
        <v>0</v>
      </c>
      <c r="Q37">
        <f t="shared" si="2"/>
        <v>26</v>
      </c>
      <c r="R37">
        <f t="shared" si="3"/>
        <v>39</v>
      </c>
      <c r="S37">
        <v>0.2</v>
      </c>
      <c r="T37">
        <v>0</v>
      </c>
      <c r="U37">
        <v>0.2</v>
      </c>
      <c r="V37">
        <v>0</v>
      </c>
      <c r="W37" s="179"/>
    </row>
    <row r="38" spans="1:23">
      <c r="A38"/>
      <c r="B38">
        <v>36815</v>
      </c>
      <c r="C38">
        <v>36815</v>
      </c>
      <c r="D38">
        <v>36822</v>
      </c>
      <c r="E38">
        <v>7.13</v>
      </c>
      <c r="F38">
        <v>7.34</v>
      </c>
      <c r="G38">
        <v>4.5999999999999996</v>
      </c>
      <c r="H38"/>
      <c r="I38">
        <v>17</v>
      </c>
      <c r="J38">
        <v>26</v>
      </c>
      <c r="K38">
        <v>8</v>
      </c>
      <c r="L38">
        <v>13</v>
      </c>
      <c r="M38">
        <v>1</v>
      </c>
      <c r="N38">
        <v>2</v>
      </c>
      <c r="O38">
        <v>0</v>
      </c>
      <c r="P38">
        <v>0</v>
      </c>
      <c r="Q38">
        <f t="shared" si="2"/>
        <v>26</v>
      </c>
      <c r="R38">
        <f t="shared" si="3"/>
        <v>41</v>
      </c>
      <c r="S38">
        <v>0.15</v>
      </c>
      <c r="T38">
        <v>0</v>
      </c>
      <c r="U38">
        <v>0.25</v>
      </c>
      <c r="V38">
        <v>0</v>
      </c>
      <c r="W38" s="179"/>
    </row>
    <row r="39" spans="1:23">
      <c r="A39"/>
      <c r="B39">
        <v>36822</v>
      </c>
      <c r="C39">
        <v>36822</v>
      </c>
      <c r="D39">
        <v>36829</v>
      </c>
      <c r="E39">
        <v>7.17</v>
      </c>
      <c r="F39">
        <v>7.15</v>
      </c>
      <c r="G39">
        <v>4.7</v>
      </c>
      <c r="H39"/>
      <c r="I39">
        <v>21</v>
      </c>
      <c r="J39">
        <v>32</v>
      </c>
      <c r="K39">
        <v>9</v>
      </c>
      <c r="L39">
        <v>16</v>
      </c>
      <c r="M39">
        <v>2</v>
      </c>
      <c r="N39">
        <v>3</v>
      </c>
      <c r="O39">
        <v>0</v>
      </c>
      <c r="P39">
        <v>0</v>
      </c>
      <c r="Q39">
        <f t="shared" si="2"/>
        <v>32</v>
      </c>
      <c r="R39">
        <f t="shared" si="3"/>
        <v>51</v>
      </c>
      <c r="S39">
        <v>15</v>
      </c>
      <c r="T39">
        <v>0</v>
      </c>
      <c r="U39">
        <v>0.25</v>
      </c>
      <c r="V39">
        <v>0</v>
      </c>
      <c r="W39" s="179"/>
    </row>
    <row r="40" spans="1:23">
      <c r="A40"/>
      <c r="B40">
        <v>36830</v>
      </c>
      <c r="C40">
        <v>36830</v>
      </c>
      <c r="D40">
        <v>36836</v>
      </c>
      <c r="E40">
        <v>7.14</v>
      </c>
      <c r="F40">
        <v>7.13</v>
      </c>
      <c r="G40">
        <v>4.5999999999999996</v>
      </c>
      <c r="H40"/>
      <c r="I40">
        <v>16</v>
      </c>
      <c r="J40">
        <v>27</v>
      </c>
      <c r="K40">
        <v>7</v>
      </c>
      <c r="L40">
        <v>15</v>
      </c>
      <c r="M40">
        <v>1</v>
      </c>
      <c r="N40">
        <v>3</v>
      </c>
      <c r="O40">
        <v>0</v>
      </c>
      <c r="P40">
        <v>0</v>
      </c>
      <c r="Q40">
        <f t="shared" si="2"/>
        <v>24</v>
      </c>
      <c r="R40">
        <f t="shared" si="3"/>
        <v>45</v>
      </c>
      <c r="S40">
        <v>0.35</v>
      </c>
      <c r="T40">
        <v>0</v>
      </c>
      <c r="U40">
        <v>0.25</v>
      </c>
      <c r="V40">
        <v>0</v>
      </c>
      <c r="W40" s="179"/>
    </row>
    <row r="41" spans="1:23">
      <c r="A41"/>
      <c r="B41">
        <v>36837</v>
      </c>
      <c r="C41">
        <v>36837</v>
      </c>
      <c r="D41">
        <v>36843</v>
      </c>
      <c r="E41">
        <v>7.06</v>
      </c>
      <c r="F41">
        <v>7.32</v>
      </c>
      <c r="G41">
        <v>4.4000000000000004</v>
      </c>
      <c r="H41"/>
      <c r="I41">
        <v>17</v>
      </c>
      <c r="J41">
        <v>23</v>
      </c>
      <c r="K41">
        <v>10</v>
      </c>
      <c r="L41">
        <v>13</v>
      </c>
      <c r="M41">
        <v>2</v>
      </c>
      <c r="N41">
        <v>2</v>
      </c>
      <c r="O41">
        <v>0</v>
      </c>
      <c r="P41">
        <v>0</v>
      </c>
      <c r="Q41">
        <f t="shared" si="2"/>
        <v>29</v>
      </c>
      <c r="R41">
        <f t="shared" si="3"/>
        <v>38</v>
      </c>
      <c r="S41">
        <v>0.15</v>
      </c>
      <c r="T41">
        <v>0</v>
      </c>
      <c r="U41">
        <v>0</v>
      </c>
      <c r="V41">
        <v>0</v>
      </c>
      <c r="W41" s="179"/>
    </row>
    <row r="42" spans="1:23">
      <c r="A42"/>
      <c r="B42">
        <v>36843</v>
      </c>
      <c r="C42">
        <v>36843</v>
      </c>
      <c r="D42">
        <v>36850</v>
      </c>
      <c r="E42">
        <v>7.26</v>
      </c>
      <c r="F42">
        <v>7.13</v>
      </c>
      <c r="G42">
        <v>4.5</v>
      </c>
      <c r="H42"/>
      <c r="I42">
        <v>12</v>
      </c>
      <c r="J42">
        <v>15</v>
      </c>
      <c r="K42">
        <v>6</v>
      </c>
      <c r="L42">
        <v>9</v>
      </c>
      <c r="M42">
        <v>1</v>
      </c>
      <c r="N42">
        <v>2</v>
      </c>
      <c r="O42">
        <v>0</v>
      </c>
      <c r="P42">
        <v>0</v>
      </c>
      <c r="Q42">
        <f t="shared" si="2"/>
        <v>19</v>
      </c>
      <c r="R42">
        <f t="shared" si="3"/>
        <v>26</v>
      </c>
      <c r="S42">
        <v>0.2</v>
      </c>
      <c r="T42">
        <v>0</v>
      </c>
      <c r="U42">
        <v>0.2</v>
      </c>
      <c r="V42">
        <v>0</v>
      </c>
      <c r="W42" s="179"/>
    </row>
    <row r="43" spans="1:23">
      <c r="A43"/>
      <c r="B43">
        <v>37046</v>
      </c>
      <c r="C43">
        <v>37046</v>
      </c>
      <c r="D43">
        <v>37053</v>
      </c>
      <c r="E43">
        <v>7.26</v>
      </c>
      <c r="F43">
        <v>7.31</v>
      </c>
      <c r="G43">
        <v>4.3</v>
      </c>
      <c r="H43"/>
      <c r="I43">
        <v>25</v>
      </c>
      <c r="J43">
        <v>34</v>
      </c>
      <c r="K43">
        <v>12</v>
      </c>
      <c r="L43">
        <v>17</v>
      </c>
      <c r="M43">
        <v>3</v>
      </c>
      <c r="N43">
        <v>4</v>
      </c>
      <c r="O43">
        <v>1</v>
      </c>
      <c r="P43">
        <v>1</v>
      </c>
      <c r="Q43">
        <f t="shared" si="2"/>
        <v>41</v>
      </c>
      <c r="R43">
        <f t="shared" si="3"/>
        <v>56</v>
      </c>
      <c r="S43">
        <v>0.25</v>
      </c>
      <c r="T43">
        <v>0</v>
      </c>
      <c r="U43">
        <v>0.3</v>
      </c>
      <c r="V43">
        <v>0.1</v>
      </c>
      <c r="W43" s="179"/>
    </row>
    <row r="44" spans="1:23">
      <c r="A44"/>
      <c r="B44">
        <v>37053</v>
      </c>
      <c r="C44">
        <v>37053</v>
      </c>
      <c r="D44">
        <v>37060</v>
      </c>
      <c r="E44">
        <v>7.22</v>
      </c>
      <c r="F44">
        <v>7.42</v>
      </c>
      <c r="G44">
        <v>4.7</v>
      </c>
      <c r="H44"/>
      <c r="I44">
        <v>20</v>
      </c>
      <c r="J44">
        <v>28</v>
      </c>
      <c r="K44">
        <v>10</v>
      </c>
      <c r="L44">
        <v>14</v>
      </c>
      <c r="M44">
        <v>2</v>
      </c>
      <c r="N44">
        <v>4</v>
      </c>
      <c r="O44">
        <v>0</v>
      </c>
      <c r="P44">
        <v>0</v>
      </c>
      <c r="Q44">
        <f t="shared" si="2"/>
        <v>32</v>
      </c>
      <c r="R44">
        <f t="shared" si="3"/>
        <v>46</v>
      </c>
      <c r="S44">
        <v>0.15</v>
      </c>
      <c r="T44">
        <v>0</v>
      </c>
      <c r="U44">
        <v>0.25</v>
      </c>
      <c r="V44">
        <v>0</v>
      </c>
      <c r="W44" s="179"/>
    </row>
    <row r="45" spans="1:23">
      <c r="A45"/>
      <c r="B45">
        <v>37060</v>
      </c>
      <c r="C45">
        <v>37060</v>
      </c>
      <c r="D45">
        <v>37067</v>
      </c>
      <c r="E45">
        <v>7.22</v>
      </c>
      <c r="F45">
        <v>7.35</v>
      </c>
      <c r="G45">
        <v>4.5</v>
      </c>
      <c r="H45"/>
      <c r="I45">
        <v>27</v>
      </c>
      <c r="J45">
        <v>34</v>
      </c>
      <c r="K45">
        <v>13</v>
      </c>
      <c r="L45">
        <v>15</v>
      </c>
      <c r="M45">
        <v>3</v>
      </c>
      <c r="N45">
        <v>4</v>
      </c>
      <c r="O45">
        <v>0</v>
      </c>
      <c r="P45">
        <v>0</v>
      </c>
      <c r="Q45">
        <f t="shared" si="2"/>
        <v>43</v>
      </c>
      <c r="R45">
        <f t="shared" si="3"/>
        <v>53</v>
      </c>
      <c r="S45">
        <v>0.15</v>
      </c>
      <c r="T45">
        <v>0</v>
      </c>
      <c r="U45">
        <v>0.35</v>
      </c>
      <c r="V45">
        <v>0</v>
      </c>
      <c r="W45" s="179"/>
    </row>
    <row r="46" spans="1:23">
      <c r="A46"/>
      <c r="B46">
        <v>37067</v>
      </c>
      <c r="C46">
        <v>37067</v>
      </c>
      <c r="D46">
        <v>37074</v>
      </c>
      <c r="E46">
        <v>7.13</v>
      </c>
      <c r="F46">
        <v>7.11</v>
      </c>
      <c r="G46">
        <v>4.7</v>
      </c>
      <c r="H46"/>
      <c r="I46">
        <v>29</v>
      </c>
      <c r="J46">
        <v>35</v>
      </c>
      <c r="K46">
        <v>13</v>
      </c>
      <c r="L46">
        <v>16</v>
      </c>
      <c r="M46">
        <v>3</v>
      </c>
      <c r="N46">
        <v>4</v>
      </c>
      <c r="O46">
        <v>1</v>
      </c>
      <c r="P46">
        <v>0</v>
      </c>
      <c r="Q46">
        <f t="shared" si="2"/>
        <v>46</v>
      </c>
      <c r="R46">
        <f t="shared" si="3"/>
        <v>55</v>
      </c>
      <c r="S46">
        <v>0.1</v>
      </c>
      <c r="T46">
        <v>0</v>
      </c>
      <c r="U46">
        <v>0.3</v>
      </c>
      <c r="V46">
        <v>0</v>
      </c>
      <c r="W46" s="179"/>
    </row>
    <row r="47" spans="1:23">
      <c r="A47"/>
      <c r="B47">
        <v>37074</v>
      </c>
      <c r="C47">
        <v>37074</v>
      </c>
      <c r="D47">
        <v>37081</v>
      </c>
      <c r="E47">
        <v>7.13</v>
      </c>
      <c r="F47">
        <v>7.28</v>
      </c>
      <c r="G47">
        <v>4.8</v>
      </c>
      <c r="H47"/>
      <c r="I47">
        <v>38</v>
      </c>
      <c r="J47">
        <v>43</v>
      </c>
      <c r="K47">
        <v>17</v>
      </c>
      <c r="L47">
        <v>16</v>
      </c>
      <c r="M47">
        <v>4</v>
      </c>
      <c r="N47">
        <v>4</v>
      </c>
      <c r="O47">
        <v>0</v>
      </c>
      <c r="P47">
        <v>0</v>
      </c>
      <c r="Q47">
        <f t="shared" si="2"/>
        <v>59</v>
      </c>
      <c r="R47">
        <f t="shared" si="3"/>
        <v>63</v>
      </c>
      <c r="S47">
        <v>0.15</v>
      </c>
      <c r="T47">
        <v>0</v>
      </c>
      <c r="U47">
        <v>0.35</v>
      </c>
      <c r="V47">
        <v>0</v>
      </c>
      <c r="W47" s="179"/>
    </row>
    <row r="48" spans="1:23">
      <c r="A48"/>
      <c r="B48">
        <v>37081</v>
      </c>
      <c r="C48">
        <v>37081</v>
      </c>
      <c r="D48">
        <v>37088</v>
      </c>
      <c r="E48">
        <v>7.12</v>
      </c>
      <c r="F48">
        <v>7.44</v>
      </c>
      <c r="G48">
        <v>4.5999999999999996</v>
      </c>
      <c r="H48"/>
      <c r="I48">
        <v>29</v>
      </c>
      <c r="J48">
        <v>31</v>
      </c>
      <c r="K48">
        <v>13</v>
      </c>
      <c r="L48">
        <v>14</v>
      </c>
      <c r="M48">
        <v>3</v>
      </c>
      <c r="N48">
        <v>3</v>
      </c>
      <c r="O48">
        <v>0</v>
      </c>
      <c r="P48">
        <v>0</v>
      </c>
      <c r="Q48">
        <f t="shared" si="2"/>
        <v>45</v>
      </c>
      <c r="R48">
        <f t="shared" si="3"/>
        <v>48</v>
      </c>
      <c r="S48">
        <v>0.15</v>
      </c>
      <c r="T48">
        <v>0</v>
      </c>
      <c r="U48">
        <v>0.25</v>
      </c>
      <c r="V48">
        <v>0</v>
      </c>
      <c r="W48" s="179"/>
    </row>
    <row r="49" spans="1:23">
      <c r="A49"/>
      <c r="B49">
        <v>37088</v>
      </c>
      <c r="C49">
        <v>37088</v>
      </c>
      <c r="D49">
        <v>37095</v>
      </c>
      <c r="E49">
        <v>7.12</v>
      </c>
      <c r="F49">
        <v>7.32</v>
      </c>
      <c r="G49">
        <v>4.4000000000000004</v>
      </c>
      <c r="H49"/>
      <c r="I49">
        <v>34</v>
      </c>
      <c r="J49">
        <v>42</v>
      </c>
      <c r="K49">
        <v>14</v>
      </c>
      <c r="L49">
        <v>16</v>
      </c>
      <c r="M49">
        <v>3</v>
      </c>
      <c r="N49">
        <v>4</v>
      </c>
      <c r="O49">
        <v>0</v>
      </c>
      <c r="P49">
        <v>0</v>
      </c>
      <c r="Q49">
        <f t="shared" si="2"/>
        <v>51</v>
      </c>
      <c r="R49">
        <f t="shared" si="3"/>
        <v>62</v>
      </c>
      <c r="S49">
        <v>0.1</v>
      </c>
      <c r="T49">
        <v>0</v>
      </c>
      <c r="U49">
        <v>0.3</v>
      </c>
      <c r="V49">
        <v>0</v>
      </c>
      <c r="W49" s="179"/>
    </row>
    <row r="50" spans="1:23">
      <c r="A50"/>
      <c r="B50">
        <v>37095</v>
      </c>
      <c r="C50">
        <v>37095</v>
      </c>
      <c r="D50">
        <v>37102</v>
      </c>
      <c r="E50">
        <v>7.08</v>
      </c>
      <c r="F50">
        <v>7.15</v>
      </c>
      <c r="G50">
        <v>4.8</v>
      </c>
      <c r="H50"/>
      <c r="I50">
        <v>40</v>
      </c>
      <c r="J50">
        <v>52</v>
      </c>
      <c r="K50">
        <v>15</v>
      </c>
      <c r="L50">
        <v>17</v>
      </c>
      <c r="M50">
        <v>3</v>
      </c>
      <c r="N50">
        <v>3</v>
      </c>
      <c r="O50">
        <v>0</v>
      </c>
      <c r="P50">
        <v>0</v>
      </c>
      <c r="Q50">
        <f t="shared" si="2"/>
        <v>58</v>
      </c>
      <c r="R50">
        <f t="shared" si="3"/>
        <v>72</v>
      </c>
      <c r="S50">
        <v>0.05</v>
      </c>
      <c r="T50">
        <v>0</v>
      </c>
      <c r="U50">
        <v>0.4</v>
      </c>
      <c r="V50">
        <v>0.1</v>
      </c>
      <c r="W50" s="179"/>
    </row>
    <row r="51" spans="1:23">
      <c r="A51"/>
      <c r="B51">
        <v>37103</v>
      </c>
      <c r="C51">
        <v>37103</v>
      </c>
      <c r="D51">
        <v>37110</v>
      </c>
      <c r="E51">
        <v>7.23</v>
      </c>
      <c r="F51">
        <v>6.94</v>
      </c>
      <c r="G51">
        <v>4.3</v>
      </c>
      <c r="H51"/>
      <c r="I51">
        <v>39</v>
      </c>
      <c r="J51">
        <v>47</v>
      </c>
      <c r="K51">
        <v>14</v>
      </c>
      <c r="L51">
        <v>14</v>
      </c>
      <c r="M51">
        <v>3</v>
      </c>
      <c r="N51">
        <v>3</v>
      </c>
      <c r="O51">
        <v>0</v>
      </c>
      <c r="P51">
        <v>0</v>
      </c>
      <c r="Q51">
        <f t="shared" si="2"/>
        <v>56</v>
      </c>
      <c r="R51">
        <f t="shared" si="3"/>
        <v>64</v>
      </c>
      <c r="S51">
        <v>0.15</v>
      </c>
      <c r="T51">
        <v>0</v>
      </c>
      <c r="U51">
        <v>0.45</v>
      </c>
      <c r="V51">
        <v>0.1</v>
      </c>
      <c r="W51" s="179"/>
    </row>
    <row r="52" spans="1:23">
      <c r="A52"/>
      <c r="B52">
        <v>37110</v>
      </c>
      <c r="C52">
        <v>37110</v>
      </c>
      <c r="D52">
        <v>37116</v>
      </c>
      <c r="E52">
        <v>7.07</v>
      </c>
      <c r="F52">
        <v>7.2</v>
      </c>
      <c r="G52">
        <v>4.5999999999999996</v>
      </c>
      <c r="H52"/>
      <c r="I52">
        <v>40</v>
      </c>
      <c r="J52">
        <v>60</v>
      </c>
      <c r="K52">
        <v>14</v>
      </c>
      <c r="L52">
        <v>19</v>
      </c>
      <c r="M52">
        <v>2</v>
      </c>
      <c r="N52">
        <v>3</v>
      </c>
      <c r="O52">
        <v>0</v>
      </c>
      <c r="P52">
        <v>0</v>
      </c>
      <c r="Q52">
        <f t="shared" si="2"/>
        <v>56</v>
      </c>
      <c r="R52">
        <f t="shared" si="3"/>
        <v>82</v>
      </c>
      <c r="S52">
        <v>0.45</v>
      </c>
      <c r="T52">
        <v>0</v>
      </c>
      <c r="U52">
        <v>0.3</v>
      </c>
      <c r="V52">
        <v>0.1</v>
      </c>
      <c r="W52" s="179" t="s">
        <v>315</v>
      </c>
    </row>
    <row r="53" spans="1:23">
      <c r="A53"/>
      <c r="B53">
        <v>37116</v>
      </c>
      <c r="C53">
        <v>37116</v>
      </c>
      <c r="D53">
        <v>37123</v>
      </c>
      <c r="E53">
        <v>7.13</v>
      </c>
      <c r="F53">
        <v>7.07</v>
      </c>
      <c r="G53">
        <v>4</v>
      </c>
      <c r="H53"/>
      <c r="I53">
        <v>36</v>
      </c>
      <c r="J53">
        <v>54</v>
      </c>
      <c r="K53">
        <v>13</v>
      </c>
      <c r="L53">
        <v>16</v>
      </c>
      <c r="M53">
        <v>2</v>
      </c>
      <c r="N53">
        <v>3</v>
      </c>
      <c r="O53">
        <v>0</v>
      </c>
      <c r="P53">
        <v>0</v>
      </c>
      <c r="Q53">
        <f t="shared" si="2"/>
        <v>51</v>
      </c>
      <c r="R53">
        <f t="shared" si="3"/>
        <v>73</v>
      </c>
      <c r="S53">
        <v>0.55000000000000004</v>
      </c>
      <c r="T53">
        <v>0</v>
      </c>
      <c r="U53">
        <v>0.45</v>
      </c>
      <c r="V53">
        <v>0</v>
      </c>
      <c r="W53" s="179"/>
    </row>
    <row r="54" spans="1:23">
      <c r="A54"/>
      <c r="B54">
        <v>37123</v>
      </c>
      <c r="C54">
        <v>37123</v>
      </c>
      <c r="D54">
        <v>37130</v>
      </c>
      <c r="E54">
        <v>7.01</v>
      </c>
      <c r="F54">
        <v>7.03</v>
      </c>
      <c r="G54">
        <v>4.4000000000000004</v>
      </c>
      <c r="H54"/>
      <c r="I54">
        <v>40</v>
      </c>
      <c r="J54">
        <v>58</v>
      </c>
      <c r="K54">
        <v>13</v>
      </c>
      <c r="L54">
        <v>17</v>
      </c>
      <c r="M54">
        <v>2</v>
      </c>
      <c r="N54">
        <v>3</v>
      </c>
      <c r="O54">
        <v>0</v>
      </c>
      <c r="P54">
        <v>0</v>
      </c>
      <c r="Q54">
        <f t="shared" si="2"/>
        <v>55</v>
      </c>
      <c r="R54">
        <f t="shared" si="3"/>
        <v>78</v>
      </c>
      <c r="S54">
        <v>0.7</v>
      </c>
      <c r="T54">
        <v>0</v>
      </c>
      <c r="U54">
        <v>0.5</v>
      </c>
      <c r="V54">
        <v>0.1</v>
      </c>
      <c r="W54" s="179"/>
    </row>
    <row r="55" spans="1:23">
      <c r="A55"/>
      <c r="B55">
        <v>37131</v>
      </c>
      <c r="C55">
        <v>37131</v>
      </c>
      <c r="D55">
        <v>37138</v>
      </c>
      <c r="E55">
        <v>6.96</v>
      </c>
      <c r="F55">
        <v>6.94</v>
      </c>
      <c r="G55">
        <v>4.3</v>
      </c>
      <c r="H55"/>
      <c r="I55">
        <v>33</v>
      </c>
      <c r="J55">
        <v>61</v>
      </c>
      <c r="K55">
        <v>12</v>
      </c>
      <c r="L55">
        <v>17</v>
      </c>
      <c r="M55">
        <v>2</v>
      </c>
      <c r="N55">
        <v>3</v>
      </c>
      <c r="O55">
        <v>0</v>
      </c>
      <c r="P55">
        <v>0</v>
      </c>
      <c r="Q55">
        <f t="shared" si="2"/>
        <v>47</v>
      </c>
      <c r="R55">
        <f t="shared" si="3"/>
        <v>81</v>
      </c>
      <c r="S55">
        <v>0.6</v>
      </c>
      <c r="T55">
        <v>0</v>
      </c>
      <c r="U55">
        <v>0.45</v>
      </c>
      <c r="V55">
        <v>0.15</v>
      </c>
      <c r="W55" s="179"/>
    </row>
    <row r="56" spans="1:23">
      <c r="A56"/>
      <c r="B56">
        <v>37138</v>
      </c>
      <c r="C56">
        <v>37138</v>
      </c>
      <c r="D56">
        <v>37145</v>
      </c>
      <c r="E56">
        <v>6.92</v>
      </c>
      <c r="F56">
        <v>7.01</v>
      </c>
      <c r="G56">
        <v>4</v>
      </c>
      <c r="H56"/>
      <c r="I56">
        <v>35</v>
      </c>
      <c r="J56">
        <v>51</v>
      </c>
      <c r="K56">
        <v>11</v>
      </c>
      <c r="L56">
        <v>15</v>
      </c>
      <c r="M56">
        <v>2</v>
      </c>
      <c r="N56">
        <v>2</v>
      </c>
      <c r="O56">
        <v>0</v>
      </c>
      <c r="P56">
        <v>0</v>
      </c>
      <c r="Q56">
        <f t="shared" si="2"/>
        <v>48</v>
      </c>
      <c r="R56">
        <f t="shared" si="3"/>
        <v>68</v>
      </c>
      <c r="S56">
        <v>0.4</v>
      </c>
      <c r="T56">
        <v>0</v>
      </c>
      <c r="U56">
        <v>0.45</v>
      </c>
      <c r="V56">
        <v>0.1</v>
      </c>
      <c r="W56" s="179"/>
    </row>
    <row r="57" spans="1:23">
      <c r="A57"/>
      <c r="B57">
        <v>37144</v>
      </c>
      <c r="C57">
        <v>37144</v>
      </c>
      <c r="D57">
        <v>37151</v>
      </c>
      <c r="E57">
        <v>6.95</v>
      </c>
      <c r="F57">
        <v>6.96</v>
      </c>
      <c r="G57">
        <v>4.3</v>
      </c>
      <c r="H57"/>
      <c r="I57">
        <v>29</v>
      </c>
      <c r="J57">
        <v>64</v>
      </c>
      <c r="K57">
        <v>9</v>
      </c>
      <c r="L57">
        <v>18</v>
      </c>
      <c r="M57">
        <v>2</v>
      </c>
      <c r="N57">
        <v>3</v>
      </c>
      <c r="O57">
        <v>0</v>
      </c>
      <c r="P57">
        <v>0</v>
      </c>
      <c r="Q57">
        <f t="shared" si="2"/>
        <v>40</v>
      </c>
      <c r="R57">
        <f t="shared" si="3"/>
        <v>85</v>
      </c>
      <c r="S57">
        <v>0.75</v>
      </c>
      <c r="T57">
        <v>0</v>
      </c>
      <c r="U57">
        <v>0.45</v>
      </c>
      <c r="V57">
        <v>0.2</v>
      </c>
      <c r="W57" s="179"/>
    </row>
    <row r="58" spans="1:23">
      <c r="A58" s="427">
        <v>37151</v>
      </c>
      <c r="B58">
        <v>37151</v>
      </c>
      <c r="C58">
        <v>37151</v>
      </c>
      <c r="D58">
        <v>37158</v>
      </c>
      <c r="E58">
        <v>6.97</v>
      </c>
      <c r="F58">
        <v>7.06</v>
      </c>
      <c r="G58">
        <v>5</v>
      </c>
      <c r="H58"/>
      <c r="I58">
        <v>31</v>
      </c>
      <c r="J58">
        <v>45</v>
      </c>
      <c r="K58">
        <v>10</v>
      </c>
      <c r="L58">
        <v>14</v>
      </c>
      <c r="M58">
        <v>2</v>
      </c>
      <c r="N58">
        <v>2</v>
      </c>
      <c r="O58">
        <v>0</v>
      </c>
      <c r="P58">
        <v>0</v>
      </c>
      <c r="Q58">
        <f t="shared" si="2"/>
        <v>43</v>
      </c>
      <c r="R58">
        <f t="shared" si="3"/>
        <v>61</v>
      </c>
      <c r="S58">
        <v>0.5</v>
      </c>
      <c r="T58">
        <v>0</v>
      </c>
      <c r="U58">
        <v>0.45</v>
      </c>
      <c r="V58">
        <v>0.1</v>
      </c>
      <c r="W58" s="179"/>
    </row>
    <row r="59" spans="1:23">
      <c r="A59"/>
      <c r="B59">
        <v>37158</v>
      </c>
      <c r="C59">
        <v>37158</v>
      </c>
      <c r="D59">
        <v>37165</v>
      </c>
      <c r="E59">
        <v>6.97</v>
      </c>
      <c r="F59">
        <v>7.07</v>
      </c>
      <c r="G59">
        <v>4.9000000000000004</v>
      </c>
      <c r="H59"/>
      <c r="I59">
        <v>30</v>
      </c>
      <c r="J59">
        <v>54</v>
      </c>
      <c r="K59">
        <v>10</v>
      </c>
      <c r="L59">
        <v>16</v>
      </c>
      <c r="M59">
        <v>2</v>
      </c>
      <c r="N59">
        <v>2</v>
      </c>
      <c r="O59">
        <v>0</v>
      </c>
      <c r="P59">
        <v>0</v>
      </c>
      <c r="Q59">
        <f t="shared" ref="Q59:Q91" si="4">I59+K59+M59+O59</f>
        <v>42</v>
      </c>
      <c r="R59">
        <f t="shared" ref="R59:R91" si="5">J59+L59+N59+P59</f>
        <v>72</v>
      </c>
      <c r="S59">
        <v>0.55000000000000004</v>
      </c>
      <c r="T59">
        <v>0</v>
      </c>
      <c r="U59">
        <v>0.45</v>
      </c>
      <c r="V59">
        <v>0.15</v>
      </c>
      <c r="W59" s="179"/>
    </row>
    <row r="60" spans="1:23">
      <c r="A60"/>
      <c r="B60">
        <v>37166</v>
      </c>
      <c r="C60">
        <v>37166</v>
      </c>
      <c r="D60">
        <v>37173</v>
      </c>
      <c r="E60">
        <v>7.01</v>
      </c>
      <c r="F60">
        <v>7.13</v>
      </c>
      <c r="G60">
        <v>5.0999999999999996</v>
      </c>
      <c r="H60"/>
      <c r="I60">
        <v>31</v>
      </c>
      <c r="J60">
        <v>48</v>
      </c>
      <c r="K60">
        <v>11</v>
      </c>
      <c r="L60">
        <v>15</v>
      </c>
      <c r="M60">
        <v>2</v>
      </c>
      <c r="N60">
        <v>2</v>
      </c>
      <c r="O60">
        <v>0</v>
      </c>
      <c r="P60">
        <v>0</v>
      </c>
      <c r="Q60">
        <f t="shared" si="4"/>
        <v>44</v>
      </c>
      <c r="R60">
        <f t="shared" si="5"/>
        <v>65</v>
      </c>
      <c r="S60">
        <v>0.4</v>
      </c>
      <c r="T60">
        <v>0</v>
      </c>
      <c r="U60">
        <v>0.4</v>
      </c>
      <c r="V60">
        <v>0.1</v>
      </c>
      <c r="W60" s="179"/>
    </row>
    <row r="61" spans="1:23">
      <c r="A61"/>
      <c r="B61">
        <v>37173</v>
      </c>
      <c r="C61">
        <v>37173</v>
      </c>
      <c r="D61">
        <v>37181</v>
      </c>
      <c r="E61">
        <v>7.03</v>
      </c>
      <c r="F61">
        <v>6.99</v>
      </c>
      <c r="G61">
        <v>4.8</v>
      </c>
      <c r="H61"/>
      <c r="I61">
        <v>29</v>
      </c>
      <c r="J61">
        <v>42</v>
      </c>
      <c r="K61">
        <v>10</v>
      </c>
      <c r="L61">
        <v>13</v>
      </c>
      <c r="M61">
        <v>2</v>
      </c>
      <c r="N61">
        <v>2</v>
      </c>
      <c r="O61">
        <v>0</v>
      </c>
      <c r="P61">
        <v>0</v>
      </c>
      <c r="Q61">
        <f t="shared" si="4"/>
        <v>41</v>
      </c>
      <c r="R61">
        <f t="shared" si="5"/>
        <v>57</v>
      </c>
      <c r="S61">
        <v>0.35</v>
      </c>
      <c r="T61">
        <v>0</v>
      </c>
      <c r="U61">
        <v>0.35</v>
      </c>
      <c r="V61">
        <v>0.1</v>
      </c>
      <c r="W61" s="179" t="s">
        <v>316</v>
      </c>
    </row>
    <row r="62" spans="1:23">
      <c r="A62"/>
      <c r="B62">
        <v>37179</v>
      </c>
      <c r="C62">
        <v>37179</v>
      </c>
      <c r="D62">
        <v>37186</v>
      </c>
      <c r="E62">
        <v>7.03</v>
      </c>
      <c r="F62">
        <v>6.78</v>
      </c>
      <c r="G62">
        <v>4.0999999999999996</v>
      </c>
      <c r="H62"/>
      <c r="I62">
        <v>26</v>
      </c>
      <c r="J62">
        <v>46</v>
      </c>
      <c r="K62">
        <v>9</v>
      </c>
      <c r="L62">
        <v>15</v>
      </c>
      <c r="M62">
        <v>2</v>
      </c>
      <c r="N62">
        <v>2</v>
      </c>
      <c r="O62">
        <v>0</v>
      </c>
      <c r="P62">
        <v>0</v>
      </c>
      <c r="Q62">
        <f t="shared" si="4"/>
        <v>37</v>
      </c>
      <c r="R62">
        <f t="shared" si="5"/>
        <v>63</v>
      </c>
      <c r="S62">
        <v>0.9</v>
      </c>
      <c r="T62">
        <v>0</v>
      </c>
      <c r="U62">
        <v>0.4</v>
      </c>
      <c r="V62">
        <v>0.1</v>
      </c>
      <c r="W62" s="179"/>
    </row>
    <row r="63" spans="1:23">
      <c r="A63"/>
      <c r="B63">
        <v>37186</v>
      </c>
      <c r="C63">
        <v>37186</v>
      </c>
      <c r="D63">
        <v>37193</v>
      </c>
      <c r="E63">
        <v>6.92</v>
      </c>
      <c r="F63">
        <v>7.06</v>
      </c>
      <c r="G63">
        <v>4.3</v>
      </c>
      <c r="H63"/>
      <c r="I63">
        <v>25</v>
      </c>
      <c r="J63">
        <v>48</v>
      </c>
      <c r="K63">
        <v>9</v>
      </c>
      <c r="L63">
        <v>16</v>
      </c>
      <c r="M63">
        <v>2</v>
      </c>
      <c r="N63">
        <v>3</v>
      </c>
      <c r="O63">
        <v>0</v>
      </c>
      <c r="P63">
        <v>0</v>
      </c>
      <c r="Q63">
        <f t="shared" si="4"/>
        <v>36</v>
      </c>
      <c r="R63">
        <f t="shared" si="5"/>
        <v>67</v>
      </c>
      <c r="S63">
        <v>0.75</v>
      </c>
      <c r="T63">
        <v>0</v>
      </c>
      <c r="U63">
        <v>0.45</v>
      </c>
      <c r="V63">
        <v>0.1</v>
      </c>
      <c r="W63" s="179"/>
    </row>
    <row r="64" spans="1:23">
      <c r="A64"/>
      <c r="B64">
        <v>37193</v>
      </c>
      <c r="C64">
        <v>37193</v>
      </c>
      <c r="D64">
        <v>37200</v>
      </c>
      <c r="E64">
        <v>6.88</v>
      </c>
      <c r="F64">
        <v>6.99</v>
      </c>
      <c r="G64">
        <v>4</v>
      </c>
      <c r="H64"/>
      <c r="I64">
        <v>16</v>
      </c>
      <c r="J64">
        <v>35</v>
      </c>
      <c r="K64">
        <v>6</v>
      </c>
      <c r="L64">
        <v>14</v>
      </c>
      <c r="M64">
        <v>1</v>
      </c>
      <c r="N64">
        <v>3</v>
      </c>
      <c r="O64">
        <v>0</v>
      </c>
      <c r="P64">
        <v>0</v>
      </c>
      <c r="Q64">
        <f t="shared" si="4"/>
        <v>23</v>
      </c>
      <c r="R64">
        <f t="shared" si="5"/>
        <v>52</v>
      </c>
      <c r="S64">
        <v>0.45</v>
      </c>
      <c r="T64">
        <v>0</v>
      </c>
      <c r="U64">
        <v>0.3</v>
      </c>
      <c r="V64">
        <v>0.1</v>
      </c>
      <c r="W64" s="179"/>
    </row>
    <row r="65" spans="1:23">
      <c r="A65"/>
      <c r="B65">
        <v>37200</v>
      </c>
      <c r="C65">
        <v>37200</v>
      </c>
      <c r="D65">
        <v>37207</v>
      </c>
      <c r="E65">
        <v>6.94</v>
      </c>
      <c r="F65">
        <v>7</v>
      </c>
      <c r="G65">
        <v>4.2</v>
      </c>
      <c r="H65"/>
      <c r="I65">
        <v>20</v>
      </c>
      <c r="J65">
        <v>38</v>
      </c>
      <c r="K65">
        <v>8</v>
      </c>
      <c r="L65">
        <v>15</v>
      </c>
      <c r="M65">
        <v>2</v>
      </c>
      <c r="N65">
        <v>3</v>
      </c>
      <c r="O65">
        <v>0</v>
      </c>
      <c r="P65">
        <v>0</v>
      </c>
      <c r="Q65">
        <f t="shared" si="4"/>
        <v>30</v>
      </c>
      <c r="R65">
        <f t="shared" si="5"/>
        <v>56</v>
      </c>
      <c r="S65">
        <v>0.5</v>
      </c>
      <c r="T65">
        <v>0</v>
      </c>
      <c r="U65">
        <v>0.25</v>
      </c>
      <c r="V65">
        <v>0</v>
      </c>
      <c r="W65" s="179"/>
    </row>
    <row r="66" spans="1:23">
      <c r="A66"/>
      <c r="B66">
        <v>37207</v>
      </c>
      <c r="C66">
        <v>37207</v>
      </c>
      <c r="D66">
        <v>37214</v>
      </c>
      <c r="E66">
        <v>6.91</v>
      </c>
      <c r="F66">
        <v>7.18</v>
      </c>
      <c r="G66">
        <v>3.9</v>
      </c>
      <c r="H66"/>
      <c r="I66">
        <v>14</v>
      </c>
      <c r="J66">
        <v>33</v>
      </c>
      <c r="K66">
        <v>5</v>
      </c>
      <c r="L66">
        <v>14</v>
      </c>
      <c r="M66">
        <v>1</v>
      </c>
      <c r="N66">
        <v>3</v>
      </c>
      <c r="O66">
        <v>0</v>
      </c>
      <c r="P66">
        <v>0</v>
      </c>
      <c r="Q66">
        <f t="shared" si="4"/>
        <v>20</v>
      </c>
      <c r="R66">
        <f t="shared" si="5"/>
        <v>50</v>
      </c>
      <c r="S66">
        <v>0.4</v>
      </c>
      <c r="T66">
        <v>0</v>
      </c>
      <c r="U66">
        <v>0.2</v>
      </c>
      <c r="V66">
        <v>0</v>
      </c>
      <c r="W66" s="179"/>
    </row>
    <row r="67" spans="1:23">
      <c r="A67"/>
      <c r="B67">
        <v>37214</v>
      </c>
      <c r="C67">
        <v>37214</v>
      </c>
      <c r="D67">
        <v>37221</v>
      </c>
      <c r="E67">
        <v>7.19</v>
      </c>
      <c r="F67">
        <v>7.14</v>
      </c>
      <c r="G67">
        <v>4.2</v>
      </c>
      <c r="H67"/>
      <c r="I67">
        <v>16</v>
      </c>
      <c r="J67">
        <v>27</v>
      </c>
      <c r="K67">
        <v>6</v>
      </c>
      <c r="L67">
        <v>12</v>
      </c>
      <c r="M67">
        <v>1</v>
      </c>
      <c r="N67">
        <v>3</v>
      </c>
      <c r="O67">
        <v>0</v>
      </c>
      <c r="P67">
        <v>0</v>
      </c>
      <c r="Q67">
        <f t="shared" si="4"/>
        <v>23</v>
      </c>
      <c r="R67">
        <f t="shared" si="5"/>
        <v>42</v>
      </c>
      <c r="S67">
        <v>0.4</v>
      </c>
      <c r="T67">
        <v>0</v>
      </c>
      <c r="U67">
        <v>0.3</v>
      </c>
      <c r="V67">
        <v>0.1</v>
      </c>
      <c r="W67" s="179"/>
    </row>
    <row r="68" spans="1:23">
      <c r="A68"/>
      <c r="B68"/>
      <c r="C68"/>
      <c r="D68"/>
      <c r="E68"/>
      <c r="F68"/>
      <c r="G68"/>
      <c r="H68"/>
      <c r="I68"/>
      <c r="J68"/>
      <c r="K68"/>
      <c r="L68"/>
      <c r="M68"/>
      <c r="N68"/>
      <c r="O68"/>
      <c r="P68"/>
      <c r="Q68">
        <f t="shared" si="4"/>
        <v>0</v>
      </c>
      <c r="R68">
        <f t="shared" si="5"/>
        <v>0</v>
      </c>
      <c r="S68"/>
      <c r="T68"/>
      <c r="U68"/>
      <c r="V68"/>
      <c r="W68" s="179"/>
    </row>
    <row r="69" spans="1:23">
      <c r="A69"/>
      <c r="B69"/>
      <c r="C69"/>
      <c r="D69"/>
      <c r="E69"/>
      <c r="F69"/>
      <c r="G69"/>
      <c r="H69"/>
      <c r="I69"/>
      <c r="J69"/>
      <c r="K69"/>
      <c r="L69"/>
      <c r="M69"/>
      <c r="N69"/>
      <c r="O69"/>
      <c r="P69"/>
      <c r="Q69">
        <f t="shared" si="4"/>
        <v>0</v>
      </c>
      <c r="R69">
        <f t="shared" si="5"/>
        <v>0</v>
      </c>
      <c r="S69"/>
      <c r="T69"/>
      <c r="U69"/>
      <c r="V69"/>
      <c r="W69" s="179"/>
    </row>
    <row r="70" spans="1:23">
      <c r="A70"/>
      <c r="B70"/>
      <c r="C70"/>
      <c r="D70"/>
      <c r="E70"/>
      <c r="F70"/>
      <c r="G70"/>
      <c r="H70"/>
      <c r="I70"/>
      <c r="J70"/>
      <c r="K70"/>
      <c r="L70"/>
      <c r="M70"/>
      <c r="N70"/>
      <c r="O70"/>
      <c r="P70"/>
      <c r="Q70">
        <f t="shared" si="4"/>
        <v>0</v>
      </c>
      <c r="R70">
        <f t="shared" si="5"/>
        <v>0</v>
      </c>
      <c r="S70"/>
      <c r="T70"/>
      <c r="U70"/>
      <c r="V70"/>
      <c r="W70" s="179"/>
    </row>
    <row r="71" spans="1:23">
      <c r="A71"/>
      <c r="B71"/>
      <c r="C71"/>
      <c r="D71"/>
      <c r="E71"/>
      <c r="F71"/>
      <c r="G71"/>
      <c r="H71"/>
      <c r="I71"/>
      <c r="J71"/>
      <c r="K71"/>
      <c r="L71"/>
      <c r="M71"/>
      <c r="N71"/>
      <c r="O71"/>
      <c r="P71"/>
      <c r="Q71">
        <f t="shared" si="4"/>
        <v>0</v>
      </c>
      <c r="R71">
        <f t="shared" si="5"/>
        <v>0</v>
      </c>
      <c r="S71"/>
      <c r="T71"/>
      <c r="U71"/>
      <c r="V71"/>
      <c r="W71" s="179"/>
    </row>
    <row r="72" spans="1:23">
      <c r="A72"/>
      <c r="B72"/>
      <c r="C72"/>
      <c r="D72"/>
      <c r="E72"/>
      <c r="F72"/>
      <c r="G72"/>
      <c r="H72"/>
      <c r="I72"/>
      <c r="J72"/>
      <c r="K72"/>
      <c r="L72"/>
      <c r="M72"/>
      <c r="N72"/>
      <c r="O72"/>
      <c r="P72"/>
      <c r="Q72">
        <f t="shared" si="4"/>
        <v>0</v>
      </c>
      <c r="R72">
        <f t="shared" si="5"/>
        <v>0</v>
      </c>
      <c r="S72"/>
      <c r="T72"/>
      <c r="U72"/>
      <c r="V72"/>
      <c r="W72" s="179"/>
    </row>
    <row r="73" spans="1:23">
      <c r="A73"/>
      <c r="B73"/>
      <c r="C73"/>
      <c r="D73"/>
      <c r="E73"/>
      <c r="F73"/>
      <c r="G73"/>
      <c r="H73"/>
      <c r="I73"/>
      <c r="J73"/>
      <c r="K73"/>
      <c r="L73"/>
      <c r="M73"/>
      <c r="N73"/>
      <c r="O73"/>
      <c r="P73"/>
      <c r="Q73">
        <f t="shared" si="4"/>
        <v>0</v>
      </c>
      <c r="R73">
        <f t="shared" si="5"/>
        <v>0</v>
      </c>
      <c r="S73"/>
      <c r="T73"/>
      <c r="U73"/>
      <c r="V73"/>
      <c r="W73" s="179"/>
    </row>
    <row r="74" spans="1:23">
      <c r="A74"/>
      <c r="B74"/>
      <c r="C74"/>
      <c r="D74"/>
      <c r="E74"/>
      <c r="F74"/>
      <c r="G74"/>
      <c r="H74"/>
      <c r="I74"/>
      <c r="J74"/>
      <c r="K74"/>
      <c r="L74"/>
      <c r="M74"/>
      <c r="N74"/>
      <c r="O74"/>
      <c r="P74"/>
      <c r="Q74">
        <f t="shared" si="4"/>
        <v>0</v>
      </c>
      <c r="R74">
        <f t="shared" si="5"/>
        <v>0</v>
      </c>
      <c r="S74"/>
      <c r="T74"/>
      <c r="U74"/>
      <c r="V74"/>
      <c r="W74" s="179"/>
    </row>
    <row r="75" spans="1:23">
      <c r="A75"/>
      <c r="B75"/>
      <c r="C75"/>
      <c r="D75"/>
      <c r="E75"/>
      <c r="F75"/>
      <c r="G75"/>
      <c r="H75"/>
      <c r="I75"/>
      <c r="J75"/>
      <c r="K75"/>
      <c r="L75"/>
      <c r="M75"/>
      <c r="N75"/>
      <c r="O75"/>
      <c r="P75"/>
      <c r="Q75">
        <f t="shared" si="4"/>
        <v>0</v>
      </c>
      <c r="R75">
        <f t="shared" si="5"/>
        <v>0</v>
      </c>
      <c r="S75"/>
      <c r="T75"/>
      <c r="U75"/>
      <c r="V75"/>
      <c r="W75" s="179"/>
    </row>
    <row r="76" spans="1:23">
      <c r="A76"/>
      <c r="B76"/>
      <c r="C76"/>
      <c r="D76"/>
      <c r="E76"/>
      <c r="F76"/>
      <c r="G76"/>
      <c r="H76"/>
      <c r="I76"/>
      <c r="J76"/>
      <c r="K76"/>
      <c r="L76"/>
      <c r="M76"/>
      <c r="N76"/>
      <c r="O76"/>
      <c r="P76"/>
      <c r="Q76">
        <f t="shared" si="4"/>
        <v>0</v>
      </c>
      <c r="R76">
        <f t="shared" si="5"/>
        <v>0</v>
      </c>
      <c r="S76"/>
      <c r="T76"/>
      <c r="U76"/>
      <c r="V76"/>
      <c r="W76" s="179"/>
    </row>
    <row r="77" spans="1:23">
      <c r="A77"/>
      <c r="B77"/>
      <c r="C77"/>
      <c r="D77"/>
      <c r="E77"/>
      <c r="F77"/>
      <c r="G77"/>
      <c r="H77"/>
      <c r="I77"/>
      <c r="J77"/>
      <c r="K77"/>
      <c r="L77"/>
      <c r="M77"/>
      <c r="N77"/>
      <c r="O77"/>
      <c r="P77"/>
      <c r="Q77">
        <f t="shared" si="4"/>
        <v>0</v>
      </c>
      <c r="R77">
        <f t="shared" si="5"/>
        <v>0</v>
      </c>
      <c r="S77"/>
      <c r="T77"/>
      <c r="U77"/>
      <c r="V77"/>
      <c r="W77" s="179"/>
    </row>
    <row r="78" spans="1:23">
      <c r="A78"/>
      <c r="B78"/>
      <c r="C78"/>
      <c r="D78"/>
      <c r="E78"/>
      <c r="F78"/>
      <c r="G78"/>
      <c r="H78"/>
      <c r="I78"/>
      <c r="J78"/>
      <c r="K78"/>
      <c r="L78"/>
      <c r="M78"/>
      <c r="N78"/>
      <c r="O78"/>
      <c r="P78"/>
      <c r="Q78">
        <f t="shared" si="4"/>
        <v>0</v>
      </c>
      <c r="R78">
        <f t="shared" si="5"/>
        <v>0</v>
      </c>
      <c r="S78"/>
      <c r="T78"/>
      <c r="U78"/>
      <c r="V78"/>
      <c r="W78" s="179"/>
    </row>
    <row r="79" spans="1:23">
      <c r="A79"/>
      <c r="B79"/>
      <c r="C79"/>
      <c r="D79"/>
      <c r="E79"/>
      <c r="F79"/>
      <c r="G79"/>
      <c r="H79"/>
      <c r="I79"/>
      <c r="J79"/>
      <c r="K79"/>
      <c r="L79"/>
      <c r="M79"/>
      <c r="N79"/>
      <c r="O79"/>
      <c r="P79"/>
      <c r="Q79">
        <f t="shared" si="4"/>
        <v>0</v>
      </c>
      <c r="R79">
        <f t="shared" si="5"/>
        <v>0</v>
      </c>
      <c r="S79"/>
      <c r="T79"/>
      <c r="U79"/>
      <c r="V79"/>
      <c r="W79" s="179"/>
    </row>
    <row r="80" spans="1:23">
      <c r="A80"/>
      <c r="B80"/>
      <c r="C80"/>
      <c r="D80"/>
      <c r="E80"/>
      <c r="F80"/>
      <c r="G80"/>
      <c r="H80"/>
      <c r="I80"/>
      <c r="J80"/>
      <c r="K80"/>
      <c r="L80"/>
      <c r="M80"/>
      <c r="N80"/>
      <c r="O80"/>
      <c r="P80"/>
      <c r="Q80">
        <f t="shared" si="4"/>
        <v>0</v>
      </c>
      <c r="R80">
        <f t="shared" si="5"/>
        <v>0</v>
      </c>
      <c r="S80"/>
      <c r="T80"/>
      <c r="U80"/>
      <c r="V80"/>
      <c r="W80" s="179"/>
    </row>
    <row r="81" spans="1:23">
      <c r="A81"/>
      <c r="B81"/>
      <c r="C81"/>
      <c r="D81"/>
      <c r="E81"/>
      <c r="F81"/>
      <c r="G81"/>
      <c r="H81"/>
      <c r="I81"/>
      <c r="J81"/>
      <c r="K81"/>
      <c r="L81"/>
      <c r="M81"/>
      <c r="N81"/>
      <c r="O81"/>
      <c r="P81"/>
      <c r="Q81">
        <f t="shared" si="4"/>
        <v>0</v>
      </c>
      <c r="R81">
        <f t="shared" si="5"/>
        <v>0</v>
      </c>
      <c r="S81"/>
      <c r="T81"/>
      <c r="U81"/>
      <c r="V81"/>
      <c r="W81" s="179"/>
    </row>
    <row r="82" spans="1:23">
      <c r="A82"/>
      <c r="B82"/>
      <c r="C82"/>
      <c r="D82"/>
      <c r="E82"/>
      <c r="F82"/>
      <c r="G82"/>
      <c r="H82"/>
      <c r="I82"/>
      <c r="J82"/>
      <c r="K82"/>
      <c r="L82"/>
      <c r="M82"/>
      <c r="N82"/>
      <c r="O82"/>
      <c r="P82"/>
      <c r="Q82">
        <f t="shared" si="4"/>
        <v>0</v>
      </c>
      <c r="R82">
        <f t="shared" si="5"/>
        <v>0</v>
      </c>
      <c r="S82"/>
      <c r="T82"/>
      <c r="U82"/>
      <c r="V82"/>
      <c r="W82" s="179"/>
    </row>
    <row r="83" spans="1:23">
      <c r="A83"/>
      <c r="B83"/>
      <c r="C83"/>
      <c r="D83"/>
      <c r="E83"/>
      <c r="F83"/>
      <c r="G83"/>
      <c r="H83"/>
      <c r="I83"/>
      <c r="J83"/>
      <c r="K83"/>
      <c r="L83"/>
      <c r="M83"/>
      <c r="N83"/>
      <c r="O83"/>
      <c r="P83"/>
      <c r="Q83">
        <f t="shared" si="4"/>
        <v>0</v>
      </c>
      <c r="R83">
        <f t="shared" si="5"/>
        <v>0</v>
      </c>
      <c r="S83"/>
      <c r="T83"/>
      <c r="U83"/>
      <c r="V83"/>
      <c r="W83" s="179"/>
    </row>
    <row r="84" spans="1:23">
      <c r="A84"/>
      <c r="B84"/>
      <c r="C84"/>
      <c r="D84"/>
      <c r="E84"/>
      <c r="F84"/>
      <c r="G84"/>
      <c r="H84"/>
      <c r="I84"/>
      <c r="J84"/>
      <c r="K84"/>
      <c r="L84"/>
      <c r="M84"/>
      <c r="N84"/>
      <c r="O84"/>
      <c r="P84"/>
      <c r="Q84">
        <f t="shared" si="4"/>
        <v>0</v>
      </c>
      <c r="R84">
        <f t="shared" si="5"/>
        <v>0</v>
      </c>
      <c r="S84"/>
      <c r="T84"/>
      <c r="U84"/>
      <c r="V84"/>
      <c r="W84" s="179"/>
    </row>
    <row r="85" spans="1:23">
      <c r="A85"/>
      <c r="B85"/>
      <c r="C85"/>
      <c r="D85"/>
      <c r="E85"/>
      <c r="F85"/>
      <c r="G85"/>
      <c r="H85"/>
      <c r="I85"/>
      <c r="J85"/>
      <c r="K85"/>
      <c r="L85"/>
      <c r="M85"/>
      <c r="N85"/>
      <c r="O85"/>
      <c r="P85"/>
      <c r="Q85">
        <f t="shared" si="4"/>
        <v>0</v>
      </c>
      <c r="R85">
        <f t="shared" si="5"/>
        <v>0</v>
      </c>
      <c r="S85"/>
      <c r="T85"/>
      <c r="U85"/>
      <c r="V85"/>
      <c r="W85" s="179"/>
    </row>
    <row r="86" spans="1:23">
      <c r="A86"/>
      <c r="B86"/>
      <c r="C86"/>
      <c r="D86"/>
      <c r="E86"/>
      <c r="F86"/>
      <c r="G86"/>
      <c r="H86"/>
      <c r="I86"/>
      <c r="J86"/>
      <c r="K86"/>
      <c r="L86"/>
      <c r="M86"/>
      <c r="N86"/>
      <c r="O86"/>
      <c r="P86"/>
      <c r="Q86">
        <f t="shared" si="4"/>
        <v>0</v>
      </c>
      <c r="R86">
        <f t="shared" si="5"/>
        <v>0</v>
      </c>
      <c r="S86"/>
      <c r="T86"/>
      <c r="U86"/>
      <c r="V86"/>
      <c r="W86" s="179"/>
    </row>
    <row r="87" spans="1:23">
      <c r="A87"/>
      <c r="B87"/>
      <c r="C87"/>
      <c r="D87"/>
      <c r="E87"/>
      <c r="F87"/>
      <c r="G87"/>
      <c r="H87"/>
      <c r="I87"/>
      <c r="J87"/>
      <c r="K87"/>
      <c r="L87"/>
      <c r="M87"/>
      <c r="N87"/>
      <c r="O87"/>
      <c r="P87"/>
      <c r="Q87">
        <f t="shared" si="4"/>
        <v>0</v>
      </c>
      <c r="R87">
        <f t="shared" si="5"/>
        <v>0</v>
      </c>
      <c r="S87"/>
      <c r="T87"/>
      <c r="U87"/>
      <c r="V87"/>
      <c r="W87" s="179"/>
    </row>
    <row r="88" spans="1:23">
      <c r="A88"/>
      <c r="B88"/>
      <c r="C88"/>
      <c r="D88"/>
      <c r="E88"/>
      <c r="F88"/>
      <c r="G88"/>
      <c r="H88"/>
      <c r="I88"/>
      <c r="J88"/>
      <c r="K88"/>
      <c r="L88"/>
      <c r="M88"/>
      <c r="N88"/>
      <c r="O88"/>
      <c r="P88"/>
      <c r="Q88">
        <f t="shared" si="4"/>
        <v>0</v>
      </c>
      <c r="R88">
        <f t="shared" si="5"/>
        <v>0</v>
      </c>
      <c r="S88"/>
      <c r="T88"/>
      <c r="U88"/>
      <c r="V88"/>
      <c r="W88" s="179"/>
    </row>
    <row r="89" spans="1:23">
      <c r="A89"/>
      <c r="B89"/>
      <c r="C89"/>
      <c r="D89"/>
      <c r="E89"/>
      <c r="F89"/>
      <c r="G89"/>
      <c r="H89"/>
      <c r="I89"/>
      <c r="J89"/>
      <c r="K89"/>
      <c r="L89"/>
      <c r="M89"/>
      <c r="N89"/>
      <c r="O89"/>
      <c r="P89"/>
      <c r="Q89">
        <f t="shared" si="4"/>
        <v>0</v>
      </c>
      <c r="R89">
        <f t="shared" si="5"/>
        <v>0</v>
      </c>
      <c r="S89"/>
      <c r="T89"/>
      <c r="U89"/>
      <c r="V89"/>
      <c r="W89" s="179"/>
    </row>
    <row r="90" spans="1:23">
      <c r="A90"/>
      <c r="B90"/>
      <c r="C90"/>
      <c r="D90"/>
      <c r="E90"/>
      <c r="F90"/>
      <c r="G90"/>
      <c r="H90"/>
      <c r="I90"/>
      <c r="J90"/>
      <c r="K90"/>
      <c r="L90"/>
      <c r="M90"/>
      <c r="N90"/>
      <c r="O90"/>
      <c r="P90"/>
      <c r="Q90">
        <f t="shared" si="4"/>
        <v>0</v>
      </c>
      <c r="R90">
        <f t="shared" si="5"/>
        <v>0</v>
      </c>
      <c r="S90"/>
      <c r="T90"/>
      <c r="U90"/>
      <c r="V90"/>
      <c r="W90" s="179"/>
    </row>
    <row r="91" spans="1:23">
      <c r="A91"/>
      <c r="B91"/>
      <c r="C91"/>
      <c r="D91"/>
      <c r="E91"/>
      <c r="F91"/>
      <c r="G91"/>
      <c r="H91"/>
      <c r="I91"/>
      <c r="J91"/>
      <c r="K91"/>
      <c r="L91"/>
      <c r="M91"/>
      <c r="N91"/>
      <c r="O91"/>
      <c r="P91"/>
      <c r="Q91">
        <f t="shared" si="4"/>
        <v>0</v>
      </c>
      <c r="R91">
        <f t="shared" si="5"/>
        <v>0</v>
      </c>
      <c r="S91"/>
      <c r="T91"/>
      <c r="U91"/>
      <c r="V91"/>
      <c r="W91" s="179"/>
    </row>
    <row r="92" spans="1:23">
      <c r="A92" s="180" t="s">
        <v>261</v>
      </c>
      <c r="B92" s="181"/>
      <c r="C92" s="182"/>
      <c r="D92" s="182"/>
      <c r="E92" s="183"/>
      <c r="F92" s="184"/>
      <c r="G92" s="185"/>
      <c r="H92" s="186"/>
      <c r="I92" s="187"/>
      <c r="J92" s="188"/>
      <c r="K92" s="188"/>
      <c r="L92" s="188"/>
      <c r="M92" s="188"/>
      <c r="N92" s="188"/>
      <c r="O92" s="188"/>
      <c r="P92" s="188"/>
      <c r="Q92" s="188"/>
      <c r="R92" s="188"/>
      <c r="S92" s="183"/>
      <c r="T92" s="184"/>
      <c r="U92" s="183"/>
      <c r="V92" s="184"/>
      <c r="W92" s="179"/>
    </row>
    <row r="93" spans="1:23">
      <c r="A93" s="424"/>
      <c r="B93" s="189"/>
      <c r="C93" s="189"/>
      <c r="D93" s="190" t="s">
        <v>262</v>
      </c>
      <c r="E93" s="191">
        <f t="shared" ref="E93:V93" si="6">AVERAGE(E4:E92)</f>
        <v>6.9979687500000001</v>
      </c>
      <c r="F93" s="192">
        <f t="shared" si="6"/>
        <v>7.0303124999999982</v>
      </c>
      <c r="G93" s="164">
        <f t="shared" si="6"/>
        <v>4.7781250000000002</v>
      </c>
      <c r="H93" s="165" t="e">
        <f t="shared" si="6"/>
        <v>#DIV/0!</v>
      </c>
      <c r="I93" s="164">
        <f t="shared" si="6"/>
        <v>31.640625</v>
      </c>
      <c r="J93" s="193">
        <f t="shared" si="6"/>
        <v>44.578125</v>
      </c>
      <c r="K93" s="193">
        <f t="shared" si="6"/>
        <v>13.015625</v>
      </c>
      <c r="L93" s="193">
        <f t="shared" si="6"/>
        <v>17.328125</v>
      </c>
      <c r="M93" s="193">
        <f t="shared" si="6"/>
        <v>2.03125</v>
      </c>
      <c r="N93" s="193">
        <f t="shared" si="6"/>
        <v>2.671875</v>
      </c>
      <c r="O93" s="193">
        <f t="shared" si="6"/>
        <v>3.1746031746031744E-2</v>
      </c>
      <c r="P93" s="193">
        <f t="shared" si="6"/>
        <v>1.5625E-2</v>
      </c>
      <c r="Q93" s="193">
        <f t="shared" si="6"/>
        <v>33.977272727272727</v>
      </c>
      <c r="R93" s="193">
        <f t="shared" si="6"/>
        <v>46.977272727272727</v>
      </c>
      <c r="S93" s="191">
        <f t="shared" si="6"/>
        <v>0.4812499999999999</v>
      </c>
      <c r="T93" s="192">
        <f t="shared" si="6"/>
        <v>0</v>
      </c>
      <c r="U93" s="191">
        <f t="shared" si="6"/>
        <v>0.28145161290322579</v>
      </c>
      <c r="V93" s="192">
        <f t="shared" si="6"/>
        <v>2.8125000000000008E-2</v>
      </c>
      <c r="W93" s="179"/>
    </row>
    <row r="94" spans="1:23">
      <c r="A94" s="179"/>
      <c r="B94" s="143"/>
      <c r="C94" s="143"/>
      <c r="D94" s="194" t="s">
        <v>317</v>
      </c>
      <c r="E94"/>
      <c r="F94">
        <f>ABS(E93-F93)/MAX(E93:F93)</f>
        <v>4.6006134151217494E-3</v>
      </c>
      <c r="G94"/>
      <c r="H94" t="e">
        <f>ABS(G93-H93)/MAX(G93:H93)</f>
        <v>#DIV/0!</v>
      </c>
      <c r="I94"/>
      <c r="J94">
        <f>ABS(I93-J93)/MAX(I93:J93)</f>
        <v>0.29022082018927448</v>
      </c>
      <c r="K94"/>
      <c r="L94">
        <f>ABS(K93-L93)/MAX(K93:L93)</f>
        <v>0.24887285843101895</v>
      </c>
      <c r="M94"/>
      <c r="N94">
        <f>ABS(M93-N93)/MAX(M93:N93)</f>
        <v>0.23976608187134502</v>
      </c>
      <c r="O94"/>
      <c r="P94">
        <f>ABS(O93-P93)/MAX(O93:P93)</f>
        <v>0.5078125</v>
      </c>
      <c r="Q94"/>
      <c r="R94">
        <f>ABS(Q93-R93)/MAX(Q93:R93)</f>
        <v>0.27672955974842767</v>
      </c>
      <c r="S94"/>
      <c r="T94">
        <f>ABS(S93-T93)/MAX(S93:T93)</f>
        <v>1</v>
      </c>
      <c r="U94"/>
      <c r="V94">
        <f>ABS(U93-V93)/MAX(U93:V93)</f>
        <v>0.90007163323782235</v>
      </c>
      <c r="W94" s="179"/>
    </row>
    <row r="95" spans="1:23">
      <c r="A95"/>
      <c r="B95"/>
      <c r="C95"/>
      <c r="D95"/>
      <c r="E95"/>
      <c r="F95"/>
      <c r="G95"/>
      <c r="H95"/>
      <c r="I95"/>
      <c r="J95"/>
      <c r="K95"/>
      <c r="L95"/>
      <c r="M95"/>
      <c r="N95"/>
      <c r="O95"/>
      <c r="P95"/>
      <c r="Q95"/>
      <c r="R95"/>
      <c r="S95"/>
      <c r="T95"/>
      <c r="U95"/>
      <c r="V95"/>
      <c r="W95" s="423"/>
    </row>
    <row r="96" spans="1:23">
      <c r="A96" s="423"/>
      <c r="B96" s="423"/>
      <c r="C96" s="423"/>
      <c r="D96" s="194" t="s">
        <v>268</v>
      </c>
      <c r="E96" s="143">
        <f>COUNT(E43:E67)</f>
        <v>25</v>
      </c>
      <c r="F96" s="143">
        <f>COUNT(F43:F67)</f>
        <v>25</v>
      </c>
      <c r="G96" s="143">
        <f>COUNT(G43:G67)</f>
        <v>25</v>
      </c>
      <c r="H96" s="423"/>
      <c r="I96" s="143">
        <f t="shared" ref="I96:V96" si="7">COUNT(I43:I67)</f>
        <v>25</v>
      </c>
      <c r="J96" s="143">
        <f t="shared" si="7"/>
        <v>25</v>
      </c>
      <c r="K96" s="143">
        <f t="shared" si="7"/>
        <v>25</v>
      </c>
      <c r="L96" s="143">
        <f t="shared" si="7"/>
        <v>25</v>
      </c>
      <c r="M96" s="143">
        <f t="shared" si="7"/>
        <v>25</v>
      </c>
      <c r="N96" s="143">
        <f t="shared" si="7"/>
        <v>25</v>
      </c>
      <c r="O96" s="143">
        <f t="shared" si="7"/>
        <v>25</v>
      </c>
      <c r="P96" s="143">
        <f t="shared" si="7"/>
        <v>25</v>
      </c>
      <c r="Q96" s="143">
        <f t="shared" si="7"/>
        <v>25</v>
      </c>
      <c r="R96" s="143">
        <f t="shared" si="7"/>
        <v>25</v>
      </c>
      <c r="S96" s="143">
        <f t="shared" si="7"/>
        <v>25</v>
      </c>
      <c r="T96" s="143">
        <f t="shared" si="7"/>
        <v>25</v>
      </c>
      <c r="U96" s="143">
        <f t="shared" si="7"/>
        <v>25</v>
      </c>
      <c r="V96" s="143">
        <f t="shared" si="7"/>
        <v>25</v>
      </c>
      <c r="W96">
        <f>SUM(E96:V96)</f>
        <v>425</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323"/>
  <sheetViews>
    <sheetView topLeftCell="B10" zoomScale="87" zoomScaleNormal="87" workbookViewId="0">
      <pane xSplit="2" ySplit="1" topLeftCell="AJ240" activePane="bottomRight" state="frozen"/>
      <selection pane="topRight" activeCell="B10" sqref="B10"/>
      <selection pane="bottomLeft" activeCell="B10" sqref="B10"/>
      <selection pane="bottomRight" activeCell="F207" sqref="F207"/>
    </sheetView>
  </sheetViews>
  <sheetFormatPr baseColWidth="10" defaultColWidth="8.7109375" defaultRowHeight="16"/>
  <cols>
    <col min="1" max="1" width="1.7109375" style="198" customWidth="1"/>
    <col min="2" max="2" width="21.7109375" style="198" customWidth="1"/>
    <col min="3" max="3" width="11.7109375" style="198" customWidth="1"/>
    <col min="4" max="15" width="7.7109375" style="198" customWidth="1"/>
    <col min="16" max="16" width="1.7109375" style="198" customWidth="1"/>
    <col min="17" max="19" width="7.7109375" style="198" customWidth="1"/>
    <col min="20" max="256" width="9.7109375" style="198" customWidth="1"/>
  </cols>
  <sheetData>
    <row r="2" spans="1:256">
      <c r="A2" s="1"/>
      <c r="B2" s="199"/>
      <c r="C2" s="200"/>
      <c r="D2" s="200"/>
      <c r="E2" s="200"/>
      <c r="F2" s="200"/>
      <c r="G2" s="200"/>
      <c r="H2" s="200"/>
      <c r="I2" s="200"/>
      <c r="J2" s="200"/>
      <c r="K2" s="200"/>
      <c r="L2" s="200"/>
      <c r="M2" s="200"/>
      <c r="N2" s="200"/>
      <c r="O2" s="200"/>
      <c r="P2" s="200"/>
      <c r="Q2" s="201"/>
      <c r="R2" s="201"/>
      <c r="S2" s="201"/>
      <c r="T2" s="293"/>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4">
      <c r="A3" s="1"/>
      <c r="B3" s="202" t="str">
        <f>'Weekly Data'!A5</f>
        <v>2001 - BUFFALO POUND WATER QUALITY DATA</v>
      </c>
      <c r="C3" s="203"/>
      <c r="D3" s="203"/>
      <c r="E3" s="203"/>
      <c r="F3" s="203"/>
      <c r="G3" s="203"/>
      <c r="H3" s="203"/>
      <c r="I3" s="204"/>
      <c r="J3" s="204"/>
      <c r="K3" s="204"/>
      <c r="L3" s="204"/>
      <c r="M3" s="204"/>
      <c r="N3" s="204"/>
      <c r="O3" s="204"/>
      <c r="P3" s="204"/>
      <c r="Q3" s="205"/>
      <c r="R3" s="205"/>
      <c r="S3" s="205"/>
      <c r="T3" s="293"/>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24">
      <c r="A4" s="1"/>
      <c r="B4" s="202" t="s">
        <v>1</v>
      </c>
      <c r="C4" s="203"/>
      <c r="D4" s="203"/>
      <c r="E4" s="203"/>
      <c r="F4" s="203"/>
      <c r="G4" s="203"/>
      <c r="H4" s="203"/>
      <c r="I4" s="204"/>
      <c r="J4" s="204"/>
      <c r="K4" s="204"/>
      <c r="L4" s="204"/>
      <c r="M4" s="204"/>
      <c r="N4" s="204"/>
      <c r="O4" s="204"/>
      <c r="P4" s="204"/>
      <c r="Q4" s="205"/>
      <c r="R4" s="205"/>
      <c r="S4" s="205"/>
      <c r="T4" s="293"/>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8">
      <c r="A5" s="1"/>
      <c r="B5" s="206" t="s">
        <v>321</v>
      </c>
      <c r="C5" s="203"/>
      <c r="D5" s="203"/>
      <c r="E5" s="203"/>
      <c r="F5" s="203"/>
      <c r="G5" s="203"/>
      <c r="H5" s="203"/>
      <c r="I5" s="204"/>
      <c r="J5" s="204"/>
      <c r="K5" s="204"/>
      <c r="L5" s="204"/>
      <c r="M5" s="204"/>
      <c r="N5" s="204"/>
      <c r="O5" s="204"/>
      <c r="P5" s="204"/>
      <c r="Q5" s="205"/>
      <c r="R5" s="205"/>
      <c r="S5" s="205"/>
      <c r="T5" s="29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8">
      <c r="A6" s="1"/>
      <c r="B6" s="206"/>
      <c r="C6" s="203"/>
      <c r="D6" s="203"/>
      <c r="E6" s="203"/>
      <c r="F6" s="203"/>
      <c r="G6" s="203"/>
      <c r="H6" s="203"/>
      <c r="I6" s="204"/>
      <c r="J6" s="204"/>
      <c r="K6" s="204"/>
      <c r="L6" s="204"/>
      <c r="M6" s="204"/>
      <c r="N6" s="204"/>
      <c r="O6" s="204"/>
      <c r="P6" s="204"/>
      <c r="Q6" s="205"/>
      <c r="R6" s="205"/>
      <c r="S6" s="205"/>
      <c r="T6" s="293"/>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1" customHeight="1">
      <c r="A7" s="1"/>
      <c r="B7" s="206"/>
      <c r="C7" s="203"/>
      <c r="D7" s="203"/>
      <c r="E7" s="203"/>
      <c r="F7" s="203"/>
      <c r="G7" s="203"/>
      <c r="H7" s="203"/>
      <c r="I7" s="204"/>
      <c r="J7" s="204"/>
      <c r="K7" s="204"/>
      <c r="L7" s="204"/>
      <c r="M7" s="204"/>
      <c r="N7" s="204"/>
      <c r="O7" s="204"/>
      <c r="P7" s="204"/>
      <c r="Q7" s="205"/>
      <c r="R7" s="205"/>
      <c r="S7" s="205"/>
      <c r="T7" s="293"/>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 customHeight="1">
      <c r="A8" s="1"/>
      <c r="B8" s="206"/>
      <c r="C8" s="203"/>
      <c r="D8" s="203"/>
      <c r="E8" s="203"/>
      <c r="F8" s="203"/>
      <c r="G8" s="203"/>
      <c r="H8" s="203"/>
      <c r="I8" s="204"/>
      <c r="J8" s="204"/>
      <c r="K8" s="204"/>
      <c r="L8" s="204"/>
      <c r="M8" s="204"/>
      <c r="N8" s="204"/>
      <c r="O8" s="204"/>
      <c r="P8" s="204"/>
      <c r="Q8" s="205"/>
      <c r="R8" s="205"/>
      <c r="S8" s="205"/>
      <c r="T8" s="293"/>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60" customHeight="1">
      <c r="A9" s="1"/>
      <c r="B9" s="207"/>
      <c r="C9" s="200"/>
      <c r="D9" s="200"/>
      <c r="E9" s="200"/>
      <c r="F9" s="200"/>
      <c r="G9" s="200"/>
      <c r="H9" s="200"/>
      <c r="I9" s="200"/>
      <c r="J9" s="200"/>
      <c r="K9" s="200"/>
      <c r="L9" s="200"/>
      <c r="M9" s="200"/>
      <c r="N9" s="200"/>
      <c r="O9" s="200"/>
      <c r="P9" s="200"/>
      <c r="Q9" s="201"/>
      <c r="R9" s="201"/>
      <c r="S9" s="201"/>
      <c r="T9" s="293"/>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30" customHeight="1">
      <c r="A10" s="1"/>
      <c r="B10" s="208" t="str">
        <f>'Weekly Data'!A8</f>
        <v>Parameters</v>
      </c>
      <c r="C10" s="209" t="s">
        <v>4</v>
      </c>
      <c r="D10" s="210" t="s">
        <v>322</v>
      </c>
      <c r="E10" s="210" t="s">
        <v>323</v>
      </c>
      <c r="F10" s="210" t="s">
        <v>324</v>
      </c>
      <c r="G10" s="210" t="s">
        <v>325</v>
      </c>
      <c r="H10" s="210" t="s">
        <v>326</v>
      </c>
      <c r="I10" s="210" t="s">
        <v>327</v>
      </c>
      <c r="J10" s="210" t="s">
        <v>328</v>
      </c>
      <c r="K10" s="210" t="s">
        <v>329</v>
      </c>
      <c r="L10" s="210" t="s">
        <v>330</v>
      </c>
      <c r="M10" s="210" t="s">
        <v>331</v>
      </c>
      <c r="N10" s="210" t="s">
        <v>332</v>
      </c>
      <c r="O10" s="210" t="s">
        <v>333</v>
      </c>
      <c r="P10" s="210"/>
      <c r="Q10" s="211" t="s">
        <v>334</v>
      </c>
      <c r="R10" s="211" t="s">
        <v>335</v>
      </c>
      <c r="S10" s="211" t="s">
        <v>336</v>
      </c>
      <c r="T10" s="293"/>
      <c r="U10" s="212" t="s">
        <v>337</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c r="A11" s="1"/>
      <c r="B11" s="213"/>
      <c r="C11" s="214"/>
      <c r="D11" s="214"/>
      <c r="E11" s="214"/>
      <c r="F11" s="214"/>
      <c r="G11" s="214"/>
      <c r="H11" s="214"/>
      <c r="I11" s="214"/>
      <c r="J11" s="214"/>
      <c r="K11" s="214"/>
      <c r="L11" s="214"/>
      <c r="M11" s="214"/>
      <c r="N11" s="214"/>
      <c r="O11" s="214"/>
      <c r="P11" s="214"/>
      <c r="Q11" s="214"/>
      <c r="R11" s="214"/>
      <c r="S11" s="214"/>
      <c r="T11" s="293"/>
      <c r="U11" s="310"/>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6" customHeight="1">
      <c r="A12" s="1"/>
      <c r="B12" s="207" t="str">
        <f>'Weekly Data'!A12</f>
        <v xml:space="preserve">PHYSICAL   </v>
      </c>
      <c r="C12" s="200"/>
      <c r="D12" s="215"/>
      <c r="E12" s="200"/>
      <c r="F12" s="200"/>
      <c r="G12" s="200"/>
      <c r="H12" s="200"/>
      <c r="I12" s="200"/>
      <c r="J12" s="200"/>
      <c r="K12" s="200"/>
      <c r="L12" s="200"/>
      <c r="M12" s="200"/>
      <c r="N12" s="200"/>
      <c r="O12" s="200"/>
      <c r="P12" s="200"/>
      <c r="Q12" s="200"/>
      <c r="R12" s="200"/>
      <c r="S12" s="200"/>
      <c r="T12" s="293"/>
      <c r="U12" s="216"/>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c r="A13" s="1"/>
      <c r="B13" s="199"/>
      <c r="C13" s="200"/>
      <c r="D13" s="200"/>
      <c r="E13" s="200"/>
      <c r="F13" s="200"/>
      <c r="G13" s="200"/>
      <c r="H13" s="200"/>
      <c r="I13" s="200"/>
      <c r="J13" s="200"/>
      <c r="K13" s="200"/>
      <c r="L13" s="200"/>
      <c r="M13" s="200"/>
      <c r="N13" s="200"/>
      <c r="O13" s="200"/>
      <c r="P13" s="200"/>
      <c r="Q13" s="201"/>
      <c r="R13" s="201"/>
      <c r="S13" s="201"/>
      <c r="T13" s="293"/>
      <c r="U13" s="310"/>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c r="A14" s="1"/>
      <c r="B14" s="199" t="str">
        <f>'Weekly Data'!A14</f>
        <v>Colour (Apparent)</v>
      </c>
      <c r="C14" s="217" t="str">
        <f>'Weekly Data'!B14</f>
        <v>Pt/Co</v>
      </c>
      <c r="D14" s="217">
        <f>IF(COUNT('Weekly Data'!E14:I14)=0,"",IF(AVERAGE('Weekly Data'!E14:I14)&lt;4.55,"&lt;5",AVERAGE('Weekly Data'!E14:I14)))</f>
        <v>15</v>
      </c>
      <c r="E14" s="217">
        <f>IF(COUNT('Weekly Data'!J14:M14)=0,"",IF(AVERAGE('Weekly Data'!J14:M14)&lt;4.55,"&lt;5",AVERAGE('Weekly Data'!J14:M14)))</f>
        <v>15</v>
      </c>
      <c r="F14" s="217">
        <f>IF(COUNT('Weekly Data'!N14:Q14)=0,"",IF(AVERAGE('Weekly Data'!N14:Q14)&lt;4.55,"&lt;5",AVERAGE('Weekly Data'!N14:Q14)))</f>
        <v>16.25</v>
      </c>
      <c r="G14" s="217">
        <f>IF(COUNT('Weekly Data'!R14:V14)=0,"",IF(AVERAGE('Weekly Data'!R14:V14)&lt;4.55,"&lt;5",AVERAGE('Weekly Data'!R14:V14)))</f>
        <v>32.5</v>
      </c>
      <c r="H14" s="217">
        <f>IF(COUNT('Weekly Data'!W14:Z14)=0,"",IF(AVERAGE('Weekly Data'!W14:Z14)&lt;4.55,"&lt;5",AVERAGE('Weekly Data'!W14:Z14)))</f>
        <v>40</v>
      </c>
      <c r="I14" s="217">
        <f>IF(COUNT('Weekly Data'!AA14:AD14)=0,"",IF(AVERAGE('Weekly Data'!AA14:AD14)&lt;4.55,"&lt;5",AVERAGE('Weekly Data'!AA14:AD14)))</f>
        <v>35</v>
      </c>
      <c r="J14" s="217">
        <f>IF(COUNT('Weekly Data'!AE14:AI14)=0,"",IF(AVERAGE('Weekly Data'!AE14:AI14)&lt;4.55,"&lt;5",AVERAGE('Weekly Data'!AE14:AI14)))</f>
        <v>48</v>
      </c>
      <c r="K14" s="217">
        <f>IF(COUNT('Weekly Data'!AJ14:AM14)=0,"",IF(AVERAGE('Weekly Data'!AJ14:AM14)&lt;4.55,"&lt;5",AVERAGE('Weekly Data'!AJ14:AM14)))</f>
        <v>50</v>
      </c>
      <c r="L14" s="217">
        <f>IF(COUNT('Weekly Data'!AN14:AQ14)=0,"",IF(AVERAGE('Weekly Data'!AN14:AQ14)&lt;4.55,"&lt;5",AVERAGE('Weekly Data'!AN14:AQ14)))</f>
        <v>55</v>
      </c>
      <c r="M14" s="217">
        <f>IF(COUNT('Weekly Data'!AR14:AV14)=0,"",IF(AVERAGE('Weekly Data'!AR14:AV14)&lt;4.55,"&lt;5",AVERAGE('Weekly Data'!AR14:AV14)))</f>
        <v>51</v>
      </c>
      <c r="N14" s="217">
        <f>IF(COUNT('Weekly Data'!AW14:AZ14)=0,"",IF(AVERAGE('Weekly Data'!AW14:AZ14)&lt;4.55,"&lt;5",AVERAGE('Weekly Data'!AW14:AZ14)))</f>
        <v>38.75</v>
      </c>
      <c r="O14" s="217">
        <f>IF(COUNT('Weekly Data'!BA14:BD14)=0,"",IF(AVERAGE('Weekly Data'!BA14:BD14)&lt;4.55,"&lt;5",AVERAGE('Weekly Data'!BA14:BD14)))</f>
        <v>15</v>
      </c>
      <c r="P14" s="217"/>
      <c r="Q14" s="217">
        <f>IF(COUNT('Weekly Data'!E14:BD14)=0,"",IF(AVERAGE('Weekly Data'!E14:BD14)&lt;4.55,"&lt;5",AVERAGE('Weekly Data'!E14:BD14)))</f>
        <v>35.306122448979593</v>
      </c>
      <c r="R14" s="217">
        <f>IF(COUNT('Weekly Data'!E14:BD14)=0,"",IF(MIN('Weekly Data'!E14:BD14)&lt;4.55,"&lt;5",MIN('Weekly Data'!E14:BD14)))</f>
        <v>10</v>
      </c>
      <c r="S14" s="217">
        <f>IF(COUNT('Weekly Data'!E14:BD14)=0,"",IF(MAX('Weekly Data'!E14:BD14)&lt;4.55,"&lt;5",MAX('Weekly Data'!E14:BD14)))</f>
        <v>80</v>
      </c>
      <c r="T14" s="293"/>
      <c r="U14" s="335">
        <f>COUNT('Weekly Data'!E14:BC14)</f>
        <v>49</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c r="A15" s="1"/>
      <c r="B15" s="199" t="str">
        <f>'Weekly Data'!A15</f>
        <v>Conductivity</v>
      </c>
      <c r="C15" s="217" t="str">
        <f>'Weekly Data'!B15</f>
        <v>µS/cm</v>
      </c>
      <c r="D15" s="217">
        <f>IF(COUNT('Weekly Data'!E15:I15)=0,"",AVERAGE('Weekly Data'!E15:I15))</f>
        <v>710</v>
      </c>
      <c r="E15" s="217">
        <f>IF(COUNT('Weekly Data'!J15:M15)=0,"",AVERAGE('Weekly Data'!J15:M15))</f>
        <v>728</v>
      </c>
      <c r="F15" s="217">
        <f>IF(COUNT('Weekly Data'!N15:Q15)=0,"",AVERAGE('Weekly Data'!N15:Q15))</f>
        <v>740.75</v>
      </c>
      <c r="G15" s="217">
        <f>IF(COUNT('Weekly Data'!R15:V15)=0,"",AVERAGE('Weekly Data'!R15:V15))</f>
        <v>682.25</v>
      </c>
      <c r="H15" s="217">
        <f>IF(COUNT('Weekly Data'!W15:Z15)=0,"",AVERAGE('Weekly Data'!W15:Z15))</f>
        <v>583.75</v>
      </c>
      <c r="I15" s="217">
        <f>IF(COUNT('Weekly Data'!AA15:AD15)=0,"",AVERAGE('Weekly Data'!AA15:AD15))</f>
        <v>591.5</v>
      </c>
      <c r="J15" s="217">
        <f>IF(COUNT('Weekly Data'!AE15:AI15)=0,"",AVERAGE('Weekly Data'!AE15:AI15))</f>
        <v>561.4</v>
      </c>
      <c r="K15" s="217">
        <f>IF(COUNT('Weekly Data'!AJ15:AM15)=0,"",AVERAGE('Weekly Data'!AJ15:AM15))</f>
        <v>521.25</v>
      </c>
      <c r="L15" s="217">
        <f>IF(COUNT('Weekly Data'!AN15:AQ15)=0,"",AVERAGE('Weekly Data'!AN15:AQ15))</f>
        <v>523.75</v>
      </c>
      <c r="M15" s="217">
        <f>IF(COUNT('Weekly Data'!AR15:AV15)=0,"",AVERAGE('Weekly Data'!AR15:AV15))</f>
        <v>537.20000000000005</v>
      </c>
      <c r="N15" s="217">
        <f>IF(COUNT('Weekly Data'!AW15:AZ15)=0,"",AVERAGE('Weekly Data'!AW15:AZ15))</f>
        <v>550.25</v>
      </c>
      <c r="O15" s="217">
        <f>IF(COUNT('Weekly Data'!BA15:BD15)=0,"",AVERAGE('Weekly Data'!BA15:BD15))</f>
        <v>595</v>
      </c>
      <c r="P15" s="217"/>
      <c r="Q15" s="217">
        <f>IF(COUNT('Weekly Data'!E15:BD15)=0,"",AVERAGE('Weekly Data'!E15:BD15))</f>
        <v>607.87755102040819</v>
      </c>
      <c r="R15" s="217">
        <f>IF(COUNT('Weekly Data'!E15:BD15)=0,"",MIN('Weekly Data'!E15:BD15))</f>
        <v>509</v>
      </c>
      <c r="S15" s="217">
        <f>IF(COUNT('Weekly Data'!E15:BD15)=0,"",MAX('Weekly Data'!E15:BD15))</f>
        <v>749</v>
      </c>
      <c r="T15" s="293"/>
      <c r="U15" s="335">
        <f>COUNT('Weekly Data'!E15:BC15)</f>
        <v>49</v>
      </c>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c r="A16" s="1"/>
      <c r="B16" s="199" t="str">
        <f>'Weekly Data'!A16</f>
        <v>Bench Diss. Oxygen</v>
      </c>
      <c r="C16" s="217" t="str">
        <f>'Weekly Data'!B16</f>
        <v>mg/L</v>
      </c>
      <c r="D16" s="201">
        <f>IF(COUNT('Weekly Data'!E16:I16)=0,"",AVERAGE('Weekly Data'!E16:I16))</f>
        <v>8.3600000000000012</v>
      </c>
      <c r="E16" s="201">
        <f>IF(COUNT('Weekly Data'!J16:M16)=0,"",AVERAGE('Weekly Data'!J16:M16))</f>
        <v>6.4333333333333336</v>
      </c>
      <c r="F16" s="201">
        <f>IF(COUNT('Weekly Data'!N16:Q16)=0,"",AVERAGE('Weekly Data'!N16:Q16))</f>
        <v>4.9000000000000004</v>
      </c>
      <c r="G16" s="201">
        <f>IF(COUNT('Weekly Data'!R16:V16)=0,"",AVERAGE('Weekly Data'!R16:V16))</f>
        <v>8.76</v>
      </c>
      <c r="H16" s="201">
        <f>IF(COUNT('Weekly Data'!W16:Z16)=0,"",AVERAGE('Weekly Data'!W16:Z16))</f>
        <v>9.2249999999999996</v>
      </c>
      <c r="I16" s="201">
        <f>IF(COUNT('Weekly Data'!AA16:AD16)=0,"",AVERAGE('Weekly Data'!AA16:AD16))</f>
        <v>8.9749999999999996</v>
      </c>
      <c r="J16" s="201">
        <f>IF(COUNT('Weekly Data'!AE16:AI16)=0,"",AVERAGE('Weekly Data'!AE16:AI16))</f>
        <v>7.2</v>
      </c>
      <c r="K16" s="201">
        <f>IF(COUNT('Weekly Data'!AJ16:AM16)=0,"",AVERAGE('Weekly Data'!AJ16:AM16))</f>
        <v>7.15</v>
      </c>
      <c r="L16" s="201">
        <f>IF(COUNT('Weekly Data'!AN16:AQ16)=0,"",AVERAGE('Weekly Data'!AN16:AQ16))</f>
        <v>8.6750000000000007</v>
      </c>
      <c r="M16" s="201">
        <f>IF(COUNT('Weekly Data'!AR16:AV16)=0,"",AVERAGE('Weekly Data'!AR16:AV16))</f>
        <v>10.74</v>
      </c>
      <c r="N16" s="201">
        <f>IF(COUNT('Weekly Data'!AW16:AZ16)=0,"",AVERAGE('Weekly Data'!AW16:AZ16))</f>
        <v>12.049999999999999</v>
      </c>
      <c r="O16" s="201">
        <f>IF(COUNT('Weekly Data'!BA16:BD16)=0,"",AVERAGE('Weekly Data'!BA16:BD16))</f>
        <v>10.899999999999999</v>
      </c>
      <c r="P16" s="201"/>
      <c r="Q16" s="201">
        <f>IF(COUNT('Weekly Data'!E16:BD16)=0,"",AVERAGE('Weekly Data'!E16:BD16))</f>
        <v>8.668627450980388</v>
      </c>
      <c r="R16" s="201">
        <f>IF(COUNT('Weekly Data'!E16:BD16)=0,"",MIN('Weekly Data'!E16:BD16))</f>
        <v>3.7</v>
      </c>
      <c r="S16" s="201">
        <f>IF(COUNT('Weekly Data'!E16:BD16)=0,"",MAX('Weekly Data'!E16:BD16))</f>
        <v>12.4</v>
      </c>
      <c r="T16" s="293"/>
      <c r="U16" s="335">
        <f>COUNT('Weekly Data'!E16:BC16)</f>
        <v>50</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c r="A17" s="1"/>
      <c r="B17" s="199" t="str">
        <f>'Weekly Data'!A17</f>
        <v>Bench Diss. Oxygen</v>
      </c>
      <c r="C17" s="217" t="str">
        <f>'Weekly Data'!B17</f>
        <v>%</v>
      </c>
      <c r="D17" s="201">
        <f>IF(COUNT('Weekly Data'!E17:I17)=0,"",AVERAGE('Weekly Data'!E17:I17))</f>
        <v>62.266442484063951</v>
      </c>
      <c r="E17" s="201">
        <f>IF(COUNT('Weekly Data'!J17:M17)=0,"",AVERAGE('Weekly Data'!J17:M17))</f>
        <v>48.356773993955407</v>
      </c>
      <c r="F17" s="201">
        <f>IF(COUNT('Weekly Data'!N17:Q17)=0,"",AVERAGE('Weekly Data'!N17:Q17))</f>
        <v>37.283249600775854</v>
      </c>
      <c r="G17" s="201">
        <f>IF(COUNT('Weekly Data'!R17:V17)=0,"",AVERAGE('Weekly Data'!R17:V17))</f>
        <v>71.44977750577111</v>
      </c>
      <c r="H17" s="201">
        <f>IF(COUNT('Weekly Data'!W17:Z17)=0,"",AVERAGE('Weekly Data'!W17:Z17))</f>
        <v>88.252795699911687</v>
      </c>
      <c r="I17" s="201">
        <f>IF(COUNT('Weekly Data'!AA17:AD17)=0,"",AVERAGE('Weekly Data'!AA17:AD17))</f>
        <v>94.130750121380999</v>
      </c>
      <c r="J17" s="201">
        <f>IF(COUNT('Weekly Data'!AE17:AI17)=0,"",AVERAGE('Weekly Data'!AE17:AI17))</f>
        <v>80.966932676701532</v>
      </c>
      <c r="K17" s="201">
        <f>IF(COUNT('Weekly Data'!AJ17:AM17)=0,"",AVERAGE('Weekly Data'!AJ17:AM17))</f>
        <v>80.878756443421182</v>
      </c>
      <c r="L17" s="201">
        <f>IF(COUNT('Weekly Data'!AN17:AQ17)=0,"",AVERAGE('Weekly Data'!AN17:AQ17))</f>
        <v>87.388977676618836</v>
      </c>
      <c r="M17" s="201">
        <f>IF(COUNT('Weekly Data'!AR17:AV17)=0,"",AVERAGE('Weekly Data'!AR17:AV17))</f>
        <v>90.802316708884703</v>
      </c>
      <c r="N17" s="201">
        <f>IF(COUNT('Weekly Data'!AW17:AZ17)=0,"",AVERAGE('Weekly Data'!AW17:AZ17))</f>
        <v>88.434521424059525</v>
      </c>
      <c r="O17" s="201">
        <f>IF(COUNT('Weekly Data'!BA17:BD17)=0,"",AVERAGE('Weekly Data'!BA17:BD17))</f>
        <v>78.78849097756634</v>
      </c>
      <c r="P17" s="201"/>
      <c r="Q17" s="201">
        <f>IF(COUNT('Weekly Data'!E17:BD17)=0,"",AVERAGE('Weekly Data'!E17:BD17))</f>
        <v>76.33583993399823</v>
      </c>
      <c r="R17" s="201">
        <f>IF(COUNT('Weekly Data'!E17:BD17)=0,"",MIN('Weekly Data'!E17:BD17))</f>
        <v>28.201219512195124</v>
      </c>
      <c r="S17" s="201">
        <f>IF(COUNT('Weekly Data'!E17:BD17)=0,"",MAX('Weekly Data'!E17:BD17))</f>
        <v>100.88691796008868</v>
      </c>
      <c r="T17" s="293"/>
      <c r="U17" s="335">
        <f>COUNT('Weekly Data'!E17:BC17)</f>
        <v>50</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c r="A18" s="1"/>
      <c r="B18" s="199" t="str">
        <f>'Weekly Data'!A18</f>
        <v>ON-LINE Diss. Oxygen</v>
      </c>
      <c r="C18" s="217" t="str">
        <f>'Weekly Data'!B18</f>
        <v>%</v>
      </c>
      <c r="D18" s="201">
        <f>IF(COUNT('Weekly Data'!E18:I18)=0,"",AVERAGE('Weekly Data'!E18:I18))</f>
        <v>76.5</v>
      </c>
      <c r="E18" s="201">
        <f>IF(COUNT('Weekly Data'!J18:M18)=0,"",AVERAGE('Weekly Data'!J18:M18))</f>
        <v>49</v>
      </c>
      <c r="F18" s="201">
        <f>IF(COUNT('Weekly Data'!N18:Q18)=0,"",AVERAGE('Weekly Data'!N18:Q18))</f>
        <v>41.75</v>
      </c>
      <c r="G18" s="201">
        <f>IF(COUNT('Weekly Data'!R18:V18)=0,"",AVERAGE('Weekly Data'!R18:V18))</f>
        <v>80.3</v>
      </c>
      <c r="H18" s="201">
        <f>IF(COUNT('Weekly Data'!W18:Z18)=0,"",AVERAGE('Weekly Data'!W18:Z18))</f>
        <v>88</v>
      </c>
      <c r="I18" s="201">
        <f>IF(COUNT('Weekly Data'!AA18:AD18)=0,"",AVERAGE('Weekly Data'!AA18:AD18))</f>
        <v>92.425000000000011</v>
      </c>
      <c r="J18" s="201">
        <f>IF(COUNT('Weekly Data'!AE18:AI18)=0,"",AVERAGE('Weekly Data'!AE18:AI18))</f>
        <v>87.679999999999993</v>
      </c>
      <c r="K18" s="201">
        <f>IF(COUNT('Weekly Data'!AJ18:AM18)=0,"",AVERAGE('Weekly Data'!AJ18:AM18))</f>
        <v>78.199999999999989</v>
      </c>
      <c r="L18" s="201">
        <f>IF(COUNT('Weekly Data'!AN18:AQ18)=0,"",AVERAGE('Weekly Data'!AN18:AQ18))</f>
        <v>89.175000000000011</v>
      </c>
      <c r="M18" s="201">
        <f>IF(COUNT('Weekly Data'!AR18:AV18)=0,"",AVERAGE('Weekly Data'!AR18:AV18))</f>
        <v>98.02000000000001</v>
      </c>
      <c r="N18" s="201">
        <f>IF(COUNT('Weekly Data'!AW18:AZ18)=0,"",AVERAGE('Weekly Data'!AW18:AZ18))</f>
        <v>92.7</v>
      </c>
      <c r="O18" s="201">
        <f>IF(COUNT('Weekly Data'!BA18:BD18)=0,"",AVERAGE('Weekly Data'!BA18:BD18))</f>
        <v>87.733333333333334</v>
      </c>
      <c r="P18" s="201"/>
      <c r="Q18" s="201">
        <f>IF(COUNT('Weekly Data'!E18:BD18)=0,"",AVERAGE('Weekly Data'!E18:BD18))</f>
        <v>81.126530612244906</v>
      </c>
      <c r="R18" s="201">
        <f>IF(COUNT('Weekly Data'!E18:BD18)=0,"",MIN('Weekly Data'!E18:BD18))</f>
        <v>27</v>
      </c>
      <c r="S18" s="201">
        <f>IF(COUNT('Weekly Data'!E18:BD18)=0,"",MAX('Weekly Data'!E18:BD18))</f>
        <v>111.4</v>
      </c>
      <c r="T18" s="293"/>
      <c r="U18" s="335">
        <f>COUNT('Weekly Data'!E18:BC18)</f>
        <v>48</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c r="A19" s="1"/>
      <c r="B19" s="199" t="str">
        <f>'Weekly Data'!A19</f>
        <v xml:space="preserve">Odour </v>
      </c>
      <c r="C19" s="217" t="str">
        <f>'Weekly Data'!B19</f>
        <v>T.O.N.</v>
      </c>
      <c r="D19" s="217">
        <f>IF(COUNT('Weekly Data'!E19:I19)=0,"",AVERAGE('Weekly Data'!E19:I19))</f>
        <v>13.5</v>
      </c>
      <c r="E19" s="217">
        <f>IF(COUNT('Weekly Data'!J19:M19)=0,"",AVERAGE('Weekly Data'!J19:M19))</f>
        <v>14</v>
      </c>
      <c r="F19" s="217">
        <f>IF(COUNT('Weekly Data'!N19:Q19)=0,"",AVERAGE('Weekly Data'!N19:Q19))</f>
        <v>19.666666666666668</v>
      </c>
      <c r="G19" s="217">
        <f>IF(COUNT('Weekly Data'!R19:V19)=0,"",AVERAGE('Weekly Data'!R19:V19))</f>
        <v>135</v>
      </c>
      <c r="H19" s="217">
        <f>IF(COUNT('Weekly Data'!W19:Z19)=0,"",AVERAGE('Weekly Data'!W19:Z19))</f>
        <v>88.75</v>
      </c>
      <c r="I19" s="217">
        <f>IF(COUNT('Weekly Data'!AA19:AD19)=0,"",AVERAGE('Weekly Data'!AA19:AD19))</f>
        <v>190</v>
      </c>
      <c r="J19" s="217">
        <f>IF(COUNT('Weekly Data'!AE19:AI19)=0,"",AVERAGE('Weekly Data'!AE19:AI19))</f>
        <v>134.19999999999999</v>
      </c>
      <c r="K19" s="217">
        <f>IF(COUNT('Weekly Data'!AJ19:AM19)=0,"",AVERAGE('Weekly Data'!AJ19:AM19))</f>
        <v>113</v>
      </c>
      <c r="L19" s="217">
        <f>IF(COUNT('Weekly Data'!AN19:AQ19)=0,"",AVERAGE('Weekly Data'!AN19:AQ19))</f>
        <v>101.5</v>
      </c>
      <c r="M19" s="217">
        <f>IF(COUNT('Weekly Data'!AR19:AV19)=0,"",AVERAGE('Weekly Data'!AR19:AV19))</f>
        <v>43.8</v>
      </c>
      <c r="N19" s="217">
        <f>IF(COUNT('Weekly Data'!AW19:AZ19)=0,"",AVERAGE('Weekly Data'!AW19:AZ19))</f>
        <v>21.25</v>
      </c>
      <c r="O19" s="217">
        <f>IF(COUNT('Weekly Data'!BA19:BD19)=0,"",AVERAGE('Weekly Data'!BA19:BD19))</f>
        <v>24.333333333333332</v>
      </c>
      <c r="P19" s="217"/>
      <c r="Q19" s="217">
        <f>IF(COUNT('Weekly Data'!E19:BD19)=0,"",AVERAGE('Weekly Data'!E19:BD19))</f>
        <v>81.638297872340431</v>
      </c>
      <c r="R19" s="217">
        <f>IF(COUNT('Weekly Data'!E19:BD19)=0,"",MIN('Weekly Data'!E19:BD19))</f>
        <v>10</v>
      </c>
      <c r="S19" s="217">
        <f>IF(COUNT('Weekly Data'!E19:BD19)=0,"",MAX('Weekly Data'!E19:BD19))</f>
        <v>325</v>
      </c>
      <c r="T19" s="293"/>
      <c r="U19" s="335">
        <f>COUNT('Weekly Data'!E19:BC19)</f>
        <v>47</v>
      </c>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c r="A20" s="1"/>
      <c r="B20" s="199" t="str">
        <f>'Weekly Data'!A20</f>
        <v>Particles</v>
      </c>
      <c r="C20" s="217" t="str">
        <f>'Weekly Data'!B20</f>
        <v>per ml</v>
      </c>
      <c r="D20" s="218">
        <f>IF(COUNT('Weekly Data'!E20:I20)=0,"",AVERAGE('Weekly Data'!E20:I20))</f>
        <v>10159</v>
      </c>
      <c r="E20" s="218">
        <f>IF(COUNT('Weekly Data'!J20:M20)=0,"",AVERAGE('Weekly Data'!J20:M20))</f>
        <v>13878</v>
      </c>
      <c r="F20" s="218">
        <f>IF(COUNT('Weekly Data'!N20:Q20)=0,"",AVERAGE('Weekly Data'!N20:Q20))</f>
        <v>26731.533333333336</v>
      </c>
      <c r="G20" s="218">
        <f>IF(COUNT('Weekly Data'!R20:V20)=0,"",AVERAGE('Weekly Data'!R20:V20))</f>
        <v>47697</v>
      </c>
      <c r="H20" s="218">
        <f>IF(COUNT('Weekly Data'!W20:Z20)=0,"",AVERAGE('Weekly Data'!W20:Z20))</f>
        <v>56735.665000000001</v>
      </c>
      <c r="I20" s="218">
        <f>IF(COUNT('Weekly Data'!AA20:AD20)=0,"",AVERAGE('Weekly Data'!AA20:AD20))</f>
        <v>50015.675000000003</v>
      </c>
      <c r="J20" s="218">
        <f>IF(COUNT('Weekly Data'!AE20:AI20)=0,"",AVERAGE('Weekly Data'!AE20:AI20))</f>
        <v>54759</v>
      </c>
      <c r="K20" s="218">
        <f>IF(COUNT('Weekly Data'!AJ20:AM20)=0,"",AVERAGE('Weekly Data'!AJ20:AM20))</f>
        <v>42749.25</v>
      </c>
      <c r="L20" s="218">
        <f>IF(COUNT('Weekly Data'!AN20:AQ20)=0,"",AVERAGE('Weekly Data'!AN20:AQ20))</f>
        <v>39453.5</v>
      </c>
      <c r="M20" s="218">
        <f>IF(COUNT('Weekly Data'!AR20:AV20)=0,"",AVERAGE('Weekly Data'!AR20:AV20))</f>
        <v>47862.75</v>
      </c>
      <c r="N20" s="218">
        <f>IF(COUNT('Weekly Data'!AW20:AZ20)=0,"",AVERAGE('Weekly Data'!AW20:AZ20))</f>
        <v>40132.666666666664</v>
      </c>
      <c r="O20" s="218">
        <f>IF(COUNT('Weekly Data'!BA20:BD20)=0,"",AVERAGE('Weekly Data'!BA20:BD20))</f>
        <v>14870.333333333334</v>
      </c>
      <c r="P20" s="218"/>
      <c r="Q20" s="218">
        <f>IF(COUNT('Weekly Data'!E20:BD20)=0,"",AVERAGE('Weekly Data'!E20:BD20))</f>
        <v>38930.929302325581</v>
      </c>
      <c r="R20" s="218">
        <f>IF(COUNT('Weekly Data'!E20:BD20)=0,"",MIN('Weekly Data'!E20:BD20))</f>
        <v>8839</v>
      </c>
      <c r="S20" s="218">
        <f>IF(COUNT('Weekly Data'!E20:BD20)=0,"",MAX('Weekly Data'!E20:BD20))</f>
        <v>75906</v>
      </c>
      <c r="T20" s="303"/>
      <c r="U20" s="335">
        <f>COUNT('Weekly Data'!E20:BC20)</f>
        <v>43</v>
      </c>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310"/>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1"/>
      <c r="B21" s="199" t="str">
        <f>'Weekly Data'!A21</f>
        <v>pH</v>
      </c>
      <c r="C21" s="217" t="str">
        <f>'Weekly Data'!B21</f>
        <v>pH units</v>
      </c>
      <c r="D21" s="219">
        <f>IF(COUNT('Weekly Data'!E21:I21)=0,"",AVERAGE('Weekly Data'!E21:I21))</f>
        <v>7.8160000000000007</v>
      </c>
      <c r="E21" s="219">
        <f>IF(COUNT('Weekly Data'!J21:M21)=0,"",AVERAGE('Weekly Data'!J21:M21))</f>
        <v>7.69</v>
      </c>
      <c r="F21" s="219">
        <f>IF(COUNT('Weekly Data'!N21:Q21)=0,"",AVERAGE('Weekly Data'!N21:Q21))</f>
        <v>7.5625</v>
      </c>
      <c r="G21" s="219">
        <f>IF(COUNT('Weekly Data'!R21:V21)=0,"",AVERAGE('Weekly Data'!R21:V21))</f>
        <v>7.7539999999999996</v>
      </c>
      <c r="H21" s="219">
        <f>IF(COUNT('Weekly Data'!W21:Z21)=0,"",AVERAGE('Weekly Data'!W21:Z21))</f>
        <v>8.2525000000000013</v>
      </c>
      <c r="I21" s="219">
        <f>IF(COUNT('Weekly Data'!AA21:AD21)=0,"",AVERAGE('Weekly Data'!AA21:AD21))</f>
        <v>8.370000000000001</v>
      </c>
      <c r="J21" s="219">
        <f>IF(COUNT('Weekly Data'!AE21:AI21)=0,"",AVERAGE('Weekly Data'!AE21:AI21))</f>
        <v>8.3120000000000012</v>
      </c>
      <c r="K21" s="219">
        <f>IF(COUNT('Weekly Data'!AJ21:AM21)=0,"",AVERAGE('Weekly Data'!AJ21:AM21))</f>
        <v>8.5124999999999993</v>
      </c>
      <c r="L21" s="219">
        <f>IF(COUNT('Weekly Data'!AN21:AQ21)=0,"",AVERAGE('Weekly Data'!AN21:AQ21))</f>
        <v>8.3874999999999993</v>
      </c>
      <c r="M21" s="219">
        <f>IF(COUNT('Weekly Data'!AR21:AV21)=0,"",AVERAGE('Weekly Data'!AR21:AV21))</f>
        <v>8.4340000000000011</v>
      </c>
      <c r="N21" s="219">
        <f>IF(COUNT('Weekly Data'!AW21:AZ21)=0,"",AVERAGE('Weekly Data'!AW21:AZ21))</f>
        <v>8.1724999999999994</v>
      </c>
      <c r="O21" s="219">
        <f>IF(COUNT('Weekly Data'!BA21:BD21)=0,"",AVERAGE('Weekly Data'!BA21:BD21))</f>
        <v>7.9975000000000005</v>
      </c>
      <c r="P21" s="219"/>
      <c r="Q21" s="219">
        <f>IF(COUNT('Weekly Data'!E21:BD21)=0,"",AVERAGE('Weekly Data'!E21:BD21))</f>
        <v>8.1111764705882372</v>
      </c>
      <c r="R21" s="219">
        <f>IF(COUNT('Weekly Data'!E21:BD21)=0,"",MIN('Weekly Data'!E21:BD21))</f>
        <v>7.49</v>
      </c>
      <c r="S21" s="219">
        <f>IF(COUNT('Weekly Data'!E21:BD21)=0,"",MAX('Weekly Data'!E21:BD21))</f>
        <v>8.61</v>
      </c>
      <c r="T21" s="293"/>
      <c r="U21" s="335">
        <f>COUNT('Weekly Data'!E21:BC21)</f>
        <v>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c r="A22" s="1"/>
      <c r="B22" s="199" t="str">
        <f>'Weekly Data'!A22</f>
        <v>SST</v>
      </c>
      <c r="C22" s="217" t="str">
        <f>'Weekly Data'!B22</f>
        <v>mg/L</v>
      </c>
      <c r="D22" s="201">
        <f>IF(COUNT('Weekly Data'!E22:I22)=0,"",IF(AVERAGE('Weekly Data'!E22:I22)&lt;0.055,"&lt;0.1",AVERAGE('Weekly Data'!E22:I22)))</f>
        <v>2.3333333333333335</v>
      </c>
      <c r="E22" s="201">
        <f>IF(COUNT('Weekly Data'!J22:M22)=0,"",IF(AVERAGE('Weekly Data'!J22:M22)&lt;0.055,"&lt;0.1",AVERAGE('Weekly Data'!J22:M22)))</f>
        <v>2.35</v>
      </c>
      <c r="F22" s="201">
        <f>IF(COUNT('Weekly Data'!N22:Q22)=0,"",IF(AVERAGE('Weekly Data'!N22:Q22)&lt;0.055,"&lt;0.1",AVERAGE('Weekly Data'!N22:Q22)))</f>
        <v>2.6666666666666665</v>
      </c>
      <c r="G22" s="201">
        <f>IF(COUNT('Weekly Data'!R22:V22)=0,"",IF(AVERAGE('Weekly Data'!R22:V22)&lt;0.055,"&lt;0.1",AVERAGE('Weekly Data'!R22:V22)))</f>
        <v>8</v>
      </c>
      <c r="H22" s="201">
        <f>IF(COUNT('Weekly Data'!W22:Z22)=0,"",IF(AVERAGE('Weekly Data'!W22:Z22)&lt;0.055,"&lt;0.1",AVERAGE('Weekly Data'!W22:Z22)))</f>
        <v>10.5</v>
      </c>
      <c r="I22" s="201">
        <f>IF(COUNT('Weekly Data'!AA22:AD22)=0,"",IF(AVERAGE('Weekly Data'!AA22:AD22)&lt;0.055,"&lt;0.1",AVERAGE('Weekly Data'!AA22:AD22)))</f>
        <v>14.5</v>
      </c>
      <c r="J22" s="201">
        <f>IF(COUNT('Weekly Data'!AE22:AI22)=0,"",IF(AVERAGE('Weekly Data'!AE22:AI22)&lt;0.055,"&lt;0.1",AVERAGE('Weekly Data'!AE22:AI22)))</f>
        <v>14.559999999999999</v>
      </c>
      <c r="K22" s="201">
        <f>IF(COUNT('Weekly Data'!AJ22:AM22)=0,"",IF(AVERAGE('Weekly Data'!AJ22:AM22)&lt;0.055,"&lt;0.1",AVERAGE('Weekly Data'!AJ22:AM22)))</f>
        <v>13.049999999999999</v>
      </c>
      <c r="L22" s="201">
        <f>IF(COUNT('Weekly Data'!AN22:AQ22)=0,"",IF(AVERAGE('Weekly Data'!AN22:AQ22)&lt;0.055,"&lt;0.1",AVERAGE('Weekly Data'!AN22:AQ22)))</f>
        <v>14.649999999999999</v>
      </c>
      <c r="M22" s="201">
        <f>IF(COUNT('Weekly Data'!AR22:AV22)=0,"",IF(AVERAGE('Weekly Data'!AR22:AV22)&lt;0.055,"&lt;0.1",AVERAGE('Weekly Data'!AR22:AV22)))</f>
        <v>22.119999999999997</v>
      </c>
      <c r="N22" s="201">
        <f>IF(COUNT('Weekly Data'!AW22:AZ22)=0,"",IF(AVERAGE('Weekly Data'!AW22:AZ22)&lt;0.055,"&lt;0.1",AVERAGE('Weekly Data'!AW22:AZ22)))</f>
        <v>10.900000000000002</v>
      </c>
      <c r="O22" s="201">
        <f>IF(COUNT('Weekly Data'!BA22:BD22)=0,"",IF(AVERAGE('Weekly Data'!BA22:BD22)&lt;0.055,"&lt;0.1",AVERAGE('Weekly Data'!BA22:BD22)))</f>
        <v>4.0666666666666664</v>
      </c>
      <c r="P22" s="201"/>
      <c r="Q22" s="201">
        <f>IF(COUNT('Weekly Data'!E22:BD22)=0,"",IF(AVERAGE('Weekly Data'!E22:BD22)&lt;0.055,"&lt;0.1",AVERAGE('Weekly Data'!E22:BD22)))</f>
        <v>11.220454545454546</v>
      </c>
      <c r="R22" s="201">
        <f>IF(COUNT('Weekly Data'!E22:BD22)=0,"",IF(MIN('Weekly Data'!E22:BD22)&lt;0.055,"&lt;0.1",MIN('Weekly Data'!E22:BD22)))</f>
        <v>1.9</v>
      </c>
      <c r="S22" s="201">
        <f>IF(COUNT('Weekly Data'!E22:BD22)=0,"",IF(MAX('Weekly Data'!E22:BD22)&lt;0.055,"&lt;0.1",MAX('Weekly Data'!E22:BD22)))</f>
        <v>45.6</v>
      </c>
      <c r="T22" s="293"/>
      <c r="U22" s="335">
        <f>COUNT('Weekly Data'!E22:BC22)</f>
        <v>44</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c r="A23" s="1"/>
      <c r="B23" s="199" t="str">
        <f>'Weekly Data'!A23</f>
        <v>SSV</v>
      </c>
      <c r="C23" s="217" t="str">
        <f>'Weekly Data'!B23</f>
        <v>mg/L</v>
      </c>
      <c r="D23" s="201">
        <f>IF(COUNT('Weekly Data'!E23:I23)=0,"",IF(AVERAGE('Weekly Data'!E23:I23)&lt;0.055,"&lt;0.1",AVERAGE('Weekly Data'!E23:I23)))</f>
        <v>1.0666666666666667</v>
      </c>
      <c r="E23" s="201">
        <f>IF(COUNT('Weekly Data'!J23:M23)=0,"",IF(AVERAGE('Weekly Data'!J23:M23)&lt;0.055,"&lt;0.1",AVERAGE('Weekly Data'!J23:M23)))</f>
        <v>0.9</v>
      </c>
      <c r="F23" s="201">
        <f>IF(COUNT('Weekly Data'!N23:Q23)=0,"",IF(AVERAGE('Weekly Data'!N23:Q23)&lt;0.055,"&lt;0.1",AVERAGE('Weekly Data'!N23:Q23)))</f>
        <v>1.4666666666666668</v>
      </c>
      <c r="G23" s="201">
        <f>IF(COUNT('Weekly Data'!R23:V23)=0,"",IF(AVERAGE('Weekly Data'!R23:V23)&lt;0.055,"&lt;0.1",AVERAGE('Weekly Data'!R23:V23)))</f>
        <v>4.4666666666666659</v>
      </c>
      <c r="H23" s="201">
        <f>IF(COUNT('Weekly Data'!W23:Z23)=0,"",IF(AVERAGE('Weekly Data'!W23:Z23)&lt;0.055,"&lt;0.1",AVERAGE('Weekly Data'!W23:Z23)))</f>
        <v>3.4</v>
      </c>
      <c r="I23" s="201">
        <f>IF(COUNT('Weekly Data'!AA23:AD23)=0,"",IF(AVERAGE('Weekly Data'!AA23:AD23)&lt;0.055,"&lt;0.1",AVERAGE('Weekly Data'!AA23:AD23)))</f>
        <v>5.9499999999999993</v>
      </c>
      <c r="J23" s="201">
        <f>IF(COUNT('Weekly Data'!AE23:AI23)=0,"",IF(AVERAGE('Weekly Data'!AE23:AI23)&lt;0.055,"&lt;0.1",AVERAGE('Weekly Data'!AE23:AI23)))</f>
        <v>5.7799999999999994</v>
      </c>
      <c r="K23" s="201">
        <f>IF(COUNT('Weekly Data'!AJ23:AM23)=0,"",IF(AVERAGE('Weekly Data'!AJ23:AM23)&lt;0.055,"&lt;0.1",AVERAGE('Weekly Data'!AJ23:AM23)))</f>
        <v>8.3500000000000014</v>
      </c>
      <c r="L23" s="201">
        <f>IF(COUNT('Weekly Data'!AN23:AQ23)=0,"",IF(AVERAGE('Weekly Data'!AN23:AQ23)&lt;0.055,"&lt;0.1",AVERAGE('Weekly Data'!AN23:AQ23)))</f>
        <v>10.65</v>
      </c>
      <c r="M23" s="201">
        <f>IF(COUNT('Weekly Data'!AR23:AV23)=0,"",IF(AVERAGE('Weekly Data'!AR23:AV23)&lt;0.055,"&lt;0.1",AVERAGE('Weekly Data'!AR23:AV23)))</f>
        <v>11.72</v>
      </c>
      <c r="N23" s="201">
        <f>IF(COUNT('Weekly Data'!AW23:AZ23)=0,"",IF(AVERAGE('Weekly Data'!AW23:AZ23)&lt;0.055,"&lt;0.1",AVERAGE('Weekly Data'!AW23:AZ23)))</f>
        <v>2.4499999999999997</v>
      </c>
      <c r="O23" s="201">
        <f>IF(COUNT('Weekly Data'!BA23:BD23)=0,"",IF(AVERAGE('Weekly Data'!BA23:BD23)&lt;0.055,"&lt;0.1",AVERAGE('Weekly Data'!BA23:BD23)))</f>
        <v>2.0666666666666664</v>
      </c>
      <c r="P23" s="201"/>
      <c r="Q23" s="201">
        <f>IF(COUNT('Weekly Data'!E23:BD23)=0,"",IF(AVERAGE('Weekly Data'!E23:BD23)&lt;0.055,"&lt;0.1",AVERAGE('Weekly Data'!E23:BD23)))</f>
        <v>5.4477272727272741</v>
      </c>
      <c r="R23" s="201">
        <f>IF(COUNT('Weekly Data'!E23:BD23)=0,"",IF(MIN('Weekly Data'!E23:BD23)&lt;0.055,"&lt;0.1",MIN('Weekly Data'!E23:BD23)))</f>
        <v>0.7</v>
      </c>
      <c r="S23" s="201">
        <f>IF(COUNT('Weekly Data'!E23:BD23)=0,"",IF(MAX('Weekly Data'!E23:BD23)&lt;0.055,"&lt;0.1",MAX('Weekly Data'!E23:BD23)))</f>
        <v>20.8</v>
      </c>
      <c r="T23" s="293"/>
      <c r="U23" s="335">
        <f>COUNT('Weekly Data'!E23:BC23)</f>
        <v>44</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c r="A24" s="1"/>
      <c r="B24" s="199" t="str">
        <f>'Weekly Data'!A24</f>
        <v>SSF</v>
      </c>
      <c r="C24" s="217" t="str">
        <f>'Weekly Data'!B24</f>
        <v>mg/L</v>
      </c>
      <c r="D24" s="201">
        <f>IF(COUNT('Weekly Data'!E24:I24)=0,"",IF(AVERAGE('Weekly Data'!E24:I24)&lt;0.055,"&lt;0.1",AVERAGE('Weekly Data'!E24:I24)))</f>
        <v>1.2666666666666666</v>
      </c>
      <c r="E24" s="201">
        <f>IF(COUNT('Weekly Data'!J24:M24)=0,"",IF(AVERAGE('Weekly Data'!J24:M24)&lt;0.055,"&lt;0.1",AVERAGE('Weekly Data'!J24:M24)))</f>
        <v>1.4500000000000002</v>
      </c>
      <c r="F24" s="201">
        <f>IF(COUNT('Weekly Data'!N24:Q24)=0,"",IF(AVERAGE('Weekly Data'!N24:Q24)&lt;0.055,"&lt;0.1",AVERAGE('Weekly Data'!N24:Q24)))</f>
        <v>1.2</v>
      </c>
      <c r="G24" s="201">
        <f>IF(COUNT('Weekly Data'!R24:V24)=0,"",IF(AVERAGE('Weekly Data'!R24:V24)&lt;0.055,"&lt;0.1",AVERAGE('Weekly Data'!R24:V24)))</f>
        <v>3.5333333333333332</v>
      </c>
      <c r="H24" s="201">
        <f>IF(COUNT('Weekly Data'!W24:Z24)=0,"",IF(AVERAGE('Weekly Data'!W24:Z24)&lt;0.055,"&lt;0.1",AVERAGE('Weekly Data'!W24:Z24)))</f>
        <v>7.1</v>
      </c>
      <c r="I24" s="201">
        <f>IF(COUNT('Weekly Data'!AA24:AD24)=0,"",IF(AVERAGE('Weekly Data'!AA24:AD24)&lt;0.055,"&lt;0.1",AVERAGE('Weekly Data'!AA24:AD24)))</f>
        <v>8.5499999999999989</v>
      </c>
      <c r="J24" s="201">
        <f>IF(COUNT('Weekly Data'!AE24:AI24)=0,"",IF(AVERAGE('Weekly Data'!AE24:AI24)&lt;0.055,"&lt;0.1",AVERAGE('Weekly Data'!AE24:AI24)))</f>
        <v>8.0599999999999987</v>
      </c>
      <c r="K24" s="201">
        <f>IF(COUNT('Weekly Data'!AJ24:AM24)=0,"",IF(AVERAGE('Weekly Data'!AJ24:AM24)&lt;0.055,"&lt;0.1",AVERAGE('Weekly Data'!AJ24:AM24)))</f>
        <v>4.7</v>
      </c>
      <c r="L24" s="201">
        <f>IF(COUNT('Weekly Data'!AN24:AQ24)=0,"",IF(AVERAGE('Weekly Data'!AN24:AQ24)&lt;0.055,"&lt;0.1",AVERAGE('Weekly Data'!AN24:AQ24)))</f>
        <v>4</v>
      </c>
      <c r="M24" s="201">
        <f>IF(COUNT('Weekly Data'!AR24:AV24)=0,"",IF(AVERAGE('Weekly Data'!AR24:AV24)&lt;0.055,"&lt;0.1",AVERAGE('Weekly Data'!AR24:AV24)))</f>
        <v>10.4</v>
      </c>
      <c r="N24" s="201">
        <f>IF(COUNT('Weekly Data'!AW24:AZ24)=0,"",IF(AVERAGE('Weekly Data'!AW24:AZ24)&lt;0.055,"&lt;0.1",AVERAGE('Weekly Data'!AW24:AZ24)))</f>
        <v>8.4499999999999993</v>
      </c>
      <c r="O24" s="201">
        <f>IF(COUNT('Weekly Data'!BA24:BD24)=0,"",IF(AVERAGE('Weekly Data'!BA24:BD24)&lt;0.055,"&lt;0.1",AVERAGE('Weekly Data'!BA24:BD24)))</f>
        <v>2</v>
      </c>
      <c r="P24" s="201"/>
      <c r="Q24" s="201">
        <f>IF(COUNT('Weekly Data'!E24:BD24)=0,"",IF(AVERAGE('Weekly Data'!E24:BD24)&lt;0.055,"&lt;0.1",AVERAGE('Weekly Data'!E24:BD24)))</f>
        <v>5.6909090909090914</v>
      </c>
      <c r="R24" s="201">
        <f>IF(COUNT('Weekly Data'!E24:BD24)=0,"",IF(MIN('Weekly Data'!E24:BD24)&lt;0.055,"&lt;0.1",MIN('Weekly Data'!E24:BD24)))</f>
        <v>0.8</v>
      </c>
      <c r="S24" s="201">
        <f>IF(COUNT('Weekly Data'!E24:BD24)=0,"",IF(MAX('Weekly Data'!E24:BD24)&lt;0.055,"&lt;0.1",MAX('Weekly Data'!E24:BD24)))</f>
        <v>24.8</v>
      </c>
      <c r="T24" s="293"/>
      <c r="U24" s="335">
        <f>COUNT('Weekly Data'!E24:BC24)</f>
        <v>44</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c r="A25" s="1"/>
      <c r="B25" s="199" t="str">
        <f>'Weekly Data'!A25</f>
        <v>Temperature</v>
      </c>
      <c r="C25" s="217" t="str">
        <f>'Weekly Data'!B25</f>
        <v>° C</v>
      </c>
      <c r="D25" s="201">
        <f>IF(COUNT('Weekly Data'!E25:I25)=0,"",AVERAGE('Weekly Data'!E25:I25))</f>
        <v>3.0799999999999996</v>
      </c>
      <c r="E25" s="201">
        <f>IF(COUNT('Weekly Data'!J25:M25)=0,"",AVERAGE('Weekly Data'!J25:M25))</f>
        <v>3.4</v>
      </c>
      <c r="F25" s="201">
        <f>IF(COUNT('Weekly Data'!N25:Q25)=0,"",AVERAGE('Weekly Data'!N25:Q25))</f>
        <v>3.8250000000000002</v>
      </c>
      <c r="G25" s="201">
        <f>IF(COUNT('Weekly Data'!R25:V25)=0,"",AVERAGE('Weekly Data'!R25:V25))</f>
        <v>6.3599999999999994</v>
      </c>
      <c r="H25" s="201">
        <f>IF(COUNT('Weekly Data'!W25:Z25)=0,"",AVERAGE('Weekly Data'!W25:Z25))</f>
        <v>13.3</v>
      </c>
      <c r="I25" s="201">
        <f>IF(COUNT('Weekly Data'!AA25:AD25)=0,"",AVERAGE('Weekly Data'!AA25:AD25))</f>
        <v>17.5</v>
      </c>
      <c r="J25" s="201">
        <f>IF(COUNT('Weekly Data'!AE25:AI25)=0,"",AVERAGE('Weekly Data'!AE25:AI25))</f>
        <v>21.1</v>
      </c>
      <c r="K25" s="201">
        <f>IF(COUNT('Weekly Data'!AJ25:AM25)=0,"",AVERAGE('Weekly Data'!AJ25:AM25))</f>
        <v>21.375</v>
      </c>
      <c r="L25" s="201">
        <f>IF(COUNT('Weekly Data'!AN25:AQ25)=0,"",AVERAGE('Weekly Data'!AN25:AQ25))</f>
        <v>15.675000000000001</v>
      </c>
      <c r="M25" s="201">
        <f>IF(COUNT('Weekly Data'!AR25:AV25)=0,"",AVERAGE('Weekly Data'!AR25:AV25))</f>
        <v>8.0800000000000018</v>
      </c>
      <c r="N25" s="201">
        <f>IF(COUNT('Weekly Data'!AW25:AZ25)=0,"",AVERAGE('Weekly Data'!AW25:AZ25))</f>
        <v>2.5499999999999998</v>
      </c>
      <c r="O25" s="201">
        <f>IF(COUNT('Weekly Data'!BA25:BD25)=0,"",AVERAGE('Weekly Data'!BA25:BD25))</f>
        <v>1.9750000000000001</v>
      </c>
      <c r="P25" s="201"/>
      <c r="Q25" s="201">
        <f>IF(COUNT('Weekly Data'!E25:BD25)=0,"",AVERAGE('Weekly Data'!E25:BD25))</f>
        <v>9.9627450980392176</v>
      </c>
      <c r="R25" s="201">
        <f>IF(COUNT('Weekly Data'!E25:BD25)=0,"",MIN('Weekly Data'!E25:BD25))</f>
        <v>0.5</v>
      </c>
      <c r="S25" s="201">
        <f>IF(COUNT('Weekly Data'!E25:BD25)=0,"",MAX('Weekly Data'!E25:BD25))</f>
        <v>23.4</v>
      </c>
      <c r="T25" s="293"/>
      <c r="U25" s="335">
        <f>COUNT('Weekly Data'!E25:BC25)</f>
        <v>50</v>
      </c>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c r="A26" s="1"/>
      <c r="B26" s="199" t="str">
        <f>'Weekly Data'!A26</f>
        <v>Turbidity</v>
      </c>
      <c r="C26" s="217" t="str">
        <f>'Weekly Data'!B26</f>
        <v>NTU</v>
      </c>
      <c r="D26" s="201">
        <f>IF(COUNT('Weekly Data'!E26:I26)=0,"",AVERAGE('Weekly Data'!E26:I26))</f>
        <v>2.1320000000000001</v>
      </c>
      <c r="E26" s="201">
        <f>IF(COUNT('Weekly Data'!J26:M26)=0,"",AVERAGE('Weekly Data'!J26:M26))</f>
        <v>2.15</v>
      </c>
      <c r="F26" s="201">
        <f>IF(COUNT('Weekly Data'!N26:Q26)=0,"",AVERAGE('Weekly Data'!N26:Q26))</f>
        <v>2.0324999999999998</v>
      </c>
      <c r="G26" s="201">
        <f>IF(COUNT('Weekly Data'!R26:V26)=0,"",AVERAGE('Weekly Data'!R26:V26))</f>
        <v>4.7619999999999996</v>
      </c>
      <c r="H26" s="201">
        <f>IF(COUNT('Weekly Data'!W26:Z26)=0,"",AVERAGE('Weekly Data'!W26:Z26))</f>
        <v>8.3475000000000001</v>
      </c>
      <c r="I26" s="201">
        <f>IF(COUNT('Weekly Data'!AA26:AD26)=0,"",AVERAGE('Weekly Data'!AA26:AD26))</f>
        <v>12.5</v>
      </c>
      <c r="J26" s="201">
        <f>IF(COUNT('Weekly Data'!AE26:AI26)=0,"",AVERAGE('Weekly Data'!AE26:AI26))</f>
        <v>10.807999999999998</v>
      </c>
      <c r="K26" s="201">
        <f>IF(COUNT('Weekly Data'!AJ26:AM26)=0,"",AVERAGE('Weekly Data'!AJ26:AM26))</f>
        <v>11.2675</v>
      </c>
      <c r="L26" s="201">
        <f>IF(COUNT('Weekly Data'!AN26:AQ26)=0,"",AVERAGE('Weekly Data'!AN26:AQ26))</f>
        <v>8.8375000000000004</v>
      </c>
      <c r="M26" s="201">
        <f>IF(COUNT('Weekly Data'!AR26:AV26)=0,"",AVERAGE('Weekly Data'!AR26:AV26))</f>
        <v>9.7759999999999998</v>
      </c>
      <c r="N26" s="201">
        <f>IF(COUNT('Weekly Data'!AW26:AZ26)=0,"",AVERAGE('Weekly Data'!AW26:AZ26))</f>
        <v>9.1724999999999994</v>
      </c>
      <c r="O26" s="201">
        <f>IF(COUNT('Weekly Data'!BA26:BD26)=0,"",AVERAGE('Weekly Data'!BA26:BD26))</f>
        <v>3.2750000000000004</v>
      </c>
      <c r="P26" s="201"/>
      <c r="Q26" s="201">
        <f>IF(COUNT('Weekly Data'!E26:BD26)=0,"",AVERAGE('Weekly Data'!E26:BD26))</f>
        <v>7.1680392156862744</v>
      </c>
      <c r="R26" s="201">
        <f>IF(COUNT('Weekly Data'!E26:BD26)=0,"",MIN('Weekly Data'!E26:BD26))</f>
        <v>1.69</v>
      </c>
      <c r="S26" s="201">
        <f>IF(COUNT('Weekly Data'!E26:BD26)=0,"",MAX('Weekly Data'!E26:BD26))</f>
        <v>19.2</v>
      </c>
      <c r="T26" s="293"/>
      <c r="U26" s="335">
        <f>COUNT('Weekly Data'!E26:BC26)</f>
        <v>50</v>
      </c>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c r="A27" s="1"/>
      <c r="B27" s="199" t="str">
        <f>'Weekly Data'!A27</f>
        <v>TDS</v>
      </c>
      <c r="C27" s="217" t="str">
        <f>'Weekly Data'!B27</f>
        <v>mg/L(calc)</v>
      </c>
      <c r="D27" s="217">
        <f>IF(COUNT('Weekly Data'!E27:I27)=0,"",AVERAGE('Weekly Data'!E27:I27))</f>
        <v>569.76749999999993</v>
      </c>
      <c r="E27" s="217">
        <f>IF(COUNT('Weekly Data'!J27:M27)=0,"",AVERAGE('Weekly Data'!J27:M27))</f>
        <v>581.01499999999987</v>
      </c>
      <c r="F27" s="217">
        <f>IF(COUNT('Weekly Data'!N27:Q27)=0,"",AVERAGE('Weekly Data'!N27:Q27))</f>
        <v>595.92750000000001</v>
      </c>
      <c r="G27" s="217">
        <f>IF(COUNT('Weekly Data'!R27:V27)=0,"",AVERAGE('Weekly Data'!R27:V27))</f>
        <v>551.87599999999998</v>
      </c>
      <c r="H27" s="217">
        <f>IF(COUNT('Weekly Data'!W27:Z27)=0,"",AVERAGE('Weekly Data'!W27:Z27))</f>
        <v>464.51</v>
      </c>
      <c r="I27" s="217">
        <f>IF(COUNT('Weekly Data'!AA27:AD27)=0,"",AVERAGE('Weekly Data'!AA27:AD27))</f>
        <v>471.875</v>
      </c>
      <c r="J27" s="217">
        <f>IF(COUNT('Weekly Data'!AE27:AI27)=0,"",AVERAGE('Weekly Data'!AE27:AI27))</f>
        <v>434.685</v>
      </c>
      <c r="K27" s="217">
        <f>IF(COUNT('Weekly Data'!AJ27:AM27)=0,"",AVERAGE('Weekly Data'!AJ27:AM27))</f>
        <v>408.92750000000001</v>
      </c>
      <c r="L27" s="217">
        <f>IF(COUNT('Weekly Data'!AN27:AQ27)=0,"",AVERAGE('Weekly Data'!AN27:AQ27))</f>
        <v>412.61750000000001</v>
      </c>
      <c r="M27" s="217">
        <f>IF(COUNT('Weekly Data'!AR27:AV27)=0,"",AVERAGE('Weekly Data'!AR27:AV27))</f>
        <v>421.54799999999994</v>
      </c>
      <c r="N27" s="217">
        <f>IF(COUNT('Weekly Data'!AW27:AZ27)=0,"",AVERAGE('Weekly Data'!AW27:AZ27))</f>
        <v>435.14</v>
      </c>
      <c r="O27" s="217">
        <f>IF(COUNT('Weekly Data'!BA27:BD27)=0,"",AVERAGE('Weekly Data'!BA27:BD27))</f>
        <v>471.16</v>
      </c>
      <c r="P27" s="217"/>
      <c r="Q27" s="217">
        <f>IF(COUNT('Weekly Data'!E27:BD27)=0,"",AVERAGE('Weekly Data'!E27:BD27))</f>
        <v>481.20063829787244</v>
      </c>
      <c r="R27" s="217">
        <f>IF(COUNT('Weekly Data'!E27:BD27)=0,"",MIN('Weekly Data'!E27:BD27))</f>
        <v>405.95</v>
      </c>
      <c r="S27" s="217">
        <f>IF(COUNT('Weekly Data'!E27:BD27)=0,"",MAX('Weekly Data'!E27:BD27))</f>
        <v>601.25</v>
      </c>
      <c r="T27" s="293"/>
      <c r="U27" s="335"/>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c r="A28" s="1"/>
      <c r="B28" s="199" t="str">
        <f>'Weekly Data'!A28</f>
        <v>Langelier Index (RTW)</v>
      </c>
      <c r="C28" s="217" t="str">
        <f>'Weekly Data'!B28</f>
        <v xml:space="preserve">pH units (calc)   </v>
      </c>
      <c r="D28" s="219">
        <f>IF(COUNT('Weekly Data'!E28:I28)=0,"",AVERAGE('Weekly Data'!E28:I28))</f>
        <v>0.13252762379496663</v>
      </c>
      <c r="E28" s="219">
        <f>IF(COUNT('Weekly Data'!J28:M28)=0,"",AVERAGE('Weekly Data'!J28:M28))</f>
        <v>5.7899592250271414E-2</v>
      </c>
      <c r="F28" s="219">
        <f>IF(COUNT('Weekly Data'!N28:Q28)=0,"",AVERAGE('Weekly Data'!N28:Q28))</f>
        <v>-1.5425174391568097E-2</v>
      </c>
      <c r="G28" s="219">
        <f>IF(COUNT('Weekly Data'!R28:V28)=0,"",AVERAGE('Weekly Data'!R28:V28))</f>
        <v>0.16029315527860569</v>
      </c>
      <c r="H28" s="219">
        <f>IF(COUNT('Weekly Data'!W28:Z28)=0,"",AVERAGE('Weekly Data'!W28:Z28))</f>
        <v>0.64175099880400133</v>
      </c>
      <c r="I28" s="219">
        <f>IF(COUNT('Weekly Data'!AA28:AD28)=0,"",AVERAGE('Weekly Data'!AA28:AD28))</f>
        <v>0.8228773411394521</v>
      </c>
      <c r="J28" s="219">
        <f>IF(COUNT('Weekly Data'!AE28:AI28)=0,"",AVERAGE('Weekly Data'!AE28:AI28))</f>
        <v>0.70222928567247034</v>
      </c>
      <c r="K28" s="219">
        <f>IF(COUNT('Weekly Data'!AJ28:AM28)=0,"",AVERAGE('Weekly Data'!AJ28:AM28))</f>
        <v>0.88619134315370252</v>
      </c>
      <c r="L28" s="219">
        <f>IF(COUNT('Weekly Data'!AN28:AQ28)=0,"",AVERAGE('Weekly Data'!AN28:AQ28))</f>
        <v>0.68019402510663851</v>
      </c>
      <c r="M28" s="219">
        <f>IF(COUNT('Weekly Data'!AR28:AV28)=0,"",AVERAGE('Weekly Data'!AR28:AV28))</f>
        <v>0.66056548570156026</v>
      </c>
      <c r="N28" s="219">
        <f>IF(COUNT('Weekly Data'!AW28:AZ28)=0,"",AVERAGE('Weekly Data'!AW28:AZ28))</f>
        <v>0.34690099058459878</v>
      </c>
      <c r="O28" s="219">
        <f>IF(COUNT('Weekly Data'!BA28:BD28)=0,"",AVERAGE('Weekly Data'!BA28:BD28))</f>
        <v>0.24594824861495468</v>
      </c>
      <c r="P28" s="219"/>
      <c r="Q28" s="219">
        <f>IF(COUNT('Weekly Data'!E28:BD28)=0,"",AVERAGE('Weekly Data'!E28:BD28))</f>
        <v>0.46270048661070823</v>
      </c>
      <c r="R28" s="219">
        <f>IF(COUNT('Weekly Data'!E28:BD28)=0,"",MIN('Weekly Data'!E28:BD28))</f>
        <v>-8.5499826070019935E-2</v>
      </c>
      <c r="S28" s="219">
        <f>IF(COUNT('Weekly Data'!E28:BD28)=0,"",MAX('Weekly Data'!E28:BD28))</f>
        <v>0.9796077944783681</v>
      </c>
      <c r="T28" s="293"/>
      <c r="U28" s="335"/>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c r="A29" s="1"/>
      <c r="B29" s="199"/>
      <c r="C29" s="217"/>
      <c r="D29" s="217"/>
      <c r="E29" s="200"/>
      <c r="F29" s="200"/>
      <c r="G29" s="200"/>
      <c r="H29" s="217"/>
      <c r="I29" s="200"/>
      <c r="J29" s="200"/>
      <c r="K29" s="217"/>
      <c r="L29" s="217"/>
      <c r="M29" s="200"/>
      <c r="N29" s="200"/>
      <c r="O29" s="200"/>
      <c r="P29" s="200"/>
      <c r="Q29" s="201"/>
      <c r="R29" s="201"/>
      <c r="S29" s="201"/>
      <c r="T29" s="293"/>
      <c r="U29" s="310"/>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c r="A30" s="1"/>
      <c r="B30" s="207" t="str">
        <f>'Weekly Data'!A30</f>
        <v>MAJOR CONSTITUENTS</v>
      </c>
      <c r="C30" s="217"/>
      <c r="D30" s="217"/>
      <c r="E30" s="200"/>
      <c r="F30" s="200"/>
      <c r="G30" s="200"/>
      <c r="H30" s="217"/>
      <c r="I30" s="200"/>
      <c r="J30" s="200"/>
      <c r="K30" s="217"/>
      <c r="L30" s="217"/>
      <c r="M30" s="200"/>
      <c r="N30" s="200"/>
      <c r="O30" s="200"/>
      <c r="P30" s="200"/>
      <c r="Q30" s="201"/>
      <c r="R30" s="201"/>
      <c r="S30" s="201"/>
      <c r="T30" s="293"/>
      <c r="U30" s="220"/>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c r="A31" s="1"/>
      <c r="B31" s="199"/>
      <c r="C31" s="217"/>
      <c r="D31" s="217"/>
      <c r="E31" s="200"/>
      <c r="F31" s="200"/>
      <c r="G31" s="200"/>
      <c r="H31" s="217"/>
      <c r="I31" s="200"/>
      <c r="J31" s="200"/>
      <c r="K31" s="217"/>
      <c r="L31" s="217"/>
      <c r="M31" s="200"/>
      <c r="N31" s="200"/>
      <c r="O31" s="200"/>
      <c r="P31" s="200"/>
      <c r="Q31" s="201"/>
      <c r="R31" s="201"/>
      <c r="S31" s="201"/>
      <c r="T31" s="293"/>
      <c r="U31" s="310"/>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c r="A32" s="1"/>
      <c r="B32" s="199" t="str">
        <f>'Weekly Data'!A32</f>
        <v>Alkalinity(p)</v>
      </c>
      <c r="C32" s="217" t="str">
        <f>'Weekly Data'!B32</f>
        <v>mg/L CaCO3</v>
      </c>
      <c r="D32" s="217" t="str">
        <f>IF(COUNT('Weekly Data'!E32:I32)=0,"",IF(AVERAGE('Weekly Data'!E32:I32)&lt;0.55,"&lt;1",AVERAGE('Weekly Data'!E32:I32)))</f>
        <v>&lt;1</v>
      </c>
      <c r="E32" s="217" t="str">
        <f>IF(COUNT('Weekly Data'!J32:M32)=0,"",IF(AVERAGE('Weekly Data'!J32:M32)&lt;0.55,"&lt;1",AVERAGE('Weekly Data'!J32:M32)))</f>
        <v>&lt;1</v>
      </c>
      <c r="F32" s="217" t="str">
        <f>IF(COUNT('Weekly Data'!N32:Q32)=0,"",IF(AVERAGE('Weekly Data'!N32:Q32)&lt;0.55,"&lt;1",AVERAGE('Weekly Data'!N32:Q32)))</f>
        <v>&lt;1</v>
      </c>
      <c r="G32" s="217" t="str">
        <f>IF(COUNT('Weekly Data'!R32:V32)=0,"",IF(AVERAGE('Weekly Data'!R32:V32)&lt;0.55,"&lt;1",AVERAGE('Weekly Data'!R32:V32)))</f>
        <v>&lt;1</v>
      </c>
      <c r="H32" s="217" t="str">
        <f>IF(COUNT('Weekly Data'!W32:Z32)=0,"",IF(AVERAGE('Weekly Data'!W32:Z32)&lt;0.55,"&lt;1",AVERAGE('Weekly Data'!W32:Z32)))</f>
        <v>&lt;1</v>
      </c>
      <c r="I32" s="217">
        <f>IF(COUNT('Weekly Data'!AA32:AD32)=0,"",IF(AVERAGE('Weekly Data'!AA32:AD32)&lt;0.55,"&lt;1",AVERAGE('Weekly Data'!AA32:AD32)))</f>
        <v>2</v>
      </c>
      <c r="J32" s="217">
        <f>IF(COUNT('Weekly Data'!AE32:AI32)=0,"",IF(AVERAGE('Weekly Data'!AE32:AI32)&lt;0.55,"&lt;1",AVERAGE('Weekly Data'!AE32:AI32)))</f>
        <v>2.2000000000000002</v>
      </c>
      <c r="K32" s="217">
        <f>IF(COUNT('Weekly Data'!AJ32:AM32)=0,"",IF(AVERAGE('Weekly Data'!AJ32:AM32)&lt;0.55,"&lt;1",AVERAGE('Weekly Data'!AJ32:AM32)))</f>
        <v>3.75</v>
      </c>
      <c r="L32" s="217">
        <f>IF(COUNT('Weekly Data'!AN32:AQ32)=0,"",IF(AVERAGE('Weekly Data'!AN32:AQ32)&lt;0.55,"&lt;1",AVERAGE('Weekly Data'!AN32:AQ32)))</f>
        <v>2.75</v>
      </c>
      <c r="M32" s="217">
        <f>IF(COUNT('Weekly Data'!AR32:AV32)=0,"",IF(AVERAGE('Weekly Data'!AR32:AV32)&lt;0.55,"&lt;1",AVERAGE('Weekly Data'!AR32:AV32)))</f>
        <v>4</v>
      </c>
      <c r="N32" s="217" t="str">
        <f>IF(COUNT('Weekly Data'!AW32:AZ32)=0,"",IF(AVERAGE('Weekly Data'!AW32:AZ32)&lt;0.55,"&lt;1",AVERAGE('Weekly Data'!AW32:AZ32)))</f>
        <v>&lt;1</v>
      </c>
      <c r="O32" s="217" t="str">
        <f>IF(COUNT('Weekly Data'!BA32:BD32)=0,"",IF(AVERAGE('Weekly Data'!BA32:BD32)&lt;0.55,"&lt;1",AVERAGE('Weekly Data'!BA32:BD32)))</f>
        <v>&lt;1</v>
      </c>
      <c r="P32" s="217"/>
      <c r="Q32" s="217">
        <f>IF(COUNT('Weekly Data'!E32:BD32)=0,"",IF(AVERAGE('Weekly Data'!E32:BD32)&lt;0.55,"&lt;1",AVERAGE('Weekly Data'!E32:BD32)))</f>
        <v>1.3</v>
      </c>
      <c r="R32" s="217" t="str">
        <f>IF(COUNT('Weekly Data'!E32:BD32)=0,"",IF(MIN('Weekly Data'!E32:BD32)&lt;0.55,"&lt;1",MIN('Weekly Data'!E32:BD32)))</f>
        <v>&lt;1</v>
      </c>
      <c r="S32" s="217">
        <f>IF(COUNT('Weekly Data'!E32:BD32)=0,"",IF(MAX('Weekly Data'!E32:BD32)&lt;0.55,"&lt;1",MAX('Weekly Data'!E32:BD32)))</f>
        <v>7</v>
      </c>
      <c r="T32" s="293"/>
      <c r="U32" s="335">
        <f>COUNT('Weekly Data'!E32:BC32)</f>
        <v>50</v>
      </c>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c r="A33" s="1"/>
      <c r="B33" s="199" t="str">
        <f>'Weekly Data'!A33</f>
        <v>Alkalinity(total)</v>
      </c>
      <c r="C33" s="217" t="str">
        <f>'Weekly Data'!B33</f>
        <v>mg/L CaCO3</v>
      </c>
      <c r="D33" s="217">
        <f>IF(COUNT('Weekly Data'!E33:I33)=0,"",AVERAGE('Weekly Data'!E33:I33))</f>
        <v>203.6</v>
      </c>
      <c r="E33" s="217">
        <f>IF(COUNT('Weekly Data'!J33:M33)=0,"",AVERAGE('Weekly Data'!J33:M33))</f>
        <v>206.33333333333334</v>
      </c>
      <c r="F33" s="217">
        <f>IF(COUNT('Weekly Data'!N33:Q33)=0,"",AVERAGE('Weekly Data'!N33:Q33))</f>
        <v>215</v>
      </c>
      <c r="G33" s="217">
        <f>IF(COUNT('Weekly Data'!R33:V33)=0,"",AVERAGE('Weekly Data'!R33:V33))</f>
        <v>200.6</v>
      </c>
      <c r="H33" s="217">
        <f>IF(COUNT('Weekly Data'!W33:Z33)=0,"",AVERAGE('Weekly Data'!W33:Z33))</f>
        <v>170.75</v>
      </c>
      <c r="I33" s="217">
        <f>IF(COUNT('Weekly Data'!AA33:AD33)=0,"",AVERAGE('Weekly Data'!AA33:AD33))</f>
        <v>170</v>
      </c>
      <c r="J33" s="217">
        <f>IF(COUNT('Weekly Data'!AE33:AI33)=0,"",AVERAGE('Weekly Data'!AE33:AI33))</f>
        <v>151.19999999999999</v>
      </c>
      <c r="K33" s="217">
        <f>IF(COUNT('Weekly Data'!AJ33:AM33)=0,"",AVERAGE('Weekly Data'!AJ33:AM33))</f>
        <v>144</v>
      </c>
      <c r="L33" s="217">
        <f>IF(COUNT('Weekly Data'!AN33:AQ33)=0,"",AVERAGE('Weekly Data'!AN33:AQ33))</f>
        <v>146</v>
      </c>
      <c r="M33" s="217">
        <f>IF(COUNT('Weekly Data'!AR33:AV33)=0,"",AVERAGE('Weekly Data'!AR33:AV33))</f>
        <v>155.19999999999999</v>
      </c>
      <c r="N33" s="217">
        <f>IF(COUNT('Weekly Data'!AW33:AZ33)=0,"",AVERAGE('Weekly Data'!AW33:AZ33))</f>
        <v>161.75</v>
      </c>
      <c r="O33" s="217">
        <f>IF(COUNT('Weekly Data'!BA33:BD33)=0,"",AVERAGE('Weekly Data'!BA33:BD33))</f>
        <v>175.66666666666666</v>
      </c>
      <c r="P33" s="217"/>
      <c r="Q33" s="217">
        <f>IF(COUNT('Weekly Data'!E33:BD33)=0,"",AVERAGE('Weekly Data'!E33:BD33))</f>
        <v>174.58</v>
      </c>
      <c r="R33" s="217">
        <f>IF(COUNT('Weekly Data'!E33:BD33)=0,"",MIN('Weekly Data'!E33:BD33))</f>
        <v>138</v>
      </c>
      <c r="S33" s="217">
        <f>IF(COUNT('Weekly Data'!E33:BD33)=0,"",MAX('Weekly Data'!E33:BD33))</f>
        <v>218</v>
      </c>
      <c r="T33" s="293"/>
      <c r="U33" s="335">
        <f>COUNT('Weekly Data'!E33:BC33)</f>
        <v>50</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c r="A34" s="1"/>
      <c r="B34" s="199" t="str">
        <f>'Weekly Data'!A34</f>
        <v>Bicarbonate</v>
      </c>
      <c r="C34" s="217" t="str">
        <f>'Weekly Data'!B34</f>
        <v>mg/L</v>
      </c>
      <c r="D34" s="217">
        <f>IF(COUNT('Weekly Data'!E34:I34)=0,"",AVERAGE('Weekly Data'!E34:I34))</f>
        <v>248.2</v>
      </c>
      <c r="E34" s="217">
        <f>IF(COUNT('Weekly Data'!J34:M34)=0,"",AVERAGE('Weekly Data'!J34:M34))</f>
        <v>251.66666666666666</v>
      </c>
      <c r="F34" s="217">
        <f>IF(COUNT('Weekly Data'!N34:Q34)=0,"",AVERAGE('Weekly Data'!N34:Q34))</f>
        <v>262</v>
      </c>
      <c r="G34" s="217">
        <f>IF(COUNT('Weekly Data'!R34:V34)=0,"",AVERAGE('Weekly Data'!R34:V34))</f>
        <v>244.8</v>
      </c>
      <c r="H34" s="217">
        <f>IF(COUNT('Weekly Data'!W34:Z34)=0,"",AVERAGE('Weekly Data'!W34:Z34))</f>
        <v>208</v>
      </c>
      <c r="I34" s="217">
        <f>IF(COUNT('Weekly Data'!AA34:AD34)=0,"",AVERAGE('Weekly Data'!AA34:AD34))</f>
        <v>202.25</v>
      </c>
      <c r="J34" s="217">
        <f>IF(COUNT('Weekly Data'!AE34:AI34)=0,"",AVERAGE('Weekly Data'!AE34:AI34))</f>
        <v>178.8</v>
      </c>
      <c r="K34" s="217">
        <f>IF(COUNT('Weekly Data'!AJ34:AM34)=0,"",AVERAGE('Weekly Data'!AJ34:AM34))</f>
        <v>166.25</v>
      </c>
      <c r="L34" s="217">
        <f>IF(COUNT('Weekly Data'!AN34:AQ34)=0,"",AVERAGE('Weekly Data'!AN34:AQ34))</f>
        <v>171.25</v>
      </c>
      <c r="M34" s="217">
        <f>IF(COUNT('Weekly Data'!AR34:AV34)=0,"",AVERAGE('Weekly Data'!AR34:AV34))</f>
        <v>178.6</v>
      </c>
      <c r="N34" s="217">
        <f>IF(COUNT('Weekly Data'!AW34:AZ34)=0,"",AVERAGE('Weekly Data'!AW34:AZ34))</f>
        <v>197.25</v>
      </c>
      <c r="O34" s="217">
        <f>IF(COUNT('Weekly Data'!BA34:BD34)=0,"",AVERAGE('Weekly Data'!BA34:BD34))</f>
        <v>213.66666666666666</v>
      </c>
      <c r="P34" s="217"/>
      <c r="Q34" s="217">
        <f>IF(COUNT('Weekly Data'!E34:BD34)=0,"",AVERAGE('Weekly Data'!E34:BD34))</f>
        <v>209.52</v>
      </c>
      <c r="R34" s="217">
        <f>IF(COUNT('Weekly Data'!E34:BD34)=0,"",MIN('Weekly Data'!E34:BD34))</f>
        <v>156</v>
      </c>
      <c r="S34" s="217">
        <f>IF(COUNT('Weekly Data'!E34:BD34)=0,"",MAX('Weekly Data'!E34:BD34))</f>
        <v>266</v>
      </c>
      <c r="T34" s="293"/>
      <c r="U34" s="335">
        <f>COUNT('Weekly Data'!E34:BC34)</f>
        <v>50</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c r="A35" s="1"/>
      <c r="B35" s="199" t="str">
        <f>'Weekly Data'!A35</f>
        <v>Carbonate</v>
      </c>
      <c r="C35" s="217" t="str">
        <f>'Weekly Data'!B35</f>
        <v>mg/L</v>
      </c>
      <c r="D35" s="217" t="str">
        <f>IF(COUNT('Weekly Data'!E35:I35)=0,"",IF(AVERAGE('Weekly Data'!E35:I35)&lt;0.55,"&lt;1",AVERAGE('Weekly Data'!E35:I35)))</f>
        <v>&lt;1</v>
      </c>
      <c r="E35" s="217" t="str">
        <f>IF(COUNT('Weekly Data'!J35:M35)=0,"",IF(AVERAGE('Weekly Data'!J35:M35)&lt;0.55,"&lt;1",AVERAGE('Weekly Data'!J35:M35)))</f>
        <v>&lt;1</v>
      </c>
      <c r="F35" s="217" t="str">
        <f>IF(COUNT('Weekly Data'!N35:Q35)=0,"",IF(AVERAGE('Weekly Data'!N35:Q35)&lt;0.55,"&lt;1",AVERAGE('Weekly Data'!N35:Q35)))</f>
        <v>&lt;1</v>
      </c>
      <c r="G35" s="217" t="str">
        <f>IF(COUNT('Weekly Data'!R35:V35)=0,"",IF(AVERAGE('Weekly Data'!R35:V35)&lt;0.55,"&lt;1",AVERAGE('Weekly Data'!R35:V35)))</f>
        <v>&lt;1</v>
      </c>
      <c r="H35" s="217" t="str">
        <f>IF(COUNT('Weekly Data'!W35:Z35)=0,"",IF(AVERAGE('Weekly Data'!W35:Z35)&lt;0.55,"&lt;1",AVERAGE('Weekly Data'!W35:Z35)))</f>
        <v>&lt;1</v>
      </c>
      <c r="I35" s="217">
        <f>IF(COUNT('Weekly Data'!AA35:AD35)=0,"",IF(AVERAGE('Weekly Data'!AA35:AD35)&lt;0.55,"&lt;1",AVERAGE('Weekly Data'!AA35:AD35)))</f>
        <v>2.25</v>
      </c>
      <c r="J35" s="217">
        <f>IF(COUNT('Weekly Data'!AE35:AI35)=0,"",IF(AVERAGE('Weekly Data'!AE35:AI35)&lt;0.55,"&lt;1",AVERAGE('Weekly Data'!AE35:AI35)))</f>
        <v>2.6</v>
      </c>
      <c r="K35" s="217">
        <f>IF(COUNT('Weekly Data'!AJ35:AM35)=0,"",IF(AVERAGE('Weekly Data'!AJ35:AM35)&lt;0.55,"&lt;1",AVERAGE('Weekly Data'!AJ35:AM35)))</f>
        <v>4.5</v>
      </c>
      <c r="L35" s="217">
        <f>IF(COUNT('Weekly Data'!AN35:AQ35)=0,"",IF(AVERAGE('Weekly Data'!AN35:AQ35)&lt;0.55,"&lt;1",AVERAGE('Weekly Data'!AN35:AQ35)))</f>
        <v>3.25</v>
      </c>
      <c r="M35" s="217">
        <f>IF(COUNT('Weekly Data'!AR35:AV35)=0,"",IF(AVERAGE('Weekly Data'!AR35:AV35)&lt;0.55,"&lt;1",AVERAGE('Weekly Data'!AR35:AV35)))</f>
        <v>4.8</v>
      </c>
      <c r="N35" s="217" t="str">
        <f>IF(COUNT('Weekly Data'!AW35:AZ35)=0,"",IF(AVERAGE('Weekly Data'!AW35:AZ35)&lt;0.55,"&lt;1",AVERAGE('Weekly Data'!AW35:AZ35)))</f>
        <v>&lt;1</v>
      </c>
      <c r="O35" s="217" t="str">
        <f>IF(COUNT('Weekly Data'!BA35:BD35)=0,"",IF(AVERAGE('Weekly Data'!BA35:BD35)&lt;0.55,"&lt;1",AVERAGE('Weekly Data'!BA35:BD35)))</f>
        <v>&lt;1</v>
      </c>
      <c r="P35" s="217"/>
      <c r="Q35" s="217">
        <f>IF(COUNT('Weekly Data'!E35:BD35)=0,"",IF(AVERAGE('Weekly Data'!E35:BD35)&lt;0.55,"&lt;1",AVERAGE('Weekly Data'!E35:BD35)))</f>
        <v>1.54</v>
      </c>
      <c r="R35" s="217" t="str">
        <f>IF(COUNT('Weekly Data'!E35:BD35)=0,"",IF(MIN('Weekly Data'!E35:BD35)&lt;0.55,"&lt;1",MIN('Weekly Data'!E35:BD35)))</f>
        <v>&lt;1</v>
      </c>
      <c r="S35" s="217">
        <f>IF(COUNT('Weekly Data'!E35:BD35)=0,"",IF(MAX('Weekly Data'!E35:BD35)&lt;0.55,"&lt;1",MAX('Weekly Data'!E35:BD35)))</f>
        <v>8</v>
      </c>
      <c r="T35" s="293"/>
      <c r="U35" s="335">
        <f>COUNT('Weekly Data'!E35:BC35)</f>
        <v>50</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6">
      <c r="A36" s="1"/>
      <c r="B36" s="199" t="str">
        <f>'Weekly Data'!A36</f>
        <v>Calcium</v>
      </c>
      <c r="C36" s="217" t="str">
        <f>'Weekly Data'!B36</f>
        <v>mg/L</v>
      </c>
      <c r="D36" s="217">
        <f>IF(COUNT('Weekly Data'!E36:I36)=0,"",AVERAGE('Weekly Data'!E36:I36))</f>
        <v>61.5</v>
      </c>
      <c r="E36" s="217">
        <f>IF(COUNT('Weekly Data'!J36:M36)=0,"",AVERAGE('Weekly Data'!J36:M36))</f>
        <v>63</v>
      </c>
      <c r="F36" s="217">
        <f>IF(COUNT('Weekly Data'!N36:Q36)=0,"",AVERAGE('Weekly Data'!N36:Q36))</f>
        <v>66</v>
      </c>
      <c r="G36" s="217">
        <f>IF(COUNT('Weekly Data'!R36:V36)=0,"",AVERAGE('Weekly Data'!R36:V36))</f>
        <v>61.4</v>
      </c>
      <c r="H36" s="217">
        <f>IF(COUNT('Weekly Data'!W36:Z36)=0,"",AVERAGE('Weekly Data'!W36:Z36))</f>
        <v>51.5</v>
      </c>
      <c r="I36" s="217">
        <f>IF(COUNT('Weekly Data'!AA36:AD36)=0,"",AVERAGE('Weekly Data'!AA36:AD36))</f>
        <v>52</v>
      </c>
      <c r="J36" s="217">
        <f>IF(COUNT('Weekly Data'!AE36:AI36)=0,"",AVERAGE('Weekly Data'!AE36:AI36))</f>
        <v>47.8</v>
      </c>
      <c r="K36" s="217">
        <f>IF(COUNT('Weekly Data'!AJ36:AM36)=0,"",AVERAGE('Weekly Data'!AJ36:AM36))</f>
        <v>43.5</v>
      </c>
      <c r="L36" s="217">
        <f>IF(COUNT('Weekly Data'!AN36:AQ36)=0,"",AVERAGE('Weekly Data'!AN36:AQ36))</f>
        <v>43.25</v>
      </c>
      <c r="M36" s="217">
        <f>IF(COUNT('Weekly Data'!AR36:AV36)=0,"",AVERAGE('Weekly Data'!AR36:AV36))</f>
        <v>46.2</v>
      </c>
      <c r="N36" s="217">
        <f>IF(COUNT('Weekly Data'!AW36:AZ36)=0,"",AVERAGE('Weekly Data'!AW36:AZ36))</f>
        <v>48.75</v>
      </c>
      <c r="O36" s="217">
        <f>IF(COUNT('Weekly Data'!BA36:BD36)=0,"",AVERAGE('Weekly Data'!BA36:BD36))</f>
        <v>53</v>
      </c>
      <c r="P36" s="217"/>
      <c r="Q36" s="217">
        <f>IF(COUNT('Weekly Data'!E36:BD36)=0,"",AVERAGE('Weekly Data'!E36:BD36))</f>
        <v>52.666666666666664</v>
      </c>
      <c r="R36" s="217">
        <f>IF(COUNT('Weekly Data'!E36:BD36)=0,"",MIN('Weekly Data'!E36:BD36))</f>
        <v>42</v>
      </c>
      <c r="S36" s="217">
        <f>IF(COUNT('Weekly Data'!E36:BD36)=0,"",MAX('Weekly Data'!E36:BD36))</f>
        <v>66</v>
      </c>
      <c r="T36" s="293"/>
      <c r="U36" s="335">
        <f>COUNT('Weekly Data'!E36:BC36)</f>
        <v>48</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c r="A37" s="1"/>
      <c r="B37" s="199" t="str">
        <f>'Weekly Data'!A37</f>
        <v>Magnesium</v>
      </c>
      <c r="C37" s="217" t="str">
        <f>'Weekly Data'!B37</f>
        <v>mg/L</v>
      </c>
      <c r="D37" s="217">
        <f>IF(COUNT('Weekly Data'!E37:I37)=0,"",AVERAGE('Weekly Data'!E37:I37))</f>
        <v>26.5</v>
      </c>
      <c r="E37" s="217">
        <f>IF(COUNT('Weekly Data'!J37:M37)=0,"",AVERAGE('Weekly Data'!J37:M37))</f>
        <v>27</v>
      </c>
      <c r="F37" s="217">
        <f>IF(COUNT('Weekly Data'!N37:Q37)=0,"",AVERAGE('Weekly Data'!N37:Q37))</f>
        <v>27</v>
      </c>
      <c r="G37" s="217">
        <f>IF(COUNT('Weekly Data'!R37:V37)=0,"",AVERAGE('Weekly Data'!R37:V37))</f>
        <v>25.6</v>
      </c>
      <c r="H37" s="217">
        <f>IF(COUNT('Weekly Data'!W37:Z37)=0,"",AVERAGE('Weekly Data'!W37:Z37))</f>
        <v>20.5</v>
      </c>
      <c r="I37" s="217">
        <f>IF(COUNT('Weekly Data'!AA37:AD37)=0,"",AVERAGE('Weekly Data'!AA37:AD37))</f>
        <v>20.5</v>
      </c>
      <c r="J37" s="217">
        <f>IF(COUNT('Weekly Data'!AE37:AI37)=0,"",AVERAGE('Weekly Data'!AE37:AI37))</f>
        <v>18.8</v>
      </c>
      <c r="K37" s="217">
        <f>IF(COUNT('Weekly Data'!AJ37:AM37)=0,"",AVERAGE('Weekly Data'!AJ37:AM37))</f>
        <v>18.75</v>
      </c>
      <c r="L37" s="217">
        <f>IF(COUNT('Weekly Data'!AN37:AQ37)=0,"",AVERAGE('Weekly Data'!AN37:AQ37))</f>
        <v>19.25</v>
      </c>
      <c r="M37" s="217">
        <f>IF(COUNT('Weekly Data'!AR37:AV37)=0,"",AVERAGE('Weekly Data'!AR37:AV37))</f>
        <v>19.600000000000001</v>
      </c>
      <c r="N37" s="217">
        <f>IF(COUNT('Weekly Data'!AW37:AZ37)=0,"",AVERAGE('Weekly Data'!AW37:AZ37))</f>
        <v>19.5</v>
      </c>
      <c r="O37" s="217">
        <f>IF(COUNT('Weekly Data'!BA37:BD37)=0,"",AVERAGE('Weekly Data'!BA37:BD37))</f>
        <v>22</v>
      </c>
      <c r="P37" s="217"/>
      <c r="Q37" s="217">
        <f>IF(COUNT('Weekly Data'!E37:BD37)=0,"",AVERAGE('Weekly Data'!E37:BD37))</f>
        <v>21.833333333333332</v>
      </c>
      <c r="R37" s="217">
        <f>IF(COUNT('Weekly Data'!E37:BD37)=0,"",MIN('Weekly Data'!E37:BD37))</f>
        <v>17</v>
      </c>
      <c r="S37" s="217">
        <f>IF(COUNT('Weekly Data'!E37:BD37)=0,"",MAX('Weekly Data'!E37:BD37))</f>
        <v>28</v>
      </c>
      <c r="T37" s="293"/>
      <c r="U37" s="335">
        <f>COUNT('Weekly Data'!E37:BC37)</f>
        <v>48</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c r="A38" s="1"/>
      <c r="B38" s="199" t="str">
        <f>'Weekly Data'!A38</f>
        <v>Hardness (total)</v>
      </c>
      <c r="C38" s="217" t="str">
        <f>'Weekly Data'!B38</f>
        <v>mg/L CaCO3</v>
      </c>
      <c r="D38" s="217">
        <f>IF(COUNT('Weekly Data'!E38:I38)=0,"",AVERAGE('Weekly Data'!E38:I38))</f>
        <v>263.5</v>
      </c>
      <c r="E38" s="217">
        <f>IF(COUNT('Weekly Data'!J38:M38)=0,"",AVERAGE('Weekly Data'!J38:M38))</f>
        <v>269</v>
      </c>
      <c r="F38" s="217">
        <f>IF(COUNT('Weekly Data'!N38:Q38)=0,"",AVERAGE('Weekly Data'!N38:Q38))</f>
        <v>276.25</v>
      </c>
      <c r="G38" s="217">
        <f>IF(COUNT('Weekly Data'!R38:V38)=0,"",AVERAGE('Weekly Data'!R38:V38))</f>
        <v>258.60000000000002</v>
      </c>
      <c r="H38" s="217">
        <f>IF(COUNT('Weekly Data'!W38:Z38)=0,"",AVERAGE('Weekly Data'!W38:Z38))</f>
        <v>214.5</v>
      </c>
      <c r="I38" s="217">
        <f>IF(COUNT('Weekly Data'!AA38:AD38)=0,"",AVERAGE('Weekly Data'!AA38:AD38))</f>
        <v>214.25</v>
      </c>
      <c r="J38" s="217">
        <f>IF(COUNT('Weekly Data'!AE38:AI38)=0,"",AVERAGE('Weekly Data'!AE38:AI38))</f>
        <v>198.4</v>
      </c>
      <c r="K38" s="217">
        <f>IF(COUNT('Weekly Data'!AJ38:AM38)=0,"",AVERAGE('Weekly Data'!AJ38:AM38))</f>
        <v>185.5</v>
      </c>
      <c r="L38" s="217">
        <f>IF(COUNT('Weekly Data'!AN38:AQ38)=0,"",AVERAGE('Weekly Data'!AN38:AQ38))</f>
        <v>187.75</v>
      </c>
      <c r="M38" s="217">
        <f>IF(COUNT('Weekly Data'!AR38:AV38)=0,"",AVERAGE('Weekly Data'!AR38:AV38))</f>
        <v>196.2</v>
      </c>
      <c r="N38" s="217">
        <f>IF(COUNT('Weekly Data'!AW38:AZ38)=0,"",AVERAGE('Weekly Data'!AW38:AZ38))</f>
        <v>202.75</v>
      </c>
      <c r="O38" s="217">
        <f>IF(COUNT('Weekly Data'!BA38:BD38)=0,"",AVERAGE('Weekly Data'!BA38:BD38))</f>
        <v>223</v>
      </c>
      <c r="P38" s="217"/>
      <c r="Q38" s="217">
        <f>IF(COUNT('Weekly Data'!E38:BD38)=0,"",AVERAGE('Weekly Data'!E38:BD38))</f>
        <v>221.89583333333334</v>
      </c>
      <c r="R38" s="217">
        <f>IF(COUNT('Weekly Data'!E38:BD38)=0,"",MIN('Weekly Data'!E38:BD38))</f>
        <v>185</v>
      </c>
      <c r="S38" s="217">
        <f>IF(COUNT('Weekly Data'!E38:BD38)=0,"",MAX('Weekly Data'!E38:BD38))</f>
        <v>280</v>
      </c>
      <c r="T38" s="293"/>
      <c r="U38" s="335">
        <f>COUNT('Weekly Data'!E38:BC38)</f>
        <v>48</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c r="A39" s="1"/>
      <c r="B39" s="199" t="str">
        <f>'Weekly Data'!A39</f>
        <v>Sodium</v>
      </c>
      <c r="C39" s="217" t="str">
        <f>'Weekly Data'!B39</f>
        <v>mg/L</v>
      </c>
      <c r="D39" s="217">
        <f>IF(COUNT('Weekly Data'!E39:I39)=0,"",AVERAGE('Weekly Data'!E39:I39))</f>
        <v>53.75</v>
      </c>
      <c r="E39" s="217">
        <f>IF(COUNT('Weekly Data'!J39:M39)=0,"",AVERAGE('Weekly Data'!J39:M39))</f>
        <v>54</v>
      </c>
      <c r="F39" s="217">
        <f>IF(COUNT('Weekly Data'!N39:Q39)=0,"",AVERAGE('Weekly Data'!N39:Q39))</f>
        <v>54.5</v>
      </c>
      <c r="G39" s="217">
        <f>IF(COUNT('Weekly Data'!R39:V39)=0,"",AVERAGE('Weekly Data'!R39:V39))</f>
        <v>51.2</v>
      </c>
      <c r="H39" s="217">
        <f>IF(COUNT('Weekly Data'!W39:Z39)=0,"",AVERAGE('Weekly Data'!W39:Z39))</f>
        <v>43.5</v>
      </c>
      <c r="I39" s="217">
        <f>IF(COUNT('Weekly Data'!AA39:AD39)=0,"",AVERAGE('Weekly Data'!AA39:AD39))</f>
        <v>45.75</v>
      </c>
      <c r="J39" s="217">
        <f>IF(COUNT('Weekly Data'!AE39:AI39)=0,"",AVERAGE('Weekly Data'!AE39:AI39))</f>
        <v>43.75</v>
      </c>
      <c r="K39" s="217">
        <f>IF(COUNT('Weekly Data'!AJ39:AM39)=0,"",AVERAGE('Weekly Data'!AJ39:AM39))</f>
        <v>40.5</v>
      </c>
      <c r="L39" s="217">
        <f>IF(COUNT('Weekly Data'!AN39:AQ39)=0,"",AVERAGE('Weekly Data'!AN39:AQ39))</f>
        <v>39.5</v>
      </c>
      <c r="M39" s="217">
        <f>IF(COUNT('Weekly Data'!AR39:AV39)=0,"",AVERAGE('Weekly Data'!AR39:AV39))</f>
        <v>38.6</v>
      </c>
      <c r="N39" s="217">
        <f>IF(COUNT('Weekly Data'!AW39:AZ39)=0,"",AVERAGE('Weekly Data'!AW39:AZ39))</f>
        <v>38.25</v>
      </c>
      <c r="O39" s="217">
        <f>IF(COUNT('Weekly Data'!BA39:BD39)=0,"",AVERAGE('Weekly Data'!BA39:BD39))</f>
        <v>41</v>
      </c>
      <c r="P39" s="217"/>
      <c r="Q39" s="217">
        <f>IF(COUNT('Weekly Data'!E39:BD39)=0,"",AVERAGE('Weekly Data'!E39:BD39))</f>
        <v>45.063829787234042</v>
      </c>
      <c r="R39" s="217">
        <f>IF(COUNT('Weekly Data'!E39:BD39)=0,"",MIN('Weekly Data'!E39:BD39))</f>
        <v>37</v>
      </c>
      <c r="S39" s="217">
        <f>IF(COUNT('Weekly Data'!E39:BD39)=0,"",MAX('Weekly Data'!E39:BD39))</f>
        <v>56</v>
      </c>
      <c r="T39" s="293"/>
      <c r="U39" s="335">
        <f>COUNT('Weekly Data'!E39:BC39)</f>
        <v>47</v>
      </c>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c r="A40" s="1"/>
      <c r="B40" s="199" t="str">
        <f>'Weekly Data'!A40</f>
        <v>Potassium</v>
      </c>
      <c r="C40" s="217" t="str">
        <f>'Weekly Data'!B40</f>
        <v>mg/L</v>
      </c>
      <c r="D40" s="201">
        <f>IF(COUNT('Weekly Data'!E40:I40)=0,"",AVERAGE('Weekly Data'!E40:I40))</f>
        <v>6.4249999999999998</v>
      </c>
      <c r="E40" s="201">
        <f>IF(COUNT('Weekly Data'!J40:M40)=0,"",AVERAGE('Weekly Data'!J40:M40))</f>
        <v>7.1</v>
      </c>
      <c r="F40" s="201">
        <f>IF(COUNT('Weekly Data'!N40:Q40)=0,"",AVERAGE('Weekly Data'!N40:Q40))</f>
        <v>5.55</v>
      </c>
      <c r="G40" s="201">
        <f>IF(COUNT('Weekly Data'!R40:V40)=0,"",AVERAGE('Weekly Data'!R40:V40))</f>
        <v>5.26</v>
      </c>
      <c r="H40" s="201">
        <f>IF(COUNT('Weekly Data'!W40:Z40)=0,"",AVERAGE('Weekly Data'!W40:Z40))</f>
        <v>4.7</v>
      </c>
      <c r="I40" s="201">
        <f>IF(COUNT('Weekly Data'!AA40:AD40)=0,"",AVERAGE('Weekly Data'!AA40:AD40))</f>
        <v>5</v>
      </c>
      <c r="J40" s="201">
        <f>IF(COUNT('Weekly Data'!AE40:AI40)=0,"",AVERAGE('Weekly Data'!AE40:AI40))</f>
        <v>4.9000000000000004</v>
      </c>
      <c r="K40" s="201">
        <f>IF(COUNT('Weekly Data'!AJ40:AM40)=0,"",AVERAGE('Weekly Data'!AJ40:AM40))</f>
        <v>4.55</v>
      </c>
      <c r="L40" s="201">
        <f>IF(COUNT('Weekly Data'!AN40:AQ40)=0,"",AVERAGE('Weekly Data'!AN40:AQ40))</f>
        <v>4.3250000000000002</v>
      </c>
      <c r="M40" s="201">
        <f>IF(COUNT('Weekly Data'!AR40:AV40)=0,"",AVERAGE('Weekly Data'!AR40:AV40))</f>
        <v>4.18</v>
      </c>
      <c r="N40" s="201">
        <f>IF(COUNT('Weekly Data'!AW40:AZ40)=0,"",AVERAGE('Weekly Data'!AW40:AZ40))</f>
        <v>4</v>
      </c>
      <c r="O40" s="201">
        <f>IF(COUNT('Weekly Data'!BA40:BD40)=0,"",AVERAGE('Weekly Data'!BA40:BD40))</f>
        <v>4.2</v>
      </c>
      <c r="P40" s="201"/>
      <c r="Q40" s="201">
        <f>IF(COUNT('Weekly Data'!E40:BD40)=0,"",AVERAGE('Weekly Data'!E40:BD40))</f>
        <v>4.9319148936170203</v>
      </c>
      <c r="R40" s="201">
        <f>IF(COUNT('Weekly Data'!E40:BD40)=0,"",MIN('Weekly Data'!E40:BD40))</f>
        <v>4</v>
      </c>
      <c r="S40" s="201">
        <f>IF(COUNT('Weekly Data'!E40:BD40)=0,"",MAX('Weekly Data'!E40:BD40))</f>
        <v>7.8</v>
      </c>
      <c r="T40" s="293"/>
      <c r="U40" s="335">
        <f>COUNT('Weekly Data'!E40:BC40)</f>
        <v>47</v>
      </c>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c r="A41" s="1"/>
      <c r="B41" s="199" t="str">
        <f>'Weekly Data'!A41</f>
        <v>Sulphate</v>
      </c>
      <c r="C41" s="217" t="str">
        <f>'Weekly Data'!B41</f>
        <v>mg/L</v>
      </c>
      <c r="D41" s="217">
        <f>IF(COUNT('Weekly Data'!E41:I41)=0,"",AVERAGE('Weekly Data'!E41:I41))</f>
        <v>151.25</v>
      </c>
      <c r="E41" s="217">
        <f>IF(COUNT('Weekly Data'!J41:M41)=0,"",AVERAGE('Weekly Data'!J41:M41))</f>
        <v>154.5</v>
      </c>
      <c r="F41" s="217">
        <f>IF(COUNT('Weekly Data'!N41:Q41)=0,"",AVERAGE('Weekly Data'!N41:Q41))</f>
        <v>156.5</v>
      </c>
      <c r="G41" s="217">
        <f>IF(COUNT('Weekly Data'!R41:V41)=0,"",AVERAGE('Weekly Data'!R41:V41))</f>
        <v>141.80000000000001</v>
      </c>
      <c r="H41" s="217">
        <f>IF(COUNT('Weekly Data'!W41:Z41)=0,"",AVERAGE('Weekly Data'!W41:Z41))</f>
        <v>118.25</v>
      </c>
      <c r="I41" s="217">
        <f>IF(COUNT('Weekly Data'!AA41:AD41)=0,"",AVERAGE('Weekly Data'!AA41:AD41))</f>
        <v>124.5</v>
      </c>
      <c r="J41" s="217">
        <f>IF(COUNT('Weekly Data'!AE41:AI41)=0,"",AVERAGE('Weekly Data'!AE41:AI41))</f>
        <v>118.5</v>
      </c>
      <c r="K41" s="217">
        <f>IF(COUNT('Weekly Data'!AJ41:AM41)=0,"",AVERAGE('Weekly Data'!AJ41:AM41))</f>
        <v>108.75</v>
      </c>
      <c r="L41" s="217">
        <f>IF(COUNT('Weekly Data'!AN41:AQ41)=0,"",AVERAGE('Weekly Data'!AN41:AQ41))</f>
        <v>109</v>
      </c>
      <c r="M41" s="217">
        <f>IF(COUNT('Weekly Data'!AR41:AV41)=0,"",AVERAGE('Weekly Data'!AR41:AV41))</f>
        <v>107</v>
      </c>
      <c r="N41" s="217">
        <f>IF(COUNT('Weekly Data'!AW41:AZ41)=0,"",AVERAGE('Weekly Data'!AW41:AZ41))</f>
        <v>106.25</v>
      </c>
      <c r="O41" s="217">
        <f>IF(COUNT('Weekly Data'!BA41:BD41)=0,"",AVERAGE('Weekly Data'!BA41:BD41))</f>
        <v>114.66666666666667</v>
      </c>
      <c r="P41" s="217"/>
      <c r="Q41" s="217">
        <f>IF(COUNT('Weekly Data'!E41:BD41)=0,"",AVERAGE('Weekly Data'!E41:BD41))</f>
        <v>124.87234042553192</v>
      </c>
      <c r="R41" s="217">
        <f>IF(COUNT('Weekly Data'!E41:BD41)=0,"",MIN('Weekly Data'!E41:BD41))</f>
        <v>105</v>
      </c>
      <c r="S41" s="217">
        <f>IF(COUNT('Weekly Data'!E41:BD41)=0,"",MAX('Weekly Data'!E41:BD41))</f>
        <v>158</v>
      </c>
      <c r="T41" s="293"/>
      <c r="U41" s="335">
        <f>COUNT('Weekly Data'!E41:BC41)</f>
        <v>47</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6">
      <c r="A42" s="1"/>
      <c r="B42" s="199" t="str">
        <f>'Weekly Data'!A42</f>
        <v>Chloride</v>
      </c>
      <c r="C42" s="217" t="str">
        <f>'Weekly Data'!B42</f>
        <v>mg/L</v>
      </c>
      <c r="D42" s="201">
        <f>IF(COUNT('Weekly Data'!E42:I42)=0,"",AVERAGE('Weekly Data'!E42:I42))</f>
        <v>14.4</v>
      </c>
      <c r="E42" s="201">
        <f>IF(COUNT('Weekly Data'!J42:M42)=0,"",AVERAGE('Weekly Data'!J42:M42))</f>
        <v>14.75</v>
      </c>
      <c r="F42" s="201">
        <f>IF(COUNT('Weekly Data'!N42:Q42)=0,"",AVERAGE('Weekly Data'!N42:Q42))</f>
        <v>15.049999999999999</v>
      </c>
      <c r="G42" s="201">
        <f>IF(COUNT('Weekly Data'!R42:V42)=0,"",AVERAGE('Weekly Data'!R42:V42))</f>
        <v>13.84</v>
      </c>
      <c r="H42" s="201">
        <f>IF(COUNT('Weekly Data'!W42:Z42)=0,"",AVERAGE('Weekly Data'!W42:Z42))</f>
        <v>11.75</v>
      </c>
      <c r="I42" s="201">
        <f>IF(COUNT('Weekly Data'!AA42:AD42)=0,"",AVERAGE('Weekly Data'!AA42:AD42))</f>
        <v>12.5</v>
      </c>
      <c r="J42" s="201">
        <f>IF(COUNT('Weekly Data'!AE42:AI42)=0,"",AVERAGE('Weekly Data'!AE42:AI42))</f>
        <v>12.024999999999999</v>
      </c>
      <c r="K42" s="201">
        <f>IF(COUNT('Weekly Data'!AJ42:AM42)=0,"",AVERAGE('Weekly Data'!AJ42:AM42))</f>
        <v>11.074999999999999</v>
      </c>
      <c r="L42" s="201">
        <f>IF(COUNT('Weekly Data'!AN42:AQ42)=0,"",AVERAGE('Weekly Data'!AN42:AQ42))</f>
        <v>11.175000000000001</v>
      </c>
      <c r="M42" s="201">
        <f>IF(COUNT('Weekly Data'!AR42:AV42)=0,"",AVERAGE('Weekly Data'!AR42:AV42))</f>
        <v>11.08</v>
      </c>
      <c r="N42" s="201">
        <f>IF(COUNT('Weekly Data'!AW42:AZ42)=0,"",AVERAGE('Weekly Data'!AW42:AZ42))</f>
        <v>10.975</v>
      </c>
      <c r="O42" s="201">
        <f>IF(COUNT('Weekly Data'!BA42:BD42)=0,"",AVERAGE('Weekly Data'!BA42:BD42))</f>
        <v>11.766666666666666</v>
      </c>
      <c r="P42" s="201"/>
      <c r="Q42" s="201">
        <f>IF(COUNT('Weekly Data'!E42:BD42)=0,"",AVERAGE('Weekly Data'!E42:BD42))</f>
        <v>12.451063829787232</v>
      </c>
      <c r="R42" s="201">
        <f>IF(COUNT('Weekly Data'!E42:BD42)=0,"",MIN('Weekly Data'!E42:BD42))</f>
        <v>10.8</v>
      </c>
      <c r="S42" s="201">
        <f>IF(COUNT('Weekly Data'!E42:BD42)=0,"",MAX('Weekly Data'!E42:BD42))</f>
        <v>15.2</v>
      </c>
      <c r="T42" s="293"/>
      <c r="U42" s="335">
        <f>COUNT('Weekly Data'!E42:BC42)</f>
        <v>47</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6">
      <c r="A43" s="1"/>
      <c r="B43" s="199"/>
      <c r="C43" s="217"/>
      <c r="D43" s="200"/>
      <c r="E43" s="200"/>
      <c r="F43" s="200"/>
      <c r="G43" s="200"/>
      <c r="H43" s="217"/>
      <c r="I43" s="200"/>
      <c r="J43" s="200"/>
      <c r="K43" s="217"/>
      <c r="L43" s="217"/>
      <c r="M43" s="200"/>
      <c r="N43" s="200"/>
      <c r="O43" s="200"/>
      <c r="P43" s="200"/>
      <c r="Q43" s="201"/>
      <c r="R43" s="201"/>
      <c r="S43" s="201"/>
      <c r="T43" s="293"/>
      <c r="U43" s="310"/>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c r="A44" s="1"/>
      <c r="B44" s="207" t="str">
        <f>'Weekly Data'!A44</f>
        <v>TRACE CONSTITUENTS</v>
      </c>
      <c r="C44" s="217"/>
      <c r="D44" s="200"/>
      <c r="E44" s="200"/>
      <c r="F44" s="200"/>
      <c r="G44" s="200"/>
      <c r="H44" s="200"/>
      <c r="I44" s="200"/>
      <c r="J44" s="200"/>
      <c r="K44" s="200"/>
      <c r="L44" s="200"/>
      <c r="M44" s="200"/>
      <c r="N44" s="200"/>
      <c r="O44" s="200"/>
      <c r="P44" s="200"/>
      <c r="Q44" s="200"/>
      <c r="R44" s="200"/>
      <c r="S44" s="200"/>
      <c r="T44" s="293"/>
      <c r="U44" s="220"/>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c r="A45" s="1"/>
      <c r="B45" s="199"/>
      <c r="C45" s="217"/>
      <c r="D45" s="200"/>
      <c r="E45" s="200"/>
      <c r="F45" s="200"/>
      <c r="G45" s="200"/>
      <c r="H45" s="200"/>
      <c r="I45" s="200"/>
      <c r="J45" s="200"/>
      <c r="K45" s="200"/>
      <c r="L45" s="200"/>
      <c r="M45" s="200"/>
      <c r="N45" s="200"/>
      <c r="O45" s="200"/>
      <c r="P45" s="200"/>
      <c r="Q45" s="200"/>
      <c r="R45" s="200"/>
      <c r="S45" s="200"/>
      <c r="T45" s="293"/>
      <c r="U45" s="310"/>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6">
      <c r="A46" s="1"/>
      <c r="B46" s="199" t="str">
        <f>'Weekly Data'!A46</f>
        <v>Aluminum (dissolved 0.45µ)</v>
      </c>
      <c r="C46" s="217" t="str">
        <f>'Weekly Data'!B46</f>
        <v>ugL</v>
      </c>
      <c r="D46" s="217">
        <f>IF(COUNT('Weekly Data'!E46:I46)=0,"",IF(AVERAGE('Weekly Data'!E46:I46)&lt;5.5,"&lt;6",AVERAGE('Weekly Data'!E46:I46)))</f>
        <v>25.6</v>
      </c>
      <c r="E46" s="217">
        <f>IF(COUNT('Weekly Data'!J46:M46)=0,"",IF(AVERAGE('Weekly Data'!J46:M46)&lt;5.5,"&lt;6",AVERAGE('Weekly Data'!J46:M46)))</f>
        <v>12</v>
      </c>
      <c r="F46" s="217" t="str">
        <f>IF(COUNT('Weekly Data'!N46:Q46)=0,"",IF(AVERAGE('Weekly Data'!N46:Q46)&lt;5.5,"&lt;6",AVERAGE('Weekly Data'!N46:Q46)))</f>
        <v>&lt;6</v>
      </c>
      <c r="G46" s="217" t="str">
        <f>IF(COUNT('Weekly Data'!R46:V46)=0,"",IF(AVERAGE('Weekly Data'!R46:V46)&lt;5.5,"&lt;6",AVERAGE('Weekly Data'!R46:V46)))</f>
        <v>&lt;6</v>
      </c>
      <c r="H46" s="217">
        <f>IF(COUNT('Weekly Data'!W46:Z46)=0,"",IF(AVERAGE('Weekly Data'!W46:Z46)&lt;5.5,"&lt;6",AVERAGE('Weekly Data'!W46:Z46)))</f>
        <v>8.75</v>
      </c>
      <c r="I46" s="217">
        <f>IF(COUNT('Weekly Data'!AA46:AD46)=0,"",IF(AVERAGE('Weekly Data'!AA46:AD46)&lt;5.5,"&lt;6",AVERAGE('Weekly Data'!AA46:AD46)))</f>
        <v>21.75</v>
      </c>
      <c r="J46" s="217">
        <f>IF(COUNT('Weekly Data'!AE46:AI46)=0,"",IF(AVERAGE('Weekly Data'!AE46:AI46)&lt;5.5,"&lt;6",AVERAGE('Weekly Data'!AE46:AI46)))</f>
        <v>20.25</v>
      </c>
      <c r="K46" s="217">
        <f>IF(COUNT('Weekly Data'!AJ46:AM46)=0,"",IF(AVERAGE('Weekly Data'!AJ46:AM46)&lt;5.5,"&lt;6",AVERAGE('Weekly Data'!AJ46:AM46)))</f>
        <v>7.5</v>
      </c>
      <c r="L46" s="217">
        <f>IF(COUNT('Weekly Data'!AN46:AQ46)=0,"",IF(AVERAGE('Weekly Data'!AN46:AQ46)&lt;5.5,"&lt;6",AVERAGE('Weekly Data'!AN46:AQ46)))</f>
        <v>20.5</v>
      </c>
      <c r="M46" s="217">
        <f>IF(COUNT('Weekly Data'!AR46:AV46)=0,"",IF(AVERAGE('Weekly Data'!AR46:AV46)&lt;5.5,"&lt;6",AVERAGE('Weekly Data'!AR46:AV46)))</f>
        <v>8.4</v>
      </c>
      <c r="N46" s="217">
        <f>IF(COUNT('Weekly Data'!AW46:AZ46)=0,"",IF(AVERAGE('Weekly Data'!AW46:AZ46)&lt;5.5,"&lt;6",AVERAGE('Weekly Data'!AW46:AZ46)))</f>
        <v>9</v>
      </c>
      <c r="O46" s="217">
        <f>IF(COUNT('Weekly Data'!BA46:BD46)=0,"",IF(AVERAGE('Weekly Data'!BA46:BD46)&lt;5.5,"&lt;6",AVERAGE('Weekly Data'!BA46:BD46)))</f>
        <v>7</v>
      </c>
      <c r="P46" s="217"/>
      <c r="Q46" s="217">
        <f>IF(COUNT('Weekly Data'!E46:BD46)=0,"",IF(AVERAGE('Weekly Data'!E46:BD46)&lt;5.5,"&lt;6",AVERAGE('Weekly Data'!E46:BD46)))</f>
        <v>12.170212765957446</v>
      </c>
      <c r="R46" s="217" t="str">
        <f>IF(COUNT('Weekly Data'!E46:BD46)=0,"",IF(MIN('Weekly Data'!E46:BD46)&lt;5.5,"&lt;6",MIN('Weekly Data'!E46:BD46)))</f>
        <v>&lt;6</v>
      </c>
      <c r="S46" s="217">
        <f>IF(COUNT('Weekly Data'!E46:BD46)=0,"",IF(MAX('Weekly Data'!E46:BD46)&lt;5.5,"&lt;6",MAX('Weekly Data'!E46:BD46)))</f>
        <v>59</v>
      </c>
      <c r="T46" s="293"/>
      <c r="U46" s="335">
        <f>COUNT('Weekly Data'!E46:BC46)</f>
        <v>47</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r="47" spans="1:256">
      <c r="A47" s="1"/>
      <c r="B47" s="199" t="str">
        <f>'Weekly Data'!A47</f>
        <v>Aluminum (total)</v>
      </c>
      <c r="C47" s="217" t="str">
        <f>'Weekly Data'!B47</f>
        <v>ug/L</v>
      </c>
      <c r="D47" s="217">
        <f>IF(COUNT('Weekly Data'!E47:I47)=0,"",IF(AVERAGE('Weekly Data'!E47:I47)&lt;5.5,"&lt;6",AVERAGE('Weekly Data'!E47:I47)))</f>
        <v>107.4</v>
      </c>
      <c r="E47" s="217">
        <f>IF(COUNT('Weekly Data'!J47:M47)=0,"",IF(AVERAGE('Weekly Data'!J47:M47)&lt;5.5,"&lt;6",AVERAGE('Weekly Data'!J47:M47)))</f>
        <v>106</v>
      </c>
      <c r="F47" s="217">
        <f>IF(COUNT('Weekly Data'!N47:Q47)=0,"",IF(AVERAGE('Weekly Data'!N47:Q47)&lt;5.5,"&lt;6",AVERAGE('Weekly Data'!N47:Q47)))</f>
        <v>81.75</v>
      </c>
      <c r="G47" s="217">
        <f>IF(COUNT('Weekly Data'!R47:V47)=0,"",IF(AVERAGE('Weekly Data'!R47:V47)&lt;5.5,"&lt;6",AVERAGE('Weekly Data'!R47:V47)))</f>
        <v>124.5</v>
      </c>
      <c r="H47" s="217">
        <f>IF(COUNT('Weekly Data'!W47:Z47)=0,"",IF(AVERAGE('Weekly Data'!W47:Z47)&lt;5.5,"&lt;6",AVERAGE('Weekly Data'!W47:Z47)))</f>
        <v>441.5</v>
      </c>
      <c r="I47" s="217">
        <f>IF(COUNT('Weekly Data'!AA47:AD47)=0,"",IF(AVERAGE('Weekly Data'!AA47:AD47)&lt;5.5,"&lt;6",AVERAGE('Weekly Data'!AA47:AD47)))</f>
        <v>311.875</v>
      </c>
      <c r="J47" s="217">
        <f>IF(COUNT('Weekly Data'!AE47:AI47)=0,"",IF(AVERAGE('Weekly Data'!AE47:AI47)&lt;5.5,"&lt;6",AVERAGE('Weekly Data'!AE47:AI47)))</f>
        <v>425.25</v>
      </c>
      <c r="K47" s="217">
        <f>IF(COUNT('Weekly Data'!AJ47:AM47)=0,"",IF(AVERAGE('Weekly Data'!AJ47:AM47)&lt;5.5,"&lt;6",AVERAGE('Weekly Data'!AJ47:AM47)))</f>
        <v>212.25</v>
      </c>
      <c r="L47" s="217">
        <f>IF(COUNT('Weekly Data'!AN47:AQ47)=0,"",IF(AVERAGE('Weekly Data'!AN47:AQ47)&lt;5.5,"&lt;6",AVERAGE('Weekly Data'!AN47:AQ47)))</f>
        <v>212.25</v>
      </c>
      <c r="M47" s="217">
        <f>IF(COUNT('Weekly Data'!AR47:AV47)=0,"",IF(AVERAGE('Weekly Data'!AR47:AV47)&lt;5.5,"&lt;6",AVERAGE('Weekly Data'!AR47:AV47)))</f>
        <v>441</v>
      </c>
      <c r="N47" s="217">
        <f>IF(COUNT('Weekly Data'!AW47:AZ47)=0,"",IF(AVERAGE('Weekly Data'!AW47:AZ47)&lt;5.5,"&lt;6",AVERAGE('Weekly Data'!AW47:AZ47)))</f>
        <v>496.75</v>
      </c>
      <c r="O47" s="217">
        <f>IF(COUNT('Weekly Data'!BA47:BD47)=0,"",IF(AVERAGE('Weekly Data'!BA47:BD47)&lt;5.5,"&lt;6",AVERAGE('Weekly Data'!BA47:BD47)))</f>
        <v>142</v>
      </c>
      <c r="P47" s="217"/>
      <c r="Q47" s="217">
        <f>IF(COUNT('Weekly Data'!E47:BD47)=0,"",IF(AVERAGE('Weekly Data'!E47:BD47)&lt;5.5,"&lt;6",AVERAGE('Weekly Data'!E47:BD47)))</f>
        <v>268.18085106382978</v>
      </c>
      <c r="R47" s="217">
        <f>IF(COUNT('Weekly Data'!E47:BD47)=0,"",IF(MIN('Weekly Data'!E47:BD47)&lt;5.5,"&lt;6",MIN('Weekly Data'!E47:BD47)))</f>
        <v>62</v>
      </c>
      <c r="S47" s="217">
        <f>IF(COUNT('Weekly Data'!E47:BD47)=0,"",IF(MAX('Weekly Data'!E47:BD47)&lt;5.5,"&lt;6",MAX('Weekly Data'!E47:BD47)))</f>
        <v>1020</v>
      </c>
      <c r="T47" s="293"/>
      <c r="U47" s="335">
        <f>COUNT('Weekly Data'!E47:BC47)</f>
        <v>47</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r="48" spans="1:256">
      <c r="A48" s="1"/>
      <c r="B48" s="199" t="str">
        <f>'Weekly Data'!A48</f>
        <v>Aluminum (particulate)</v>
      </c>
      <c r="C48" s="217" t="str">
        <f>'Weekly Data'!B48</f>
        <v>µg/L (Calc)</v>
      </c>
      <c r="D48" s="217">
        <f>IF(COUNT('Weekly Data'!E48:I48)=0,"",IF(AVERAGE('Weekly Data'!E48:I48)&lt;5.5,"&lt;6",AVERAGE('Weekly Data'!E48:I48)))</f>
        <v>81.8</v>
      </c>
      <c r="E48" s="217">
        <f>IF(COUNT('Weekly Data'!J48:M48)=0,"",IF(AVERAGE('Weekly Data'!J48:M48)&lt;5.5,"&lt;6",AVERAGE('Weekly Data'!J48:M48)))</f>
        <v>94</v>
      </c>
      <c r="F48" s="217">
        <f>IF(COUNT('Weekly Data'!N48:Q48)=0,"",IF(AVERAGE('Weekly Data'!N48:Q48)&lt;5.5,"&lt;6",AVERAGE('Weekly Data'!N48:Q48)))</f>
        <v>80.25</v>
      </c>
      <c r="G48" s="217">
        <f>IF(COUNT('Weekly Data'!R48:V48)=0,"",IF(AVERAGE('Weekly Data'!R48:V48)&lt;5.5,"&lt;6",AVERAGE('Weekly Data'!R48:V48)))</f>
        <v>124.5</v>
      </c>
      <c r="H48" s="217">
        <f>IF(COUNT('Weekly Data'!W48:Z48)=0,"",IF(AVERAGE('Weekly Data'!W48:Z48)&lt;5.5,"&lt;6",AVERAGE('Weekly Data'!W48:Z48)))</f>
        <v>432.75</v>
      </c>
      <c r="I48" s="217">
        <f>IF(COUNT('Weekly Data'!AA48:AD48)=0,"",IF(AVERAGE('Weekly Data'!AA48:AD48)&lt;5.5,"&lt;6",AVERAGE('Weekly Data'!AA48:AD48)))</f>
        <v>290.125</v>
      </c>
      <c r="J48" s="217">
        <f>IF(COUNT('Weekly Data'!AE48:AI48)=0,"",IF(AVERAGE('Weekly Data'!AE48:AI48)&lt;5.5,"&lt;6",AVERAGE('Weekly Data'!AE48:AI48)))</f>
        <v>405</v>
      </c>
      <c r="K48" s="217">
        <f>IF(COUNT('Weekly Data'!AJ48:AM48)=0,"",IF(AVERAGE('Weekly Data'!AJ48:AM48)&lt;5.5,"&lt;6",AVERAGE('Weekly Data'!AJ48:AM48)))</f>
        <v>204.75</v>
      </c>
      <c r="L48" s="217">
        <f>IF(COUNT('Weekly Data'!AN48:AQ48)=0,"",IF(AVERAGE('Weekly Data'!AN48:AQ48)&lt;5.5,"&lt;6",AVERAGE('Weekly Data'!AN48:AQ48)))</f>
        <v>191.75</v>
      </c>
      <c r="M48" s="217">
        <f>IF(COUNT('Weekly Data'!AR48:AV48)=0,"",IF(AVERAGE('Weekly Data'!AR48:AV48)&lt;5.5,"&lt;6",AVERAGE('Weekly Data'!AR48:AV48)))</f>
        <v>432.6</v>
      </c>
      <c r="N48" s="217">
        <f>IF(COUNT('Weekly Data'!AW48:AZ48)=0,"",IF(AVERAGE('Weekly Data'!AW48:AZ48)&lt;5.5,"&lt;6",AVERAGE('Weekly Data'!AW48:AZ48)))</f>
        <v>487.75</v>
      </c>
      <c r="O48" s="217">
        <f>IF(COUNT('Weekly Data'!BA48:BD48)=0,"",IF(AVERAGE('Weekly Data'!BA48:BD48)&lt;5.5,"&lt;6",AVERAGE('Weekly Data'!BA48:BD48)))</f>
        <v>135</v>
      </c>
      <c r="P48" s="217"/>
      <c r="Q48" s="217">
        <f>IF(COUNT('Weekly Data'!E48:BD48)=0,"",IF(AVERAGE('Weekly Data'!E48:BD48)&lt;5.5,"&lt;6",AVERAGE('Weekly Data'!E48:BD48)))</f>
        <v>256.01063829787233</v>
      </c>
      <c r="R48" s="217">
        <f>IF(COUNT('Weekly Data'!E48:BD48)=0,"",IF(MIN('Weekly Data'!E48:BD48)&lt;5.5,"&lt;6",MIN('Weekly Data'!E48:BD48)))</f>
        <v>62</v>
      </c>
      <c r="S48" s="217">
        <f>IF(COUNT('Weekly Data'!E48:BD48)=0,"",IF(MAX('Weekly Data'!E48:BD48)&lt;5.5,"&lt;6",MAX('Weekly Data'!E48:BD48)))</f>
        <v>1010</v>
      </c>
      <c r="T48" s="293"/>
      <c r="U48" s="335">
        <f>COUNT('Weekly Data'!E48:BC48)</f>
        <v>47</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r="49" spans="1:256">
      <c r="A49" s="1"/>
      <c r="B49" s="199" t="str">
        <f>'Weekly Data'!A49</f>
        <v>Ammonia N</v>
      </c>
      <c r="C49" s="217" t="str">
        <f>'Weekly Data'!B49</f>
        <v>mg/L N</v>
      </c>
      <c r="D49" s="219">
        <f>IF(COUNT('Weekly Data'!E49:I49)=0,"",IF(AVERAGE('Weekly Data'!E49:I49)&lt;0.035,"&lt;0.04",AVERAGE('Weekly Data'!E49:I49)))</f>
        <v>0.06</v>
      </c>
      <c r="E49" s="219">
        <f>IF(COUNT('Weekly Data'!J49:M49)=0,"",IF(AVERAGE('Weekly Data'!J49:M49)&lt;0.035,"&lt;0.04",AVERAGE('Weekly Data'!J49:M49)))</f>
        <v>0.08</v>
      </c>
      <c r="F49" s="219" t="str">
        <f>IF(COUNT('Weekly Data'!N49:Q49)=0,"",IF(AVERAGE('Weekly Data'!N49:Q49)&lt;0.035,"&lt;0.04",AVERAGE('Weekly Data'!N49:Q49)))</f>
        <v>&lt;0.04</v>
      </c>
      <c r="G49" s="219" t="str">
        <f>IF(COUNT('Weekly Data'!R49:V49)=0,"",IF(AVERAGE('Weekly Data'!R49:V49)&lt;0.035,"&lt;0.04",AVERAGE('Weekly Data'!R49:V49)))</f>
        <v>&lt;0.04</v>
      </c>
      <c r="H49" s="219">
        <f>IF(COUNT('Weekly Data'!W49:Z49)=0,"",IF(AVERAGE('Weekly Data'!W49:Z49)&lt;0.035,"&lt;0.04",AVERAGE('Weekly Data'!W49:Z49)))</f>
        <v>5.5E-2</v>
      </c>
      <c r="I49" s="219">
        <f>IF(COUNT('Weekly Data'!AA49:AD49)=0,"",IF(AVERAGE('Weekly Data'!AA49:AD49)&lt;0.035,"&lt;0.04",AVERAGE('Weekly Data'!AA49:AD49)))</f>
        <v>6.25E-2</v>
      </c>
      <c r="J49" s="219">
        <f>IF(COUNT('Weekly Data'!AE49:AI49)=0,"",IF(AVERAGE('Weekly Data'!AE49:AI49)&lt;0.035,"&lt;0.04",AVERAGE('Weekly Data'!AE49:AI49)))</f>
        <v>6.6000000000000003E-2</v>
      </c>
      <c r="K49" s="219">
        <f>IF(COUNT('Weekly Data'!AJ49:AM49)=0,"",IF(AVERAGE('Weekly Data'!AJ49:AM49)&lt;0.035,"&lt;0.04",AVERAGE('Weekly Data'!AJ49:AM49)))</f>
        <v>5.2499999999999998E-2</v>
      </c>
      <c r="L49" s="219">
        <f>IF(COUNT('Weekly Data'!AN49:AQ49)=0,"",IF(AVERAGE('Weekly Data'!AN49:AQ49)&lt;0.035,"&lt;0.04",AVERAGE('Weekly Data'!AN49:AQ49)))</f>
        <v>7.5000000000000011E-2</v>
      </c>
      <c r="M49" s="219">
        <f>IF(COUNT('Weekly Data'!AR49:AV49)=0,"",IF(AVERAGE('Weekly Data'!AR49:AV49)&lt;0.035,"&lt;0.04",AVERAGE('Weekly Data'!AR49:AV49)))</f>
        <v>7.9999999999999988E-2</v>
      </c>
      <c r="N49" s="219">
        <f>IF(COUNT('Weekly Data'!AW49:AZ49)=0,"",IF(AVERAGE('Weekly Data'!AW49:AZ49)&lt;0.035,"&lt;0.04",AVERAGE('Weekly Data'!AW49:AZ49)))</f>
        <v>7.4999999999999997E-2</v>
      </c>
      <c r="O49" s="219">
        <f>IF(COUNT('Weekly Data'!BA49:BD49)=0,"",IF(AVERAGE('Weekly Data'!BA49:BD49)&lt;0.035,"&lt;0.04",AVERAGE('Weekly Data'!BA49:BD49)))</f>
        <v>4.6666666666666669E-2</v>
      </c>
      <c r="P49" s="219"/>
      <c r="Q49" s="219">
        <f>IF(COUNT('Weekly Data'!E49:BD49)=0,"",IF(AVERAGE('Weekly Data'!E49:BD49)&lt;0.035,"&lt;0.04",AVERAGE('Weekly Data'!E49:BD49)))</f>
        <v>5.7674418604651174E-2</v>
      </c>
      <c r="R49" s="219" t="str">
        <f>IF(COUNT('Weekly Data'!E49:BD49)=0,"",IF(MIN('Weekly Data'!E49:BD49)&lt;0.035,"&lt;0.04",MIN('Weekly Data'!E49:BD49)))</f>
        <v>&lt;0.04</v>
      </c>
      <c r="S49" s="219">
        <f>IF(COUNT('Weekly Data'!E49:BD49)=0,"",IF(MAX('Weekly Data'!E49:BD49)&lt;0.035,"&lt;0.04",MAX('Weekly Data'!E49:BD49)))</f>
        <v>0.12</v>
      </c>
      <c r="T49" s="293"/>
      <c r="U49" s="335">
        <f>COUNT('Weekly Data'!E49:BC49)</f>
        <v>43</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c r="A50" s="1"/>
      <c r="B50" s="199" t="str">
        <f>'Weekly Data'!A50</f>
        <v>BOD (5-day)</v>
      </c>
      <c r="C50" s="217" t="str">
        <f>'Weekly Data'!B50</f>
        <v>mg/L</v>
      </c>
      <c r="D50" s="201">
        <f>IF(COUNT('Weekly Data'!E50:I50)=0,"",IF(AVERAGE('Weekly Data'!E50:I50)&lt;0.055,"&lt;0.1",AVERAGE('Weekly Data'!E50:I50)))</f>
        <v>2.2000000000000002</v>
      </c>
      <c r="E50" s="201">
        <f>IF(COUNT('Weekly Data'!J50:M50)=0,"",IF(AVERAGE('Weekly Data'!J50:M50)&lt;0.055,"&lt;0.1",AVERAGE('Weekly Data'!J50:M50)))</f>
        <v>1.8</v>
      </c>
      <c r="F50" s="201">
        <f>IF(COUNT('Weekly Data'!N50:Q50)=0,"",IF(AVERAGE('Weekly Data'!N50:Q50)&lt;0.055,"&lt;0.1",AVERAGE('Weekly Data'!N50:Q50)))</f>
        <v>2.3666666666666667</v>
      </c>
      <c r="G50" s="201">
        <f>IF(COUNT('Weekly Data'!R50:V50)=0,"",IF(AVERAGE('Weekly Data'!R50:V50)&lt;0.055,"&lt;0.1",AVERAGE('Weekly Data'!R50:V50)))</f>
        <v>4.333333333333333</v>
      </c>
      <c r="H50" s="201">
        <f>IF(COUNT('Weekly Data'!W50:Z50)=0,"",IF(AVERAGE('Weekly Data'!W50:Z50)&lt;0.055,"&lt;0.1",AVERAGE('Weekly Data'!W50:Z50)))</f>
        <v>2.1666666666666665</v>
      </c>
      <c r="I50" s="201">
        <f>IF(COUNT('Weekly Data'!AA50:AD50)=0,"",IF(AVERAGE('Weekly Data'!AA50:AD50)&lt;0.055,"&lt;0.1",AVERAGE('Weekly Data'!AA50:AD50)))</f>
        <v>2.3000000000000003</v>
      </c>
      <c r="J50" s="201">
        <f>IF(COUNT('Weekly Data'!AE50:AI50)=0,"",IF(AVERAGE('Weekly Data'!AE50:AI50)&lt;0.055,"&lt;0.1",AVERAGE('Weekly Data'!AE50:AI50)))</f>
        <v>4.125</v>
      </c>
      <c r="K50" s="201">
        <f>IF(COUNT('Weekly Data'!AJ50:AM50)=0,"",IF(AVERAGE('Weekly Data'!AJ50:AM50)&lt;0.055,"&lt;0.1",AVERAGE('Weekly Data'!AJ50:AM50)))</f>
        <v>2.5499999999999998</v>
      </c>
      <c r="L50" s="201">
        <f>IF(COUNT('Weekly Data'!AN50:AQ50)=0,"",IF(AVERAGE('Weekly Data'!AN50:AQ50)&lt;0.055,"&lt;0.1",AVERAGE('Weekly Data'!AN50:AQ50)))</f>
        <v>2.2749999999999999</v>
      </c>
      <c r="M50" s="201">
        <f>IF(COUNT('Weekly Data'!AR50:AV50)=0,"",IF(AVERAGE('Weekly Data'!AR50:AV50)&lt;0.055,"&lt;0.1",AVERAGE('Weekly Data'!AR50:AV50)))</f>
        <v>3.78</v>
      </c>
      <c r="N50" s="201">
        <f>IF(COUNT('Weekly Data'!AW50:AZ50)=0,"",IF(AVERAGE('Weekly Data'!AW50:AZ50)&lt;0.055,"&lt;0.1",AVERAGE('Weekly Data'!AW50:AZ50)))</f>
        <v>2.75</v>
      </c>
      <c r="O50" s="201">
        <f>IF(COUNT('Weekly Data'!BA50:BD50)=0,"",IF(AVERAGE('Weekly Data'!BA50:BD50)&lt;0.055,"&lt;0.1",AVERAGE('Weekly Data'!BA50:BD50)))</f>
        <v>2.75</v>
      </c>
      <c r="P50" s="201"/>
      <c r="Q50" s="201">
        <f>IF(COUNT('Weekly Data'!E50:BD50)=0,"",IF(AVERAGE('Weekly Data'!E50:BD50)&lt;0.055,"&lt;0.1",AVERAGE('Weekly Data'!E50:BD50)))</f>
        <v>2.8404761904761906</v>
      </c>
      <c r="R50" s="201">
        <f>IF(COUNT('Weekly Data'!E50:BD50)=0,"",IF(MIN('Weekly Data'!E50:BD50)&lt;0.055,"&lt;0.1",MIN('Weekly Data'!E50:BD50)))</f>
        <v>0.5</v>
      </c>
      <c r="S50" s="201">
        <f>IF(COUNT('Weekly Data'!E50:BD50)=0,"",IF(MAX('Weekly Data'!E50:BD50)&lt;0.055,"&lt;0.1",MAX('Weekly Data'!E50:BD50)))</f>
        <v>7.2</v>
      </c>
      <c r="T50" s="293"/>
      <c r="U50" s="335">
        <f>COUNT('Weekly Data'!E50:BC50)</f>
        <v>42</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c r="A51" s="1"/>
      <c r="B51" s="199" t="str">
        <f>'Weekly Data'!A51</f>
        <v>Bromide</v>
      </c>
      <c r="C51" s="217" t="str">
        <f>'Weekly Data'!B51</f>
        <v>mg/L</v>
      </c>
      <c r="D51" s="219" t="str">
        <f>IF(COUNT('Weekly Data'!E51:I51)=0,"",IF(AVERAGE('Weekly Data'!E51:I51)&lt;0.055,"&lt;0.06",AVERAGE('Weekly Data'!E51:I51)))</f>
        <v>&lt;0.06</v>
      </c>
      <c r="E51" s="219" t="str">
        <f>IF(COUNT('Weekly Data'!J51:M51)=0,"",IF(AVERAGE('Weekly Data'!J51:M51)&lt;0.055,"&lt;0.06",AVERAGE('Weekly Data'!J51:M51)))</f>
        <v>&lt;0.06</v>
      </c>
      <c r="F51" s="219" t="str">
        <f>IF(COUNT('Weekly Data'!N51:Q51)=0,"",IF(AVERAGE('Weekly Data'!N51:Q51)&lt;0.055,"&lt;0.06",AVERAGE('Weekly Data'!N51:Q51)))</f>
        <v>&lt;0.06</v>
      </c>
      <c r="G51" s="219" t="str">
        <f>IF(COUNT('Weekly Data'!R51:V51)=0,"",IF(AVERAGE('Weekly Data'!R51:V51)&lt;0.055,"&lt;0.06",AVERAGE('Weekly Data'!R51:V51)))</f>
        <v>&lt;0.06</v>
      </c>
      <c r="H51" s="219" t="str">
        <f>IF(COUNT('Weekly Data'!W51:Z51)=0,"",IF(AVERAGE('Weekly Data'!W51:Z51)&lt;0.055,"&lt;0.06",AVERAGE('Weekly Data'!W51:Z51)))</f>
        <v>&lt;0.06</v>
      </c>
      <c r="I51" s="219" t="str">
        <f>IF(COUNT('Weekly Data'!AA51:AD51)=0,"",IF(AVERAGE('Weekly Data'!AA51:AD51)&lt;0.055,"&lt;0.06",AVERAGE('Weekly Data'!AA51:AD51)))</f>
        <v>&lt;0.06</v>
      </c>
      <c r="J51" s="219" t="str">
        <f>IF(COUNT('Weekly Data'!AE51:AI51)=0,"",IF(AVERAGE('Weekly Data'!AE51:AI51)&lt;0.055,"&lt;0.06",AVERAGE('Weekly Data'!AE51:AI51)))</f>
        <v>&lt;0.06</v>
      </c>
      <c r="K51" s="219" t="str">
        <f>IF(COUNT('Weekly Data'!AJ51:AM51)=0,"",IF(AVERAGE('Weekly Data'!AJ51:AM51)&lt;0.055,"&lt;0.06",AVERAGE('Weekly Data'!AJ51:AM51)))</f>
        <v>&lt;0.06</v>
      </c>
      <c r="L51" s="219" t="str">
        <f>IF(COUNT('Weekly Data'!AN51:AQ51)=0,"",IF(AVERAGE('Weekly Data'!AN51:AQ51)&lt;0.055,"&lt;0.06",AVERAGE('Weekly Data'!AN51:AQ51)))</f>
        <v>&lt;0.06</v>
      </c>
      <c r="M51" s="219" t="str">
        <f>IF(COUNT('Weekly Data'!AR51:AV51)=0,"",IF(AVERAGE('Weekly Data'!AR51:AV51)&lt;0.055,"&lt;0.06",AVERAGE('Weekly Data'!AR51:AV51)))</f>
        <v>&lt;0.06</v>
      </c>
      <c r="N51" s="219" t="str">
        <f>IF(COUNT('Weekly Data'!AW51:AZ51)=0,"",IF(AVERAGE('Weekly Data'!AW51:AZ51)&lt;0.055,"&lt;0.06",AVERAGE('Weekly Data'!AW51:AZ51)))</f>
        <v>&lt;0.06</v>
      </c>
      <c r="O51" s="219" t="str">
        <f>IF(COUNT('Weekly Data'!BA51:BD51)=0,"",IF(AVERAGE('Weekly Data'!BA51:BD51)&lt;0.055,"&lt;0.06",AVERAGE('Weekly Data'!BA51:BD51)))</f>
        <v>&lt;0.06</v>
      </c>
      <c r="P51" s="219"/>
      <c r="Q51" s="219" t="str">
        <f>IF(COUNT('Weekly Data'!E51:BD51)=0,"",IF(AVERAGE('Weekly Data'!E51:BD51)&lt;0.055,"&lt;0.06",AVERAGE('Weekly Data'!E51:BD51)))</f>
        <v>&lt;0.06</v>
      </c>
      <c r="R51" s="219" t="str">
        <f>IF(COUNT('Weekly Data'!E51:BD51)=0,"",IF(MIN('Weekly Data'!E51:BD51)&lt;0.055,"&lt;0.06",MIN('Weekly Data'!E51:BD51)))</f>
        <v>&lt;0.06</v>
      </c>
      <c r="S51" s="219" t="str">
        <f>IF(COUNT('Weekly Data'!E51:BD51)=0,"",IF(MAX('Weekly Data'!E51:BD51)&lt;0.055,"&lt;0.06",MAX('Weekly Data'!E51:BD51)))</f>
        <v>&lt;0.06</v>
      </c>
      <c r="T51" s="293"/>
      <c r="U51" s="335">
        <f>COUNT('Weekly Data'!E51:BC51)</f>
        <v>47</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pans="1:256">
      <c r="A52" s="1"/>
      <c r="B52" s="199" t="str">
        <f>'Weekly Data'!A52</f>
        <v>Chlorophyll a</v>
      </c>
      <c r="C52" s="217" t="str">
        <f>'Weekly Data'!B52</f>
        <v>µg/L</v>
      </c>
      <c r="D52" s="217">
        <f>IF(COUNT('Weekly Data'!E52:I52)=0,"",IF(AVERAGE('Weekly Data'!E52:I52)&lt;0.55,"&lt;1",AVERAGE('Weekly Data'!E52:I52)))</f>
        <v>7</v>
      </c>
      <c r="E52" s="217">
        <f>IF(COUNT('Weekly Data'!J52:M52)=0,"",IF(AVERAGE('Weekly Data'!J52:M52)&lt;0.55,"&lt;1",AVERAGE('Weekly Data'!J52:M52)))</f>
        <v>6</v>
      </c>
      <c r="F52" s="217">
        <f>IF(COUNT('Weekly Data'!N52:Q52)=0,"",IF(AVERAGE('Weekly Data'!N52:Q52)&lt;0.55,"&lt;1",AVERAGE('Weekly Data'!N52:Q52)))</f>
        <v>13.666666666666666</v>
      </c>
      <c r="G52" s="217">
        <f>IF(COUNT('Weekly Data'!R52:V52)=0,"",IF(AVERAGE('Weekly Data'!R52:V52)&lt;0.55,"&lt;1",AVERAGE('Weekly Data'!R52:V52)))</f>
        <v>24.75</v>
      </c>
      <c r="H52" s="217">
        <f>IF(COUNT('Weekly Data'!W52:Z52)=0,"",IF(AVERAGE('Weekly Data'!W52:Z52)&lt;0.55,"&lt;1",AVERAGE('Weekly Data'!W52:Z52)))</f>
        <v>12.75</v>
      </c>
      <c r="I52" s="217">
        <f>IF(COUNT('Weekly Data'!AA52:AD52)=0,"",IF(AVERAGE('Weekly Data'!AA52:AD52)&lt;0.55,"&lt;1",AVERAGE('Weekly Data'!AA52:AD52)))</f>
        <v>34.5</v>
      </c>
      <c r="J52" s="217">
        <f>IF(COUNT('Weekly Data'!AE52:AI52)=0,"",IF(AVERAGE('Weekly Data'!AE52:AI52)&lt;0.55,"&lt;1",AVERAGE('Weekly Data'!AE52:AI52)))</f>
        <v>40.6</v>
      </c>
      <c r="K52" s="217">
        <f>IF(COUNT('Weekly Data'!AJ52:AM52)=0,"",IF(AVERAGE('Weekly Data'!AJ52:AM52)&lt;0.55,"&lt;1",AVERAGE('Weekly Data'!AJ52:AM52)))</f>
        <v>50.25</v>
      </c>
      <c r="L52" s="217">
        <f>IF(COUNT('Weekly Data'!AN52:AQ52)=0,"",IF(AVERAGE('Weekly Data'!AN52:AQ52)&lt;0.55,"&lt;1",AVERAGE('Weekly Data'!AN52:AQ52)))</f>
        <v>46.5</v>
      </c>
      <c r="M52" s="217">
        <f>IF(COUNT('Weekly Data'!AR52:AV52)=0,"",IF(AVERAGE('Weekly Data'!AR52:AV52)&lt;0.55,"&lt;1",AVERAGE('Weekly Data'!AR52:AV52)))</f>
        <v>28.4</v>
      </c>
      <c r="N52" s="217">
        <f>IF(COUNT('Weekly Data'!AW52:AZ52)=0,"",IF(AVERAGE('Weekly Data'!AW52:AZ52)&lt;0.55,"&lt;1",AVERAGE('Weekly Data'!AW52:AZ52)))</f>
        <v>9.25</v>
      </c>
      <c r="O52" s="217">
        <f>IF(COUNT('Weekly Data'!BA52:BD52)=0,"",IF(AVERAGE('Weekly Data'!BA52:BD52)&lt;0.55,"&lt;1",AVERAGE('Weekly Data'!BA52:BD52)))</f>
        <v>12.333333333333334</v>
      </c>
      <c r="P52" s="217"/>
      <c r="Q52" s="217">
        <f>IF(COUNT('Weekly Data'!E52:BD52)=0,"",IF(AVERAGE('Weekly Data'!E52:BD52)&lt;0.55,"&lt;1",AVERAGE('Weekly Data'!E52:BD52)))</f>
        <v>25.543478260869566</v>
      </c>
      <c r="R52" s="217">
        <f>IF(COUNT('Weekly Data'!E52:BD52)=0,"",IF(MIN('Weekly Data'!E52:BD52)&lt;0.55,"&lt;1",MIN('Weekly Data'!E52:BD52)))</f>
        <v>2</v>
      </c>
      <c r="S52" s="217">
        <f>IF(COUNT('Weekly Data'!E52:BD52)=0,"",IF(MAX('Weekly Data'!E52:BD52)&lt;0.55,"&lt;1",MAX('Weekly Data'!E52:BD52)))</f>
        <v>60</v>
      </c>
      <c r="T52" s="293"/>
      <c r="U52" s="335">
        <f>COUNT('Weekly Data'!E52:BC52)</f>
        <v>46</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spans="1:256">
      <c r="A53" s="1"/>
      <c r="B53" s="199" t="str">
        <f>'Weekly Data'!A53</f>
        <v>Fluoride</v>
      </c>
      <c r="C53" s="217" t="str">
        <f>'Weekly Data'!B53</f>
        <v>mg/L</v>
      </c>
      <c r="D53" s="219">
        <f>IF(COUNT('Weekly Data'!E53:I53)=0,"",AVERAGE('Weekly Data'!E53:I53))</f>
        <v>0.2</v>
      </c>
      <c r="E53" s="219">
        <f>IF(COUNT('Weekly Data'!J53:M53)=0,"",AVERAGE('Weekly Data'!J53:M53))</f>
        <v>0.20333333333333334</v>
      </c>
      <c r="F53" s="219">
        <f>IF(COUNT('Weekly Data'!N53:Q53)=0,"",AVERAGE('Weekly Data'!N53:Q53))</f>
        <v>0.20750000000000002</v>
      </c>
      <c r="G53" s="219">
        <f>IF(COUNT('Weekly Data'!R53:V53)=0,"",AVERAGE('Weekly Data'!R53:V53))</f>
        <v>0.19400000000000001</v>
      </c>
      <c r="H53" s="219">
        <f>IF(COUNT('Weekly Data'!W53:Z53)=0,"",AVERAGE('Weekly Data'!W53:Z53))</f>
        <v>0.185</v>
      </c>
      <c r="I53" s="219">
        <f>IF(COUNT('Weekly Data'!AA53:AD53)=0,"",AVERAGE('Weekly Data'!AA53:AD53))</f>
        <v>0.19750000000000001</v>
      </c>
      <c r="J53" s="219">
        <f>IF(COUNT('Weekly Data'!AE53:AI53)=0,"",AVERAGE('Weekly Data'!AE53:AI53))</f>
        <v>0.20800000000000002</v>
      </c>
      <c r="K53" s="219">
        <f>IF(COUNT('Weekly Data'!AJ53:AM53)=0,"",AVERAGE('Weekly Data'!AJ53:AM53))</f>
        <v>0.20749999999999999</v>
      </c>
      <c r="L53" s="219">
        <f>IF(COUNT('Weekly Data'!AN53:AQ53)=0,"",AVERAGE('Weekly Data'!AN53:AQ53))</f>
        <v>0.22</v>
      </c>
      <c r="M53" s="219">
        <f>IF(COUNT('Weekly Data'!AR53:AV53)=0,"",AVERAGE('Weekly Data'!AR53:AV53))</f>
        <v>0.21600000000000003</v>
      </c>
      <c r="N53" s="219">
        <f>IF(COUNT('Weekly Data'!AW53:AZ53)=0,"",AVERAGE('Weekly Data'!AW53:AZ53))</f>
        <v>0.2</v>
      </c>
      <c r="O53" s="219">
        <f>IF(COUNT('Weekly Data'!BA53:BD53)=0,"",AVERAGE('Weekly Data'!BA53:BD53))</f>
        <v>0.20666666666666667</v>
      </c>
      <c r="P53" s="219"/>
      <c r="Q53" s="219">
        <f>IF(COUNT('Weekly Data'!E53:BD53)=0,"",AVERAGE('Weekly Data'!E53:BD53))</f>
        <v>0.20379999999999998</v>
      </c>
      <c r="R53" s="219">
        <f>IF(COUNT('Weekly Data'!E53:BD53)=0,"",MIN('Weekly Data'!E53:BD53))</f>
        <v>0.17</v>
      </c>
      <c r="S53" s="219">
        <f>IF(COUNT('Weekly Data'!E53:BD53)=0,"",MAX('Weekly Data'!E53:BD53))</f>
        <v>0.22</v>
      </c>
      <c r="T53" s="293"/>
      <c r="U53" s="335">
        <f>COUNT('Weekly Data'!E53:BC53)</f>
        <v>50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c r="A54" s="1"/>
      <c r="B54" s="199" t="str">
        <f>'Weekly Data'!A54</f>
        <v>Iron (dissolved)</v>
      </c>
      <c r="C54" s="217" t="str">
        <f>'Weekly Data'!B54</f>
        <v>mg/L</v>
      </c>
      <c r="D54" s="219" t="str">
        <f>IF(COUNT('Weekly Data'!E54:I54)=0,"",IF(AVERAGE('Weekly Data'!E54:I54)&lt;0.015,"&lt;0.02",AVERAGE('Weekly Data'!E54:I54)))</f>
        <v>&lt;0.02</v>
      </c>
      <c r="E54" s="219" t="str">
        <f>IF(COUNT('Weekly Data'!J54:M54)=0,"",IF(AVERAGE('Weekly Data'!J54:M54)&lt;0.015,"&lt;0.02",AVERAGE('Weekly Data'!J54:M54)))</f>
        <v>&lt;0.02</v>
      </c>
      <c r="F54" s="219" t="str">
        <f>IF(COUNT('Weekly Data'!N54:Q54)=0,"",IF(AVERAGE('Weekly Data'!N54:Q54)&lt;0.015,"&lt;0.02",AVERAGE('Weekly Data'!N54:Q54)))</f>
        <v>&lt;0.02</v>
      </c>
      <c r="G54" s="219" t="str">
        <f>IF(COUNT('Weekly Data'!R54:V54)=0,"",IF(AVERAGE('Weekly Data'!R54:V54)&lt;0.015,"&lt;0.02",AVERAGE('Weekly Data'!R54:V54)))</f>
        <v>&lt;0.02</v>
      </c>
      <c r="H54" s="219" t="str">
        <f>IF(COUNT('Weekly Data'!W54:Z54)=0,"",IF(AVERAGE('Weekly Data'!W54:Z54)&lt;0.015,"&lt;0.02",AVERAGE('Weekly Data'!W54:Z54)))</f>
        <v>&lt;0.02</v>
      </c>
      <c r="I54" s="219" t="str">
        <f>IF(COUNT('Weekly Data'!AA54:AD54)=0,"",IF(AVERAGE('Weekly Data'!AA54:AD54)&lt;0.015,"&lt;0.02",AVERAGE('Weekly Data'!AA54:AD54)))</f>
        <v>&lt;0.02</v>
      </c>
      <c r="J54" s="219" t="str">
        <f>IF(COUNT('Weekly Data'!AE54:AI54)=0,"",IF(AVERAGE('Weekly Data'!AE54:AI54)&lt;0.015,"&lt;0.02",AVERAGE('Weekly Data'!AE54:AI54)))</f>
        <v>&lt;0.02</v>
      </c>
      <c r="K54" s="219" t="str">
        <f>IF(COUNT('Weekly Data'!AJ54:AM54)=0,"",IF(AVERAGE('Weekly Data'!AJ54:AM54)&lt;0.015,"&lt;0.02",AVERAGE('Weekly Data'!AJ54:AM54)))</f>
        <v>&lt;0.02</v>
      </c>
      <c r="L54" s="219" t="str">
        <f>IF(COUNT('Weekly Data'!AN54:AQ54)=0,"",IF(AVERAGE('Weekly Data'!AN54:AQ54)&lt;0.015,"&lt;0.02",AVERAGE('Weekly Data'!AN54:AQ54)))</f>
        <v>&lt;0.02</v>
      </c>
      <c r="M54" s="219" t="str">
        <f>IF(COUNT('Weekly Data'!AR54:AV54)=0,"",IF(AVERAGE('Weekly Data'!AR54:AV54)&lt;0.015,"&lt;0.02",AVERAGE('Weekly Data'!AR54:AV54)))</f>
        <v>&lt;0.02</v>
      </c>
      <c r="N54" s="219" t="str">
        <f>IF(COUNT('Weekly Data'!AW54:AZ54)=0,"",IF(AVERAGE('Weekly Data'!AW54:AZ54)&lt;0.015,"&lt;0.02",AVERAGE('Weekly Data'!AW54:AZ54)))</f>
        <v>&lt;0.02</v>
      </c>
      <c r="O54" s="219" t="str">
        <f>IF(COUNT('Weekly Data'!BA54:BD54)=0,"",IF(AVERAGE('Weekly Data'!BA54:BD54)&lt;0.015,"&lt;0.02",AVERAGE('Weekly Data'!BA54:BD54)))</f>
        <v>&lt;0.02</v>
      </c>
      <c r="P54" s="219"/>
      <c r="Q54" s="219" t="str">
        <f>IF(COUNT('Weekly Data'!E54:BD54)=0,"",IF(AVERAGE('Weekly Data'!E54:BD54)&lt;0.015,"&lt;0.02",AVERAGE('Weekly Data'!E54:BD54)))</f>
        <v>&lt;0.02</v>
      </c>
      <c r="R54" s="219" t="str">
        <f>IF(COUNT('Weekly Data'!E54:BD54)=0,"",IF(MIN('Weekly Data'!E54:BD54)&lt;0.015,"&lt;0.02",MIN('Weekly Data'!E54:BD54)))</f>
        <v>&lt;0.02</v>
      </c>
      <c r="S54" s="219" t="str">
        <f>IF(COUNT('Weekly Data'!E54:BD54)=0,"",IF(MAX('Weekly Data'!E54:BD54)&lt;0.015,"&lt;0.02",MAX('Weekly Data'!E54:BD54)))</f>
        <v>&lt;0.02</v>
      </c>
      <c r="T54" s="293"/>
      <c r="U54" s="335">
        <f>COUNT('Weekly Data'!E54:BC54)</f>
        <v>42</v>
      </c>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c r="A55" s="1"/>
      <c r="B55" s="199" t="str">
        <f>'Weekly Data'!A55</f>
        <v>Iron (total)</v>
      </c>
      <c r="C55" s="217" t="str">
        <f>'Weekly Data'!B55</f>
        <v>mg/L</v>
      </c>
      <c r="D55" s="219">
        <f>IF(COUNT('Weekly Data'!E55:I55)=0,"",IF(AVERAGE('Weekly Data'!E55:I55)&lt;0.015,"&lt;0.02",AVERAGE('Weekly Data'!E55:I55)))</f>
        <v>0.05</v>
      </c>
      <c r="E55" s="219">
        <f>IF(COUNT('Weekly Data'!J55:M55)=0,"",IF(AVERAGE('Weekly Data'!J55:M55)&lt;0.015,"&lt;0.02",AVERAGE('Weekly Data'!J55:M55)))</f>
        <v>0.08</v>
      </c>
      <c r="F55" s="219">
        <f>IF(COUNT('Weekly Data'!N55:Q55)=0,"",IF(AVERAGE('Weekly Data'!N55:Q55)&lt;0.015,"&lt;0.02",AVERAGE('Weekly Data'!N55:Q55)))</f>
        <v>5.6666666666666671E-2</v>
      </c>
      <c r="G55" s="219">
        <f>IF(COUNT('Weekly Data'!R55:V55)=0,"",IF(AVERAGE('Weekly Data'!R55:V55)&lt;0.015,"&lt;0.02",AVERAGE('Weekly Data'!R55:V55)))</f>
        <v>9.7500000000000003E-2</v>
      </c>
      <c r="H55" s="219">
        <f>IF(COUNT('Weekly Data'!W55:Z55)=0,"",IF(AVERAGE('Weekly Data'!W55:Z55)&lt;0.015,"&lt;0.02",AVERAGE('Weekly Data'!W55:Z55)))</f>
        <v>0.22750000000000001</v>
      </c>
      <c r="I55" s="219">
        <f>IF(COUNT('Weekly Data'!AA55:AD55)=0,"",IF(AVERAGE('Weekly Data'!AA55:AD55)&lt;0.015,"&lt;0.02",AVERAGE('Weekly Data'!AA55:AD55)))</f>
        <v>0.17499999999999999</v>
      </c>
      <c r="J55" s="219">
        <f>IF(COUNT('Weekly Data'!AE55:AI55)=0,"",IF(AVERAGE('Weekly Data'!AE55:AI55)&lt;0.015,"&lt;0.02",AVERAGE('Weekly Data'!AE55:AI55)))</f>
        <v>0.20400000000000001</v>
      </c>
      <c r="K55" s="219">
        <f>IF(COUNT('Weekly Data'!AJ55:AM55)=0,"",IF(AVERAGE('Weekly Data'!AJ55:AM55)&lt;0.015,"&lt;0.02",AVERAGE('Weekly Data'!AJ55:AM55)))</f>
        <v>0.1225</v>
      </c>
      <c r="L55" s="219">
        <f>IF(COUNT('Weekly Data'!AN55:AQ55)=0,"",IF(AVERAGE('Weekly Data'!AN55:AQ55)&lt;0.015,"&lt;0.02",AVERAGE('Weekly Data'!AN55:AQ55)))</f>
        <v>0.1</v>
      </c>
      <c r="M55" s="219">
        <f>IF(COUNT('Weekly Data'!AR55:AV55)=0,"",IF(AVERAGE('Weekly Data'!AR55:AV55)&lt;0.015,"&lt;0.02",AVERAGE('Weekly Data'!AR55:AV55)))</f>
        <v>0.23199999999999998</v>
      </c>
      <c r="N55" s="219">
        <f>IF(COUNT('Weekly Data'!AW55:AZ55)=0,"",IF(AVERAGE('Weekly Data'!AW55:AZ55)&lt;0.015,"&lt;0.02",AVERAGE('Weekly Data'!AW55:AZ55)))</f>
        <v>0.17333333333333334</v>
      </c>
      <c r="O55" s="219">
        <f>IF(COUNT('Weekly Data'!BA55:BD55)=0,"",IF(AVERAGE('Weekly Data'!BA55:BD55)&lt;0.015,"&lt;0.02",AVERAGE('Weekly Data'!BA55:BD55)))</f>
        <v>0.06</v>
      </c>
      <c r="P55" s="219"/>
      <c r="Q55" s="219">
        <f>IF(COUNT('Weekly Data'!E55:BD55)=0,"",IF(AVERAGE('Weekly Data'!E55:BD55)&lt;0.015,"&lt;0.02",AVERAGE('Weekly Data'!E55:BD55)))</f>
        <v>0.14642857142857144</v>
      </c>
      <c r="R55" s="219">
        <f>IF(COUNT('Weekly Data'!E55:BD55)=0,"",IF(MIN('Weekly Data'!E55:BD55)&lt;0.015,"&lt;0.02",MIN('Weekly Data'!E55:BD55)))</f>
        <v>0.03</v>
      </c>
      <c r="S55" s="219">
        <f>IF(COUNT('Weekly Data'!E55:BD55)=0,"",IF(MAX('Weekly Data'!E55:BD55)&lt;0.015,"&lt;0.02",MAX('Weekly Data'!E55:BD55)))</f>
        <v>0.48</v>
      </c>
      <c r="T55" s="293"/>
      <c r="U55" s="335">
        <f>COUNT('Weekly Data'!E55:BC55)</f>
        <v>42</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spans="1:256">
      <c r="A56" s="1"/>
      <c r="B56" s="199" t="str">
        <f>'Weekly Data'!A56</f>
        <v>Manganese (dissolved)</v>
      </c>
      <c r="C56" s="217" t="str">
        <f>'Weekly Data'!B56</f>
        <v>mg/L</v>
      </c>
      <c r="D56" s="219">
        <f>IF(COUNT('Weekly Data'!E56:I56)=0,"",IF(AVERAGE('Weekly Data'!E56:I56)&lt;0.0055,"&lt;0.01",AVERAGE('Weekly Data'!E56:I56)))</f>
        <v>0.01</v>
      </c>
      <c r="E56" s="219">
        <f>IF(COUNT('Weekly Data'!J56:M56)=0,"",IF(AVERAGE('Weekly Data'!J56:M56)&lt;0.0055,"&lt;0.01",AVERAGE('Weekly Data'!J56:M56)))</f>
        <v>1.4999999999999999E-2</v>
      </c>
      <c r="F56" s="219">
        <f>IF(COUNT('Weekly Data'!N56:Q56)=0,"",IF(AVERAGE('Weekly Data'!N56:Q56)&lt;0.0055,"&lt;0.01",AVERAGE('Weekly Data'!N56:Q56)))</f>
        <v>7.0000000000000007E-2</v>
      </c>
      <c r="G56" s="219">
        <f>IF(COUNT('Weekly Data'!R56:V56)=0,"",IF(AVERAGE('Weekly Data'!R56:V56)&lt;0.0055,"&lt;0.01",AVERAGE('Weekly Data'!R56:V56)))</f>
        <v>0.20750000000000002</v>
      </c>
      <c r="H56" s="219" t="str">
        <f>IF(COUNT('Weekly Data'!W56:Z56)=0,"",IF(AVERAGE('Weekly Data'!W56:Z56)&lt;0.0055,"&lt;0.01",AVERAGE('Weekly Data'!W56:Z56)))</f>
        <v>&lt;0.01</v>
      </c>
      <c r="I56" s="219" t="str">
        <f>IF(COUNT('Weekly Data'!AA56:AD56)=0,"",IF(AVERAGE('Weekly Data'!AA56:AD56)&lt;0.0055,"&lt;0.01",AVERAGE('Weekly Data'!AA56:AD56)))</f>
        <v>&lt;0.01</v>
      </c>
      <c r="J56" s="219" t="str">
        <f>IF(COUNT('Weekly Data'!AE56:AI56)=0,"",IF(AVERAGE('Weekly Data'!AE56:AI56)&lt;0.0055,"&lt;0.01",AVERAGE('Weekly Data'!AE56:AI56)))</f>
        <v>&lt;0.01</v>
      </c>
      <c r="K56" s="219" t="str">
        <f>IF(COUNT('Weekly Data'!AJ56:AM56)=0,"",IF(AVERAGE('Weekly Data'!AJ56:AM56)&lt;0.0055,"&lt;0.01",AVERAGE('Weekly Data'!AJ56:AM56)))</f>
        <v>&lt;0.01</v>
      </c>
      <c r="L56" s="219" t="str">
        <f>IF(COUNT('Weekly Data'!AN56:AQ56)=0,"",IF(AVERAGE('Weekly Data'!AN56:AQ56)&lt;0.0055,"&lt;0.01",AVERAGE('Weekly Data'!AN56:AQ56)))</f>
        <v>&lt;0.01</v>
      </c>
      <c r="M56" s="219">
        <f>IF(COUNT('Weekly Data'!AR56:AV56)=0,"",IF(AVERAGE('Weekly Data'!AR56:AV56)&lt;0.0055,"&lt;0.01",AVERAGE('Weekly Data'!AR56:AV56)))</f>
        <v>6.0000000000000001E-3</v>
      </c>
      <c r="N56" s="219" t="str">
        <f>IF(COUNT('Weekly Data'!AW56:AZ56)=0,"",IF(AVERAGE('Weekly Data'!AW56:AZ56)&lt;0.0055,"&lt;0.01",AVERAGE('Weekly Data'!AW56:AZ56)))</f>
        <v>&lt;0.01</v>
      </c>
      <c r="O56" s="219">
        <f>IF(COUNT('Weekly Data'!BA56:BD56)=0,"",IF(AVERAGE('Weekly Data'!BA56:BD56)&lt;0.0055,"&lt;0.01",AVERAGE('Weekly Data'!BA56:BD56)))</f>
        <v>6.6666666666666671E-3</v>
      </c>
      <c r="P56" s="219"/>
      <c r="Q56" s="219">
        <f>IF(COUNT('Weekly Data'!E56:BD56)=0,"",IF(AVERAGE('Weekly Data'!E56:BD56)&lt;0.0055,"&lt;0.01",AVERAGE('Weekly Data'!E56:BD56)))</f>
        <v>2.7619047619047623E-2</v>
      </c>
      <c r="R56" s="219" t="str">
        <f>IF(COUNT('Weekly Data'!E56:BD56)=0,"",IF(MIN('Weekly Data'!E56:BD56)&lt;0.0055,"&lt;0.01",MIN('Weekly Data'!E56:BD56)))</f>
        <v>&lt;0.01</v>
      </c>
      <c r="S56" s="219">
        <f>IF(COUNT('Weekly Data'!E56:BD56)=0,"",IF(MAX('Weekly Data'!E56:BD56)&lt;0.0055,"&lt;0.01",MAX('Weekly Data'!E56:BD56)))</f>
        <v>0.28999999999999998</v>
      </c>
      <c r="T56" s="293"/>
      <c r="U56" s="335">
        <f>COUNT('Weekly Data'!E56:BC56)</f>
        <v>42</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row>
    <row r="57" spans="1:256">
      <c r="A57" s="1"/>
      <c r="B57" s="199" t="str">
        <f>'Weekly Data'!A57</f>
        <v>Manganese(total)</v>
      </c>
      <c r="C57" s="217" t="str">
        <f>'Weekly Data'!B57</f>
        <v>mg/L</v>
      </c>
      <c r="D57" s="219">
        <f>IF(COUNT('Weekly Data'!E57:I57)=0,"",IF(AVERAGE('Weekly Data'!E57:I57)&lt;0.0055,"&lt;0.01",AVERAGE('Weekly Data'!E57:I57)))</f>
        <v>0.04</v>
      </c>
      <c r="E57" s="219">
        <f>IF(COUNT('Weekly Data'!J57:M57)=0,"",IF(AVERAGE('Weekly Data'!J57:M57)&lt;0.0055,"&lt;0.01",AVERAGE('Weekly Data'!J57:M57)))</f>
        <v>6.5000000000000002E-2</v>
      </c>
      <c r="F57" s="219">
        <f>IF(COUNT('Weekly Data'!N57:Q57)=0,"",IF(AVERAGE('Weekly Data'!N57:Q57)&lt;0.0055,"&lt;0.01",AVERAGE('Weekly Data'!N57:Q57)))</f>
        <v>0.14000000000000001</v>
      </c>
      <c r="G57" s="219">
        <f>IF(COUNT('Weekly Data'!R57:V57)=0,"",IF(AVERAGE('Weekly Data'!R57:V57)&lt;0.0055,"&lt;0.01",AVERAGE('Weekly Data'!R57:V57)))</f>
        <v>0.31</v>
      </c>
      <c r="H57" s="219">
        <f>IF(COUNT('Weekly Data'!W57:Z57)=0,"",IF(AVERAGE('Weekly Data'!W57:Z57)&lt;0.0055,"&lt;0.01",AVERAGE('Weekly Data'!W57:Z57)))</f>
        <v>5.5E-2</v>
      </c>
      <c r="I57" s="219">
        <f>IF(COUNT('Weekly Data'!AA57:AD57)=0,"",IF(AVERAGE('Weekly Data'!AA57:AD57)&lt;0.0055,"&lt;0.01",AVERAGE('Weekly Data'!AA57:AD57)))</f>
        <v>5.7500000000000002E-2</v>
      </c>
      <c r="J57" s="219">
        <f>IF(COUNT('Weekly Data'!AE57:AI57)=0,"",IF(AVERAGE('Weekly Data'!AE57:AI57)&lt;0.0055,"&lt;0.01",AVERAGE('Weekly Data'!AE57:AI57)))</f>
        <v>9.6000000000000002E-2</v>
      </c>
      <c r="K57" s="219">
        <f>IF(COUNT('Weekly Data'!AJ57:AM57)=0,"",IF(AVERAGE('Weekly Data'!AJ57:AM57)&lt;0.0055,"&lt;0.01",AVERAGE('Weekly Data'!AJ57:AM57)))</f>
        <v>6.25E-2</v>
      </c>
      <c r="L57" s="219">
        <f>IF(COUNT('Weekly Data'!AN57:AQ57)=0,"",IF(AVERAGE('Weekly Data'!AN57:AQ57)&lt;0.0055,"&lt;0.01",AVERAGE('Weekly Data'!AN57:AQ57)))</f>
        <v>0.04</v>
      </c>
      <c r="M57" s="219">
        <f>IF(COUNT('Weekly Data'!AR57:AV57)=0,"",IF(AVERAGE('Weekly Data'!AR57:AV57)&lt;0.0055,"&lt;0.01",AVERAGE('Weekly Data'!AR57:AV57)))</f>
        <v>3.5999999999999997E-2</v>
      </c>
      <c r="N57" s="219">
        <f>IF(COUNT('Weekly Data'!AW57:AZ57)=0,"",IF(AVERAGE('Weekly Data'!AW57:AZ57)&lt;0.0055,"&lt;0.01",AVERAGE('Weekly Data'!AW57:AZ57)))</f>
        <v>0.02</v>
      </c>
      <c r="O57" s="219">
        <f>IF(COUNT('Weekly Data'!BA57:BD57)=0,"",IF(AVERAGE('Weekly Data'!BA57:BD57)&lt;0.0055,"&lt;0.01",AVERAGE('Weekly Data'!BA57:BD57)))</f>
        <v>1.6666666666666666E-2</v>
      </c>
      <c r="P57" s="219"/>
      <c r="Q57" s="219">
        <f>IF(COUNT('Weekly Data'!E57:BD57)=0,"",IF(AVERAGE('Weekly Data'!E57:BD57)&lt;0.0055,"&lt;0.01",AVERAGE('Weekly Data'!E57:BD57)))</f>
        <v>8.2380952380952374E-2</v>
      </c>
      <c r="R57" s="219">
        <f>IF(COUNT('Weekly Data'!E57:BD57)=0,"",IF(MIN('Weekly Data'!E57:BD57)&lt;0.0055,"&lt;0.01",MIN('Weekly Data'!E57:BD57)))</f>
        <v>0.01</v>
      </c>
      <c r="S57" s="219">
        <f>IF(COUNT('Weekly Data'!E57:BD57)=0,"",IF(MAX('Weekly Data'!E57:BD57)&lt;0.0055,"&lt;0.01",MAX('Weekly Data'!E57:BD57)))</f>
        <v>0.42</v>
      </c>
      <c r="T57" s="293"/>
      <c r="U57" s="335">
        <f>COUNT('Weekly Data'!E57:BC57)</f>
        <v>42</v>
      </c>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row>
    <row r="58" spans="1:256">
      <c r="A58" s="1"/>
      <c r="B58" s="199" t="str">
        <f>'Weekly Data'!A58</f>
        <v>Nitrate</v>
      </c>
      <c r="C58" s="217" t="str">
        <f>'Weekly Data'!B58</f>
        <v>mg/L</v>
      </c>
      <c r="D58" s="219">
        <f>IF(COUNT('Weekly Data'!E58:I58)=0,"",IF(AVERAGE('Weekly Data'!E58:I58)&lt;0.055,"&lt;0.06",AVERAGE('Weekly Data'!E58:I58)))</f>
        <v>5.5000000000000007E-2</v>
      </c>
      <c r="E58" s="219">
        <f>IF(COUNT('Weekly Data'!J58:M58)=0,"",IF(AVERAGE('Weekly Data'!J58:M58)&lt;0.055,"&lt;0.06",AVERAGE('Weekly Data'!J58:M58)))</f>
        <v>0.13500000000000001</v>
      </c>
      <c r="F58" s="219">
        <f>IF(COUNT('Weekly Data'!N58:Q58)=0,"",IF(AVERAGE('Weekly Data'!N58:Q58)&lt;0.055,"&lt;0.06",AVERAGE('Weekly Data'!N58:Q58)))</f>
        <v>0.21249999999999999</v>
      </c>
      <c r="G58" s="219" t="str">
        <f>IF(COUNT('Weekly Data'!R58:V58)=0,"",IF(AVERAGE('Weekly Data'!R58:V58)&lt;0.055,"&lt;0.06",AVERAGE('Weekly Data'!R58:V58)))</f>
        <v>&lt;0.06</v>
      </c>
      <c r="H58" s="219" t="str">
        <f>IF(COUNT('Weekly Data'!W58:Z58)=0,"",IF(AVERAGE('Weekly Data'!W58:Z58)&lt;0.055,"&lt;0.06",AVERAGE('Weekly Data'!W58:Z58)))</f>
        <v>&lt;0.06</v>
      </c>
      <c r="I58" s="219" t="str">
        <f>IF(COUNT('Weekly Data'!AA58:AD58)=0,"",IF(AVERAGE('Weekly Data'!AA58:AD58)&lt;0.055,"&lt;0.06",AVERAGE('Weekly Data'!AA58:AD58)))</f>
        <v>&lt;0.06</v>
      </c>
      <c r="J58" s="219" t="str">
        <f>IF(COUNT('Weekly Data'!AE58:AI58)=0,"",IF(AVERAGE('Weekly Data'!AE58:AI58)&lt;0.055,"&lt;0.06",AVERAGE('Weekly Data'!AE58:AI58)))</f>
        <v>&lt;0.06</v>
      </c>
      <c r="K58" s="219" t="str">
        <f>IF(COUNT('Weekly Data'!AJ58:AM58)=0,"",IF(AVERAGE('Weekly Data'!AJ58:AM58)&lt;0.055,"&lt;0.06",AVERAGE('Weekly Data'!AJ58:AM58)))</f>
        <v>&lt;0.06</v>
      </c>
      <c r="L58" s="219" t="str">
        <f>IF(COUNT('Weekly Data'!AN58:AQ58)=0,"",IF(AVERAGE('Weekly Data'!AN58:AQ58)&lt;0.055,"&lt;0.06",AVERAGE('Weekly Data'!AN58:AQ58)))</f>
        <v>&lt;0.06</v>
      </c>
      <c r="M58" s="219" t="str">
        <f>IF(COUNT('Weekly Data'!AR58:AV58)=0,"",IF(AVERAGE('Weekly Data'!AR58:AV58)&lt;0.055,"&lt;0.06",AVERAGE('Weekly Data'!AR58:AV58)))</f>
        <v>&lt;0.06</v>
      </c>
      <c r="N58" s="219" t="str">
        <f>IF(COUNT('Weekly Data'!AW58:AZ58)=0,"",IF(AVERAGE('Weekly Data'!AW58:AZ58)&lt;0.055,"&lt;0.06",AVERAGE('Weekly Data'!AW58:AZ58)))</f>
        <v>&lt;0.06</v>
      </c>
      <c r="O58" s="219" t="str">
        <f>IF(COUNT('Weekly Data'!BA58:BD58)=0,"",IF(AVERAGE('Weekly Data'!BA58:BD58)&lt;0.055,"&lt;0.06",AVERAGE('Weekly Data'!BA58:BD58)))</f>
        <v>&lt;0.06</v>
      </c>
      <c r="P58" s="219"/>
      <c r="Q58" s="219" t="str">
        <f>IF(COUNT('Weekly Data'!E58:BD58)=0,"",IF(AVERAGE('Weekly Data'!E58:BD58)&lt;0.055,"&lt;0.06",AVERAGE('Weekly Data'!E58:BD58)))</f>
        <v>&lt;0.06</v>
      </c>
      <c r="R58" s="219" t="str">
        <f>IF(COUNT('Weekly Data'!E58:BD58)=0,"",IF(MIN('Weekly Data'!E58:BD58)&lt;0.055,"&lt;0.06",MIN('Weekly Data'!E58:BD58)))</f>
        <v>&lt;0.06</v>
      </c>
      <c r="S58" s="219">
        <f>IF(COUNT('Weekly Data'!E58:BD58)=0,"",IF(MAX('Weekly Data'!E58:BD58)&lt;0.055,"&lt;0.06",MAX('Weekly Data'!E58:BD58)))</f>
        <v>0.25</v>
      </c>
      <c r="T58" s="293"/>
      <c r="U58" s="335">
        <f>COUNT('Weekly Data'!E58:BC58)</f>
        <v>47</v>
      </c>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row>
    <row r="59" spans="1:256">
      <c r="A59" s="1"/>
      <c r="B59" s="199" t="str">
        <f>'Weekly Data'!A59</f>
        <v>Organic N</v>
      </c>
      <c r="C59" s="217" t="str">
        <f>'Weekly Data'!B59</f>
        <v>mg/L</v>
      </c>
      <c r="D59" s="219">
        <f>IF(COUNT('Weekly Data'!E59:I59)=0,"",IF(AVERAGE('Weekly Data'!E59:I59)&lt;0.035,"&lt;0.04",AVERAGE('Weekly Data'!E59:I59)))</f>
        <v>0.54500000000000004</v>
      </c>
      <c r="E59" s="219">
        <f>IF(COUNT('Weekly Data'!J59:M59)=0,"",IF(AVERAGE('Weekly Data'!J59:M59)&lt;0.035,"&lt;0.04",AVERAGE('Weekly Data'!J59:M59)))</f>
        <v>0.55000000000000004</v>
      </c>
      <c r="F59" s="219">
        <f>IF(COUNT('Weekly Data'!N59:Q59)=0,"",IF(AVERAGE('Weekly Data'!N59:Q59)&lt;0.035,"&lt;0.04",AVERAGE('Weekly Data'!N59:Q59)))</f>
        <v>0.48666666666666664</v>
      </c>
      <c r="G59" s="219">
        <f>IF(COUNT('Weekly Data'!R59:V59)=0,"",IF(AVERAGE('Weekly Data'!R59:V59)&lt;0.035,"&lt;0.04",AVERAGE('Weekly Data'!R59:V59)))</f>
        <v>0.72750000000000004</v>
      </c>
      <c r="H59" s="219">
        <f>IF(COUNT('Weekly Data'!W59:Z59)=0,"",IF(AVERAGE('Weekly Data'!W59:Z59)&lt;0.035,"&lt;0.04",AVERAGE('Weekly Data'!W59:Z59)))</f>
        <v>0.64249999999999996</v>
      </c>
      <c r="I59" s="219">
        <f>IF(COUNT('Weekly Data'!AA59:AD59)=0,"",IF(AVERAGE('Weekly Data'!AA59:AD59)&lt;0.035,"&lt;0.04",AVERAGE('Weekly Data'!AA59:AD59)))</f>
        <v>0.90500000000000003</v>
      </c>
      <c r="J59" s="219">
        <f>IF(COUNT('Weekly Data'!AE59:AI59)=0,"",IF(AVERAGE('Weekly Data'!AE59:AI59)&lt;0.035,"&lt;0.04",AVERAGE('Weekly Data'!AE59:AI59)))</f>
        <v>1.02</v>
      </c>
      <c r="K59" s="219">
        <f>IF(COUNT('Weekly Data'!AJ59:AM59)=0,"",IF(AVERAGE('Weekly Data'!AJ59:AM59)&lt;0.035,"&lt;0.04",AVERAGE('Weekly Data'!AJ59:AM59)))</f>
        <v>1.0024999999999999</v>
      </c>
      <c r="L59" s="219">
        <f>IF(COUNT('Weekly Data'!AN59:AQ59)=0,"",IF(AVERAGE('Weekly Data'!AN59:AQ59)&lt;0.035,"&lt;0.04",AVERAGE('Weekly Data'!AN59:AQ59)))</f>
        <v>1.2875000000000001</v>
      </c>
      <c r="M59" s="219">
        <f>IF(COUNT('Weekly Data'!AR59:AV59)=0,"",IF(AVERAGE('Weekly Data'!AR59:AV59)&lt;0.035,"&lt;0.04",AVERAGE('Weekly Data'!AR59:AV59)))</f>
        <v>1.1599999999999999</v>
      </c>
      <c r="N59" s="219">
        <f>IF(COUNT('Weekly Data'!AW59:AZ59)=0,"",IF(AVERAGE('Weekly Data'!AW59:AZ59)&lt;0.035,"&lt;0.04",AVERAGE('Weekly Data'!AW59:AZ59)))</f>
        <v>0.57750000000000001</v>
      </c>
      <c r="O59" s="219">
        <f>IF(COUNT('Weekly Data'!BA59:BD59)=0,"",IF(AVERAGE('Weekly Data'!BA59:BD59)&lt;0.035,"&lt;0.04",AVERAGE('Weekly Data'!BA59:BD59)))</f>
        <v>0.62666666666666659</v>
      </c>
      <c r="P59" s="219"/>
      <c r="Q59" s="219">
        <f>IF(COUNT('Weekly Data'!E59:BD59)=0,"",IF(AVERAGE('Weekly Data'!E59:BD59)&lt;0.035,"&lt;0.04",AVERAGE('Weekly Data'!E59:BD59)))</f>
        <v>0.84767441860465143</v>
      </c>
      <c r="R59" s="219">
        <f>IF(COUNT('Weekly Data'!E59:BD59)=0,"",IF(MIN('Weekly Data'!E59:BD59)&lt;0.035,"&lt;0.04",MIN('Weekly Data'!E59:BD59)))</f>
        <v>0.35</v>
      </c>
      <c r="S59" s="219">
        <f>IF(COUNT('Weekly Data'!E59:BD59)=0,"",IF(MAX('Weekly Data'!E59:BD59)&lt;0.035,"&lt;0.04",MAX('Weekly Data'!E59:BD59)))</f>
        <v>1.6</v>
      </c>
      <c r="T59" s="293"/>
      <c r="U59" s="335">
        <f>COUNT('Weekly Data'!E59:BC59)</f>
        <v>43</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row>
    <row r="60" spans="1:256">
      <c r="A60" s="1"/>
      <c r="B60" s="199" t="str">
        <f>'Weekly Data'!A60</f>
        <v>Raw TOC</v>
      </c>
      <c r="C60" s="217" t="str">
        <f>'Weekly Data'!B60</f>
        <v>mg/L C (UV)</v>
      </c>
      <c r="D60" s="201">
        <f>IF(COUNT('Weekly Data'!E60:I60)=0,"",IF(AVERAGE('Weekly Data'!E60:I60)&lt;0.035,"&lt;0.04",AVERAGE('Weekly Data'!E60:I60)))</f>
        <v>8.84</v>
      </c>
      <c r="E60" s="201">
        <f>IF(COUNT('Weekly Data'!J60:M60)=0,"",IF(AVERAGE('Weekly Data'!J60:M60)&lt;0.035,"&lt;0.04",AVERAGE('Weekly Data'!J60:M60)))</f>
        <v>8.5333333333333332</v>
      </c>
      <c r="F60" s="201">
        <f>IF(COUNT('Weekly Data'!N60:Q60)=0,"",IF(AVERAGE('Weekly Data'!N60:Q60)&lt;0.035,"&lt;0.04",AVERAGE('Weekly Data'!N60:Q60)))</f>
        <v>8.1</v>
      </c>
      <c r="G60" s="201">
        <f>IF(COUNT('Weekly Data'!R60:V60)=0,"",IF(AVERAGE('Weekly Data'!R60:V60)&lt;0.455,"&lt;0.5",AVERAGE('Weekly Data'!R60:V60)))</f>
        <v>9</v>
      </c>
      <c r="H60" s="201">
        <f>IF(COUNT('Weekly Data'!W60:Z60)=0,"",IF(AVERAGE('Weekly Data'!W60:Z60)&lt;0.455,"&lt;0.5",AVERAGE('Weekly Data'!W60:Z60)))</f>
        <v>7.9749999999999996</v>
      </c>
      <c r="I60" s="201">
        <f>IF(COUNT('Weekly Data'!AA60:AD60)=0,"",IF(AVERAGE('Weekly Data'!AA60:AD60)&lt;0.455,"&lt;0.5",AVERAGE('Weekly Data'!AA60:AD60)))</f>
        <v>9.0750000000000011</v>
      </c>
      <c r="J60" s="201">
        <f>IF(COUNT('Weekly Data'!AE60:AG60)=0,"",IF(AVERAGE('Weekly Data'!AE60:AG60)&lt;0.455,"&lt;0.5",AVERAGE('Weekly Data'!AE60:AG60)))</f>
        <v>9.4333333333333318</v>
      </c>
      <c r="K60" s="201">
        <f>IF(COUNT('Weekly Data'!AH60:AM60)=0,"",IF(AVERAGE('Weekly Data'!AH60:AM60)&lt;0.455,"&lt;0.5",AVERAGE('Weekly Data'!AH60:AM60)))</f>
        <v>10.033333333333333</v>
      </c>
      <c r="L60" s="201">
        <f>IF(COUNT('Weekly Data'!AN60:AQ60)=0,"",IF(AVERAGE('Weekly Data'!AN60:AQ60)&lt;0.455,"&lt;0.5",AVERAGE('Weekly Data'!AN60:AQ60)))</f>
        <v>11.3</v>
      </c>
      <c r="M60" s="201">
        <f>IF(COUNT('Weekly Data'!AR60:AV60)=0,"",IF(AVERAGE('Weekly Data'!AR60:AV60)&lt;0.455,"&lt;0.5",AVERAGE('Weekly Data'!AR60:AV60)))</f>
        <v>10.18</v>
      </c>
      <c r="N60" s="201">
        <f>IF(COUNT('Weekly Data'!AW60:AZ60)=0,"",IF(AVERAGE('Weekly Data'!AW60:AZ60)&lt;0.455,"&lt;0.5",AVERAGE('Weekly Data'!AW60:AZ60)))</f>
        <v>7.5</v>
      </c>
      <c r="O60" s="201">
        <f>IF(COUNT('Weekly Data'!BA60:BD60)=0,"",IF(AVERAGE('Weekly Data'!BA60:BD60)&lt;0.455,"&lt;0.5",AVERAGE('Weekly Data'!BA60:BD60)))</f>
        <v>7.3666666666666671</v>
      </c>
      <c r="P60" s="201"/>
      <c r="Q60" s="201">
        <f>IF(COUNT('Weekly Data'!E60:BD60)=0,"",IF(AVERAGE('Weekly Data'!E60:BD60)&lt;0.0455,"&lt;0.5",AVERAGE('Weekly Data'!E60:BD60)))</f>
        <v>9.041999999999998</v>
      </c>
      <c r="R60" s="201">
        <f>IF(COUNT('Weekly Data'!E60:BD60)=0,"",IF(MIN('Weekly Data'!E60:BD60)&lt;0.0455,"&lt;0.5",MIN('Weekly Data'!E60:BD60)))</f>
        <v>7</v>
      </c>
      <c r="S60" s="201">
        <f>IF(COUNT('Weekly Data'!E60:BD60)=0,"",IF(MAX('Weekly Data'!E60:BD60)&lt;0.0455,"&lt;0.5",MAX('Weekly Data'!E60:BD60)))</f>
        <v>12</v>
      </c>
      <c r="T60" s="293"/>
      <c r="U60" s="335"/>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row>
    <row r="61" spans="1:256">
      <c r="A61" s="1"/>
      <c r="B61" s="199" t="str">
        <f>'Weekly Data'!A61</f>
        <v>Raw DOC (GF diss)</v>
      </c>
      <c r="C61" s="217" t="str">
        <f>'Weekly Data'!B61</f>
        <v>mg/L C (UV)</v>
      </c>
      <c r="D61" s="201">
        <f>IF(COUNT('Weekly Data'!E61:I61)=0,"",IF(AVERAGE('Weekly Data'!E61:I61)&lt;0.035,"&lt;0.04",AVERAGE('Weekly Data'!E61:I61)))</f>
        <v>8.3000000000000007</v>
      </c>
      <c r="E61" s="201">
        <f>IF(COUNT('Weekly Data'!J61:M61)=0,"",IF(AVERAGE('Weekly Data'!J61:M61)&lt;0.035,"&lt;0.04",AVERAGE('Weekly Data'!J61:M61)))</f>
        <v>8.0250000000000004</v>
      </c>
      <c r="F61" s="201">
        <f>IF(COUNT('Weekly Data'!N61:Q61)=0,"",IF(AVERAGE('Weekly Data'!N61:Q61)&lt;0.035,"&lt;0.04",AVERAGE('Weekly Data'!N61:Q61)))</f>
        <v>7.7249999999999996</v>
      </c>
      <c r="G61" s="201">
        <f>IF(COUNT('Weekly Data'!R61:V61)=0,"",IF(AVERAGE('Weekly Data'!R61:V61)&lt;0.455,"&lt;0.5",AVERAGE('Weekly Data'!R61:V61)))</f>
        <v>7.5</v>
      </c>
      <c r="H61" s="201">
        <f>IF(COUNT('Weekly Data'!W61:Z61)=0,"",IF(AVERAGE('Weekly Data'!W61:Z61)&lt;0.455,"&lt;0.5",AVERAGE('Weekly Data'!W61:Z61)))</f>
        <v>6.7750000000000004</v>
      </c>
      <c r="I61" s="201">
        <f>IF(COUNT('Weekly Data'!AA61:AD61)=0,"",IF(AVERAGE('Weekly Data'!AA61:AD61)&lt;0.455,"&lt;0.5",AVERAGE('Weekly Data'!AA61:AD61)))</f>
        <v>7.3999999999999995</v>
      </c>
      <c r="J61" s="201">
        <f>IF(COUNT('Weekly Data'!AE61:AG61)=0,"",IF(AVERAGE('Weekly Data'!AE61:AG61)&lt;0.455,"&lt;0.5",AVERAGE('Weekly Data'!AE61:AG61)))</f>
        <v>7.5666666666666673</v>
      </c>
      <c r="K61" s="201">
        <f>IF(COUNT('Weekly Data'!AH61:AM61)=0,"",IF(AVERAGE('Weekly Data'!AH61:AM61)&lt;0.455,"&lt;0.5",AVERAGE('Weekly Data'!AH61:AM61)))</f>
        <v>7.416666666666667</v>
      </c>
      <c r="L61" s="201">
        <f>IF(COUNT('Weekly Data'!AN61:AQ61)=0,"",IF(AVERAGE('Weekly Data'!AN61:AQ61)&lt;0.455,"&lt;0.5",AVERAGE('Weekly Data'!AN61:AQ61)))</f>
        <v>7.85</v>
      </c>
      <c r="M61" s="201">
        <f>IF(COUNT('Weekly Data'!AR61:AV61)=0,"",IF(AVERAGE('Weekly Data'!AR61:AV61)&lt;0.455,"&lt;0.5",AVERAGE('Weekly Data'!AR61:AV61)))</f>
        <v>7.3199999999999985</v>
      </c>
      <c r="N61" s="201">
        <f>IF(COUNT('Weekly Data'!AW61:AZ61)=0,"",IF(AVERAGE('Weekly Data'!AW61:AZ61)&lt;0.455,"&lt;0.5",AVERAGE('Weekly Data'!AW61:AZ61)))</f>
        <v>6.5250000000000004</v>
      </c>
      <c r="O61" s="201">
        <f>IF(COUNT('Weekly Data'!BA61:BD61)=0,"",IF(AVERAGE('Weekly Data'!BA61:BD61)&lt;0.455,"&lt;0.5",AVERAGE('Weekly Data'!BA61:BD61)))</f>
        <v>6.4333333333333327</v>
      </c>
      <c r="P61" s="201"/>
      <c r="Q61" s="201">
        <f>IF(COUNT('Weekly Data'!E61:BD61)=0,"",IF(AVERAGE('Weekly Data'!E61:BD61)&lt;0.0455,"&lt;0.5",AVERAGE('Weekly Data'!E61:BD61)))</f>
        <v>7.4372549019607845</v>
      </c>
      <c r="R61" s="201">
        <f>IF(COUNT('Weekly Data'!E61:BD61)=0,"",IF(MIN('Weekly Data'!E61:BD61)&lt;0.0455,"&lt;0.5",MIN('Weekly Data'!E61:BD61)))</f>
        <v>6</v>
      </c>
      <c r="S61" s="201">
        <f>IF(COUNT('Weekly Data'!E61:BD61)=0,"",IF(MAX('Weekly Data'!E61:BD61)&lt;0.0455,"&lt;0.5",MAX('Weekly Data'!E61:BD61)))</f>
        <v>8.9</v>
      </c>
      <c r="T61" s="293"/>
      <c r="U61" s="335">
        <f>COUNT('Weekly Data'!E61:BC61)</f>
        <v>51</v>
      </c>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row>
    <row r="62" spans="1:256">
      <c r="A62" s="1"/>
      <c r="B62" s="199" t="str">
        <f>'Weekly Data'!A62</f>
        <v>Org. Carbon (diss @ 254nm)</v>
      </c>
      <c r="C62" s="217" t="str">
        <f>'Weekly Data'!B62</f>
        <v>Abs 10cm</v>
      </c>
      <c r="D62" s="221">
        <f>IF(COUNT('Weekly Data'!E62:I62)=0,"",AVERAGE('Weekly Data'!E62:I62))</f>
        <v>0.88634999999999997</v>
      </c>
      <c r="E62" s="221">
        <f>IF(COUNT('Weekly Data'!J62:M62)=0,"",AVERAGE('Weekly Data'!J62:M62))</f>
        <v>0.89446666666666663</v>
      </c>
      <c r="F62" s="221">
        <f>IF(COUNT('Weekly Data'!N62:Q62)=0,"",AVERAGE('Weekly Data'!N62:Q62))</f>
        <v>0.90216666666666667</v>
      </c>
      <c r="G62" s="221">
        <f>IF(COUNT('Weekly Data'!R62:V62)=0,"",AVERAGE('Weekly Data'!R62:V62))</f>
        <v>0.85924000000000011</v>
      </c>
      <c r="H62" s="221">
        <f>IF(COUNT('Weekly Data'!W62:Z62)=0,"",AVERAGE('Weekly Data'!W62:Z62))</f>
        <v>0.72752500000000009</v>
      </c>
      <c r="I62" s="221">
        <f>IF(COUNT('Weekly Data'!AA62:AD62)=0,"",AVERAGE('Weekly Data'!AA62:AD62))</f>
        <v>0.75344999999999995</v>
      </c>
      <c r="J62" s="221">
        <f>IF(COUNT('Weekly Data'!AE62:AI62)=0,"",AVERAGE('Weekly Data'!AE62:AI62))</f>
        <v>0.79552</v>
      </c>
      <c r="K62" s="221">
        <f>IF(COUNT('Weekly Data'!AJ62:AM62)=0,"",AVERAGE('Weekly Data'!AJ62:AM62))</f>
        <v>0.8320249999999999</v>
      </c>
      <c r="L62" s="221">
        <f>IF(COUNT('Weekly Data'!AN62:AQ62)=0,"",AVERAGE('Weekly Data'!AN62:AQ62))</f>
        <v>0.87124999999999986</v>
      </c>
      <c r="M62" s="221">
        <f>IF(COUNT('Weekly Data'!AR62:AV62)=0,"",AVERAGE('Weekly Data'!AR62:AV62))</f>
        <v>0.87441999999999998</v>
      </c>
      <c r="N62" s="221">
        <f>IF(COUNT('Weekly Data'!AW62:AZ62)=0,"",AVERAGE('Weekly Data'!AW62:AZ62))</f>
        <v>0.7528999999999999</v>
      </c>
      <c r="O62" s="221">
        <f>IF(COUNT('Weekly Data'!BA62:BD62)=0,"",AVERAGE('Weekly Data'!BA62:BD62))</f>
        <v>0.75493333333333335</v>
      </c>
      <c r="P62" s="221"/>
      <c r="Q62" s="221">
        <f>IF(COUNT('Weekly Data'!E62:BD62)=0,"",AVERAGE('Weekly Data'!E62:BD62))</f>
        <v>0.82488749999999966</v>
      </c>
      <c r="R62" s="221">
        <f>IF(COUNT('Weekly Data'!E62:BD62)=0,"",MIN('Weekly Data'!E62:BD62))</f>
        <v>0.68659999999999999</v>
      </c>
      <c r="S62" s="221">
        <f>IF(COUNT('Weekly Data'!E62:BD62)=0,"",MAX('Weekly Data'!E62:BD62))</f>
        <v>1.1294</v>
      </c>
      <c r="T62" s="222"/>
      <c r="U62" s="223">
        <f>COUNT('Weekly Data'!E62:BC62)</f>
        <v>48</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row>
    <row r="63" spans="1:256">
      <c r="A63" s="1"/>
      <c r="B63" s="199" t="str">
        <f>'Weekly Data'!A63</f>
        <v>UV@254/Raw DOC</v>
      </c>
      <c r="C63" s="217" t="str">
        <f>'Weekly Data'!B63</f>
        <v>ratio</v>
      </c>
      <c r="D63" s="221">
        <f>IF(COUNT('Weekly Data'!E63:I63)=0,"",AVERAGE('Weekly Data'!E63:I63))</f>
        <v>0.10666373183065317</v>
      </c>
      <c r="E63" s="221">
        <f>IF(COUNT('Weekly Data'!J63:M63)=0,"",AVERAGE('Weekly Data'!J63:M63))</f>
        <v>0.11045358325805481</v>
      </c>
      <c r="F63" s="221">
        <f>IF(COUNT('Weekly Data'!N63:Q63)=0,"",AVERAGE('Weekly Data'!N63:Q63))</f>
        <v>0.11954218976409899</v>
      </c>
      <c r="G63" s="221">
        <f>IF(COUNT('Weekly Data'!R63:V63)=0,"",AVERAGE('Weekly Data'!R63:V63))</f>
        <v>0.11429336921850079</v>
      </c>
      <c r="H63" s="221">
        <f>IF(COUNT('Weekly Data'!W63:Z63)=0,"",AVERAGE('Weekly Data'!W63:Z63))</f>
        <v>0.10747000646412412</v>
      </c>
      <c r="I63" s="221">
        <f>IF(COUNT('Weekly Data'!AA63:AD63)=0,"",AVERAGE('Weekly Data'!AA63:AD63))</f>
        <v>0.10222678335257845</v>
      </c>
      <c r="J63" s="221">
        <f>IF(COUNT('Weekly Data'!AE63:AI63)=0,"",AVERAGE('Weekly Data'!AE63:AI63))</f>
        <v>0.10525200853485064</v>
      </c>
      <c r="K63" s="221">
        <f>IF(COUNT('Weekly Data'!AJ63:AM63)=0,"",AVERAGE('Weekly Data'!AJ63:AM63))</f>
        <v>0.11330762548262549</v>
      </c>
      <c r="L63" s="221">
        <f>IF(COUNT('Weekly Data'!AN63:AQ63)=0,"",AVERAGE('Weekly Data'!AN63:AQ63))</f>
        <v>0.11128530219780219</v>
      </c>
      <c r="M63" s="221">
        <f>IF(COUNT('Weekly Data'!AR63:AV63)=0,"",AVERAGE('Weekly Data'!AR63:AV63))</f>
        <v>0.12034283502874835</v>
      </c>
      <c r="N63" s="221">
        <f>IF(COUNT('Weekly Data'!AW63:AZ63)=0,"",AVERAGE('Weekly Data'!AW63:AZ63))</f>
        <v>0.11550242470801075</v>
      </c>
      <c r="O63" s="221">
        <f>IF(COUNT('Weekly Data'!BA63:BD63)=0,"",AVERAGE('Weekly Data'!BA63:BD63))</f>
        <v>0.11738579996392495</v>
      </c>
      <c r="P63" s="221"/>
      <c r="Q63" s="221">
        <f>IF(COUNT('Weekly Data'!E63:BD63)=0,"",AVERAGE('Weekly Data'!E63:BD63))</f>
        <v>0.11182102664608147</v>
      </c>
      <c r="R63" s="221">
        <f>IF(COUNT('Weekly Data'!E63:BD63)=0,"",MIN('Weekly Data'!E63:BD63))</f>
        <v>9.4707317073170733E-2</v>
      </c>
      <c r="S63" s="221">
        <f>IF(COUNT('Weekly Data'!E63:BD63)=0,"",MAX('Weekly Data'!E63:BD63))</f>
        <v>0.16608823529411765</v>
      </c>
      <c r="T63" s="222"/>
      <c r="U63" s="223">
        <f>COUNT('Weekly Data'!E63:BC63)</f>
        <v>48</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row>
    <row r="64" spans="1:256">
      <c r="A64" s="1"/>
      <c r="B64" s="199" t="str">
        <f>'Weekly Data'!A64</f>
        <v>Phosphate(ortho)</v>
      </c>
      <c r="C64" s="217" t="str">
        <f>'Weekly Data'!B64</f>
        <v>µg/L P</v>
      </c>
      <c r="D64" s="217">
        <f>IF(COUNT('Weekly Data'!E64:I64)=0,"",IF(AVERAGE('Weekly Data'!E64:I64)&lt;1.45,"&lt;2",AVERAGE('Weekly Data'!E64:I64)))</f>
        <v>18</v>
      </c>
      <c r="E64" s="217">
        <f>IF(COUNT('Weekly Data'!J64:M64)=0,"",IF(AVERAGE('Weekly Data'!J64:M64)&lt;1.45,"&lt;2",AVERAGE('Weekly Data'!J64:M64)))</f>
        <v>23</v>
      </c>
      <c r="F64" s="217">
        <f>IF(COUNT('Weekly Data'!N64:Q64)=0,"",IF(AVERAGE('Weekly Data'!N64:Q64)&lt;1.45,"&lt;2",AVERAGE('Weekly Data'!N64:Q64)))</f>
        <v>9</v>
      </c>
      <c r="G64" s="217">
        <f>IF(COUNT('Weekly Data'!R64:V64)=0,"",IF(AVERAGE('Weekly Data'!R64:V64)&lt;1.45,"&lt;2",AVERAGE('Weekly Data'!R64:V64)))</f>
        <v>7.75</v>
      </c>
      <c r="H64" s="217">
        <f>IF(COUNT('Weekly Data'!W64:Z64)=0,"",IF(AVERAGE('Weekly Data'!W64:Z64)&lt;1.45,"&lt;2",AVERAGE('Weekly Data'!W64:Z64)))</f>
        <v>8.25</v>
      </c>
      <c r="I64" s="217">
        <f>IF(COUNT('Weekly Data'!AA64:AD64)=0,"",IF(AVERAGE('Weekly Data'!AA64:AD64)&lt;1.45,"&lt;2",AVERAGE('Weekly Data'!AA64:AD64)))</f>
        <v>5.25</v>
      </c>
      <c r="J64" s="217">
        <f>IF(COUNT('Weekly Data'!AE64:AI64)=0,"",IF(AVERAGE('Weekly Data'!AE64:AI64)&lt;1.45,"&lt;2",AVERAGE('Weekly Data'!AE64:AI64)))</f>
        <v>5.2</v>
      </c>
      <c r="K64" s="217">
        <f>IF(COUNT('Weekly Data'!AJ64:AM64)=0,"",IF(AVERAGE('Weekly Data'!AJ64:AM64)&lt;1.45,"&lt;2",AVERAGE('Weekly Data'!AJ64:AM64)))</f>
        <v>5.75</v>
      </c>
      <c r="L64" s="217">
        <f>IF(COUNT('Weekly Data'!AN64:AQ64)=0,"",IF(AVERAGE('Weekly Data'!AN64:AQ64)&lt;1.45,"&lt;2",AVERAGE('Weekly Data'!AN64:AQ64)))</f>
        <v>10.25</v>
      </c>
      <c r="M64" s="217">
        <f>IF(COUNT('Weekly Data'!AR64:AV64)=0,"",IF(AVERAGE('Weekly Data'!AR64:AV64)&lt;1.45,"&lt;2",AVERAGE('Weekly Data'!AR64:AV64)))</f>
        <v>13</v>
      </c>
      <c r="N64" s="217">
        <f>IF(COUNT('Weekly Data'!AW64:AZ64)=0,"",IF(AVERAGE('Weekly Data'!AW64:AZ64)&lt;1.45,"&lt;2",AVERAGE('Weekly Data'!AW64:AZ64)))</f>
        <v>13.75</v>
      </c>
      <c r="O64" s="217">
        <f>IF(COUNT('Weekly Data'!BA64:BD64)=0,"",IF(AVERAGE('Weekly Data'!BA64:BD64)&lt;1.45,"&lt;2",AVERAGE('Weekly Data'!BA64:BD64)))</f>
        <v>13.333333333333334</v>
      </c>
      <c r="P64" s="217"/>
      <c r="Q64" s="217">
        <f>IF(COUNT('Weekly Data'!E64:BD64)=0,"",IF(AVERAGE('Weekly Data'!E64:BD64)&lt;1.45,"&lt;2",AVERAGE('Weekly Data'!E64:BD64)))</f>
        <v>9.7906976744186043</v>
      </c>
      <c r="R64" s="217" t="str">
        <f>IF(COUNT('Weekly Data'!E64:BD64)=0,"",IF(MIN('Weekly Data'!E64:BD64)&lt;1.45,"&lt;2",MIN('Weekly Data'!E64:BD64)))</f>
        <v>&lt;2</v>
      </c>
      <c r="S64" s="217">
        <f>IF(COUNT('Weekly Data'!E64:BD64)=0,"",IF(MAX('Weekly Data'!E64:BD64)&lt;1.45,"&lt;2",MAX('Weekly Data'!E64:BD64)))</f>
        <v>23</v>
      </c>
      <c r="T64" s="293"/>
      <c r="U64" s="335">
        <f>COUNT('Weekly Data'!E64:BC64)</f>
        <v>43</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row>
    <row r="65" spans="1:256">
      <c r="A65" s="1"/>
      <c r="B65" s="199" t="str">
        <f>'Weekly Data'!A65</f>
        <v>Phosphate(total)</v>
      </c>
      <c r="C65" s="217" t="str">
        <f>'Weekly Data'!B65</f>
        <v>µg/L P</v>
      </c>
      <c r="D65" s="217">
        <f>IF(COUNT('Weekly Data'!E65:I65)=0,"",IF(AVERAGE('Weekly Data'!E65:I65)&lt;1.45,"&lt;2",AVERAGE('Weekly Data'!E65:I65)))</f>
        <v>47.333333333333336</v>
      </c>
      <c r="E65" s="217">
        <f>IF(COUNT('Weekly Data'!J65:M65)=0,"",IF(AVERAGE('Weekly Data'!J65:M65)&lt;1.45,"&lt;2",AVERAGE('Weekly Data'!J65:M65)))</f>
        <v>46</v>
      </c>
      <c r="F65" s="217">
        <f>IF(COUNT('Weekly Data'!N65:Q65)=0,"",IF(AVERAGE('Weekly Data'!N65:Q65)&lt;1.45,"&lt;2",AVERAGE('Weekly Data'!N65:Q65)))</f>
        <v>39.666666666666664</v>
      </c>
      <c r="G65" s="217">
        <f>IF(COUNT('Weekly Data'!R65:V65)=0,"",IF(AVERAGE('Weekly Data'!R65:V65)&lt;1.45,"&lt;2",AVERAGE('Weekly Data'!R65:V65)))</f>
        <v>64.25</v>
      </c>
      <c r="H65" s="217">
        <f>IF(COUNT('Weekly Data'!W65:Z65)=0,"",IF(AVERAGE('Weekly Data'!W65:Z65)&lt;1.45,"&lt;2",AVERAGE('Weekly Data'!W65:Z65)))</f>
        <v>99.25</v>
      </c>
      <c r="I65" s="217">
        <f>IF(COUNT('Weekly Data'!AA65:AD65)=0,"",IF(AVERAGE('Weekly Data'!AA65:AD65)&lt;1.45,"&lt;2",AVERAGE('Weekly Data'!AA65:AD65)))</f>
        <v>98.75</v>
      </c>
      <c r="J65" s="217">
        <f>IF(COUNT('Weekly Data'!AE65:AI65)=0,"",IF(AVERAGE('Weekly Data'!AE65:AI65)&lt;1.45,"&lt;2",AVERAGE('Weekly Data'!AE65:AI65)))</f>
        <v>106.8</v>
      </c>
      <c r="K65" s="217">
        <f>IF(COUNT('Weekly Data'!AJ65:AM65)=0,"",IF(AVERAGE('Weekly Data'!AJ65:AM65)&lt;1.45,"&lt;2",AVERAGE('Weekly Data'!AJ65:AM65)))</f>
        <v>108</v>
      </c>
      <c r="L65" s="217">
        <f>IF(COUNT('Weekly Data'!AN65:AQ65)=0,"",IF(AVERAGE('Weekly Data'!AN65:AQ65)&lt;1.45,"&lt;2",AVERAGE('Weekly Data'!AN65:AQ65)))</f>
        <v>110</v>
      </c>
      <c r="M65" s="217">
        <f>IF(COUNT('Weekly Data'!AR65:AV65)=0,"",IF(AVERAGE('Weekly Data'!AR65:AV65)&lt;1.45,"&lt;2",AVERAGE('Weekly Data'!AR65:AV65)))</f>
        <v>100.8</v>
      </c>
      <c r="N65" s="217">
        <f>IF(COUNT('Weekly Data'!AW65:AZ65)=0,"",IF(AVERAGE('Weekly Data'!AW65:AZ65)&lt;1.45,"&lt;2",AVERAGE('Weekly Data'!AW65:AZ65)))</f>
        <v>58.5</v>
      </c>
      <c r="O65" s="217">
        <f>IF(COUNT('Weekly Data'!BA65:BD65)=0,"",IF(AVERAGE('Weekly Data'!BA65:BD65)&lt;1.45,"&lt;2",AVERAGE('Weekly Data'!BA65:BD65)))</f>
        <v>55.333333333333336</v>
      </c>
      <c r="P65" s="217"/>
      <c r="Q65" s="217">
        <f>IF(COUNT('Weekly Data'!E65:BD65)=0,"",IF(AVERAGE('Weekly Data'!E65:BD65)&lt;1.45,"&lt;2",AVERAGE('Weekly Data'!E65:BD65)))</f>
        <v>83.318181818181813</v>
      </c>
      <c r="R65" s="217">
        <f>IF(COUNT('Weekly Data'!E65:BD65)=0,"",IF(MIN('Weekly Data'!E65:BD65)&lt;1.45,"&lt;2",MIN('Weekly Data'!E65:BD65)))</f>
        <v>39</v>
      </c>
      <c r="S65" s="217">
        <f>IF(COUNT('Weekly Data'!E65:BD65)=0,"",IF(MAX('Weekly Data'!E65:BD65)&lt;1.45,"&lt;2",MAX('Weekly Data'!E65:BD65)))</f>
        <v>176</v>
      </c>
      <c r="T65" s="293"/>
      <c r="U65" s="335">
        <f>COUNT('Weekly Data'!E65:BC65)</f>
        <v>44</v>
      </c>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row>
    <row r="66" spans="1:256">
      <c r="A66" s="1"/>
      <c r="B66" s="199" t="str">
        <f>'Weekly Data'!A66</f>
        <v>Silica (SiO3)</v>
      </c>
      <c r="C66" s="217" t="str">
        <f>'Weekly Data'!B66</f>
        <v>mg/L</v>
      </c>
      <c r="D66" s="201">
        <f>IF(COUNT('Weekly Data'!E66:I66)=0,"",IF(AVERAGE('Weekly Data'!E66:I66)&lt;0.055,"&lt;0.1",AVERAGE('Weekly Data'!E66:I66)))</f>
        <v>7.9424999999999999</v>
      </c>
      <c r="E66" s="201">
        <f>IF(COUNT('Weekly Data'!J66:M66)=0,"",IF(AVERAGE('Weekly Data'!J66:M66)&lt;0.055,"&lt;0.1",AVERAGE('Weekly Data'!J66:M66)))</f>
        <v>8.6649999999999991</v>
      </c>
      <c r="F66" s="201">
        <f>IF(COUNT('Weekly Data'!N66:Q66)=0,"",IF(AVERAGE('Weekly Data'!N66:Q66)&lt;0.055,"&lt;0.1",AVERAGE('Weekly Data'!N66:Q66)))</f>
        <v>9.3275000000000006</v>
      </c>
      <c r="G66" s="201">
        <f>IF(COUNT('Weekly Data'!R66:V66)=0,"",IF(AVERAGE('Weekly Data'!R66:V66)&lt;0.055,"&lt;0.1",AVERAGE('Weekly Data'!R66:V66)))</f>
        <v>7.9760000000000009</v>
      </c>
      <c r="H66" s="201">
        <f>IF(COUNT('Weekly Data'!W66:Z66)=0,"",IF(AVERAGE('Weekly Data'!W66:Z66)&lt;0.055,"&lt;0.1",AVERAGE('Weekly Data'!W66:Z66)))</f>
        <v>6.3100000000000005</v>
      </c>
      <c r="I66" s="201">
        <f>IF(COUNT('Weekly Data'!AA66:AD66)=0,"",IF(AVERAGE('Weekly Data'!AA66:AD66)&lt;0.055,"&lt;0.1",AVERAGE('Weekly Data'!AA66:AD66)))</f>
        <v>7.125</v>
      </c>
      <c r="J66" s="201">
        <f>IF(COUNT('Weekly Data'!AE66:AI66)=0,"",IF(AVERAGE('Weekly Data'!AE66:AI66)&lt;0.055,"&lt;0.1",AVERAGE('Weekly Data'!AE66:AI66)))</f>
        <v>9.1120000000000001</v>
      </c>
      <c r="K66" s="201">
        <f>IF(COUNT('Weekly Data'!AJ66:AM66)=0,"",IF(AVERAGE('Weekly Data'!AJ66:AM66)&lt;0.055,"&lt;0.1",AVERAGE('Weekly Data'!AJ66:AM66)))</f>
        <v>11.052499999999998</v>
      </c>
      <c r="L66" s="201">
        <f>IF(COUNT('Weekly Data'!AN66:AQ66)=0,"",IF(AVERAGE('Weekly Data'!AN66:AQ66)&lt;0.055,"&lt;0.1",AVERAGE('Weekly Data'!AN66:AQ66)))</f>
        <v>11.6175</v>
      </c>
      <c r="M66" s="201">
        <f>IF(COUNT('Weekly Data'!AR66:AV66)=0,"",IF(AVERAGE('Weekly Data'!AR66:AV66)&lt;0.055,"&lt;0.1",AVERAGE('Weekly Data'!AR66:AV66)))</f>
        <v>11.488</v>
      </c>
      <c r="N66" s="201">
        <f>IF(COUNT('Weekly Data'!AW66:AZ66)=0,"",IF(AVERAGE('Weekly Data'!AW66:AZ66)&lt;0.055,"&lt;0.1",AVERAGE('Weekly Data'!AW66:AZ66)))</f>
        <v>10.164999999999999</v>
      </c>
      <c r="O66" s="201">
        <f>IF(COUNT('Weekly Data'!BA66:BD66)=0,"",IF(AVERAGE('Weekly Data'!BA66:BD66)&lt;0.055,"&lt;0.1",AVERAGE('Weekly Data'!BA66:BD66)))</f>
        <v>10.86</v>
      </c>
      <c r="P66" s="201"/>
      <c r="Q66" s="201">
        <f>IF(COUNT('Weekly Data'!E66:BD66)=0,"",IF(AVERAGE('Weekly Data'!E66:BD66)&lt;0.055,"&lt;0.1",AVERAGE('Weekly Data'!E66:BD66)))</f>
        <v>9.3114583333333325</v>
      </c>
      <c r="R66" s="201">
        <f>IF(COUNT('Weekly Data'!E66:BD66)=0,"",IF(MIN('Weekly Data'!E66:BD66)&lt;0.055,"&lt;0.1",MIN('Weekly Data'!E66:BD66)))</f>
        <v>5.78</v>
      </c>
      <c r="S66" s="201">
        <f>IF(COUNT('Weekly Data'!E66:BD66)=0,"",IF(MAX('Weekly Data'!E66:BD66)&lt;0.055,"&lt;0.1",MAX('Weekly Data'!E66:BD66)))</f>
        <v>12.34</v>
      </c>
      <c r="T66" s="293"/>
      <c r="U66" s="335">
        <f>COUNT('Weekly Data'!E66:BC66)</f>
        <v>48</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row>
    <row r="67" spans="1:256">
      <c r="A67" s="1"/>
      <c r="B67" s="199" t="str">
        <f>'Weekly Data'!A67</f>
        <v>Sulphide</v>
      </c>
      <c r="C67" s="217" t="str">
        <f>'Weekly Data'!B67</f>
        <v>µg/L</v>
      </c>
      <c r="D67" s="217" t="str">
        <f>IF(COUNT('Weekly Data'!E67:I67)=0,"",IF(AVERAGE('Weekly Data'!E67:I67)&lt;74.5,"&lt;75",AVERAGE('Weekly Data'!E67:I67)))</f>
        <v>&lt;75</v>
      </c>
      <c r="E67" s="217" t="str">
        <f>IF(COUNT('Weekly Data'!J67:M67)=0,"",IF(AVERAGE('Weekly Data'!J67:M67)&lt;74.5,"&lt;75",AVERAGE('Weekly Data'!J67:M67)))</f>
        <v>&lt;75</v>
      </c>
      <c r="F67" s="217" t="str">
        <f>IF(COUNT('Weekly Data'!N67:Q67)=0,"",IF(AVERAGE('Weekly Data'!N67:Q67)&lt;74.5,"&lt;75",AVERAGE('Weekly Data'!N67:Q67)))</f>
        <v>&lt;75</v>
      </c>
      <c r="G67" s="217" t="str">
        <f>IF(COUNT('Weekly Data'!R67:V67)=0,"",IF(AVERAGE('Weekly Data'!R67:V67)&lt;74.5,"&lt;75",AVERAGE('Weekly Data'!R67:V67)))</f>
        <v>&lt;75</v>
      </c>
      <c r="H67" s="217" t="str">
        <f>IF(COUNT('Weekly Data'!W67:Z67)=0,"",IF(AVERAGE('Weekly Data'!W67:Z67)&lt;74.5,"&lt;75",AVERAGE('Weekly Data'!W67:Z67)))</f>
        <v>&lt;75</v>
      </c>
      <c r="I67" s="217" t="str">
        <f>IF(COUNT('Weekly Data'!AA67:AD67)=0,"",IF(AVERAGE('Weekly Data'!AA67:AD67)&lt;74.5,"&lt;75",AVERAGE('Weekly Data'!AA67:AD67)))</f>
        <v>&lt;75</v>
      </c>
      <c r="J67" s="217" t="str">
        <f>IF(COUNT('Weekly Data'!AE67:AI67)=0,"",IF(AVERAGE('Weekly Data'!AE67:AI67)&lt;74.5,"&lt;75",AVERAGE('Weekly Data'!AE67:AI67)))</f>
        <v>&lt;75</v>
      </c>
      <c r="K67" s="217" t="str">
        <f>IF(COUNT('Weekly Data'!AJ67:AM67)=0,"",IF(AVERAGE('Weekly Data'!AJ67:AM67)&lt;74.5,"&lt;75",AVERAGE('Weekly Data'!AJ67:AM67)))</f>
        <v>&lt;75</v>
      </c>
      <c r="L67" s="217" t="str">
        <f>IF(COUNT('Weekly Data'!AN67:AQ67)=0,"",IF(AVERAGE('Weekly Data'!AN67:AQ67)&lt;74.5,"&lt;75",AVERAGE('Weekly Data'!AN67:AQ67)))</f>
        <v>&lt;75</v>
      </c>
      <c r="M67" s="217" t="str">
        <f>IF(COUNT('Weekly Data'!AR67:AV67)=0,"",IF(AVERAGE('Weekly Data'!AR67:AV67)&lt;74.5,"&lt;75",AVERAGE('Weekly Data'!AR67:AV67)))</f>
        <v>&lt;75</v>
      </c>
      <c r="N67" s="217" t="str">
        <f>IF(COUNT('Weekly Data'!AW67:AZ67)=0,"",IF(AVERAGE('Weekly Data'!AW67:AZ67)&lt;74.5,"&lt;75",AVERAGE('Weekly Data'!AW67:AZ67)))</f>
        <v>&lt;75</v>
      </c>
      <c r="O67" s="217" t="str">
        <f>IF(COUNT('Weekly Data'!BA67:BD67)=0,"",IF(AVERAGE('Weekly Data'!BA67:BD67)&lt;74.5,"&lt;75",AVERAGE('Weekly Data'!BA67:BD67)))</f>
        <v>&lt;75</v>
      </c>
      <c r="P67" s="217"/>
      <c r="Q67" s="217" t="str">
        <f ca="1">IF(COUNT('Weekly Data'!E67:BD67)=0,"",IF(AVERAGE(D67:BC67)&lt;74.5,"&lt;75",AVERAGE(D67:BC67)))</f>
        <v>&lt;75</v>
      </c>
      <c r="R67" s="217" t="str">
        <f ca="1">IF(COUNT('Weekly Data'!E67:BD67)=0,"",IF(MIN(E67:BC67)&lt;74.5,"&lt;75",MIN(E67:BC67)))</f>
        <v>&lt;75</v>
      </c>
      <c r="S67" s="217" t="str">
        <f ca="1">IF(COUNT('Weekly Data'!E67:BD67)=0,"",IF(MAX(D67:BC67)&lt;74.5,"&lt;75",MAX(D67:BC67)))</f>
        <v>&lt;75</v>
      </c>
      <c r="T67" s="293"/>
      <c r="U67" s="335">
        <f>COUNT('Weekly Data'!E67:BC67)</f>
        <v>46</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row>
    <row r="68" spans="1:256">
      <c r="A68" s="1"/>
      <c r="B68" s="199"/>
      <c r="C68" s="217"/>
      <c r="D68" s="217"/>
      <c r="E68" s="217"/>
      <c r="F68" s="217"/>
      <c r="G68" s="217"/>
      <c r="H68" s="217"/>
      <c r="I68" s="217"/>
      <c r="J68" s="217"/>
      <c r="K68" s="217"/>
      <c r="L68" s="217"/>
      <c r="M68" s="217"/>
      <c r="N68" s="217"/>
      <c r="O68" s="217"/>
      <c r="P68" s="217"/>
      <c r="Q68" s="217"/>
      <c r="R68" s="217"/>
      <c r="S68" s="217"/>
      <c r="T68" s="293"/>
      <c r="U68" s="335"/>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row>
    <row r="69" spans="1:256">
      <c r="A69" s="1"/>
      <c r="B69" s="199" t="s">
        <v>338</v>
      </c>
      <c r="C69" s="217"/>
      <c r="D69" s="217"/>
      <c r="E69" s="217"/>
      <c r="F69" s="217"/>
      <c r="G69" s="217"/>
      <c r="H69" s="217"/>
      <c r="I69" s="217"/>
      <c r="J69" s="217"/>
      <c r="K69" s="217"/>
      <c r="L69" s="217"/>
      <c r="M69" s="217"/>
      <c r="N69" s="217"/>
      <c r="O69" s="217"/>
      <c r="P69" s="217"/>
      <c r="Q69" s="217"/>
      <c r="R69" s="217"/>
      <c r="S69" s="217"/>
      <c r="T69" s="293"/>
      <c r="U69" s="335"/>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row>
    <row r="70" spans="1:256">
      <c r="A70" s="1"/>
      <c r="B70" s="199"/>
      <c r="C70" s="217"/>
      <c r="D70" s="217"/>
      <c r="E70" s="217"/>
      <c r="F70" s="217"/>
      <c r="G70" s="217"/>
      <c r="H70" s="217"/>
      <c r="I70" s="217"/>
      <c r="J70" s="217"/>
      <c r="K70" s="217"/>
      <c r="L70" s="217"/>
      <c r="M70" s="217"/>
      <c r="N70" s="217"/>
      <c r="O70" s="217"/>
      <c r="P70" s="217"/>
      <c r="Q70" s="217"/>
      <c r="R70" s="217"/>
      <c r="S70" s="217"/>
      <c r="T70" s="293"/>
      <c r="U70" s="335"/>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row>
    <row r="71" spans="1:256">
      <c r="A71" s="1"/>
      <c r="B71" s="199"/>
      <c r="C71" s="200"/>
      <c r="D71" s="200"/>
      <c r="E71" s="200"/>
      <c r="F71" s="200"/>
      <c r="G71" s="200"/>
      <c r="H71" s="200"/>
      <c r="I71" s="224"/>
      <c r="J71" s="224"/>
      <c r="K71" s="224"/>
      <c r="L71" s="225"/>
      <c r="M71" s="224"/>
      <c r="N71" s="224"/>
      <c r="O71" s="224"/>
      <c r="P71" s="224"/>
      <c r="Q71" s="226"/>
      <c r="R71" s="226"/>
      <c r="S71" s="226"/>
      <c r="T71" s="293"/>
      <c r="U71" s="335"/>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row>
    <row r="72" spans="1:256" ht="23">
      <c r="A72" s="1"/>
      <c r="B72" s="227" t="str">
        <f>B3</f>
        <v>2001 - BUFFALO POUND WATER QUALITY DATA</v>
      </c>
      <c r="C72" s="228"/>
      <c r="D72" s="228"/>
      <c r="E72" s="228"/>
      <c r="F72" s="228"/>
      <c r="G72" s="228"/>
      <c r="H72" s="228"/>
      <c r="I72" s="229"/>
      <c r="J72" s="229"/>
      <c r="K72" s="229"/>
      <c r="L72" s="230"/>
      <c r="M72" s="229"/>
      <c r="N72" s="229"/>
      <c r="O72" s="229"/>
      <c r="P72" s="229"/>
      <c r="Q72" s="231"/>
      <c r="R72" s="231"/>
      <c r="S72" s="231"/>
      <c r="T72" s="293"/>
      <c r="U72" s="335"/>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row>
    <row r="73" spans="1:256" ht="24">
      <c r="A73" s="1"/>
      <c r="B73" s="202" t="s">
        <v>1</v>
      </c>
      <c r="C73" s="203"/>
      <c r="D73" s="203"/>
      <c r="E73" s="203"/>
      <c r="F73" s="203"/>
      <c r="G73" s="203"/>
      <c r="H73" s="203"/>
      <c r="I73" s="229"/>
      <c r="J73" s="229"/>
      <c r="K73" s="229"/>
      <c r="L73" s="230"/>
      <c r="M73" s="229"/>
      <c r="N73" s="229"/>
      <c r="O73" s="229"/>
      <c r="P73" s="229"/>
      <c r="Q73" s="231"/>
      <c r="R73" s="231"/>
      <c r="S73" s="231"/>
      <c r="T73" s="293"/>
      <c r="U73" s="335"/>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row>
    <row r="74" spans="1:256" ht="18">
      <c r="A74" s="1"/>
      <c r="B74" s="206" t="s">
        <v>339</v>
      </c>
      <c r="C74" s="203"/>
      <c r="D74" s="203"/>
      <c r="E74" s="203"/>
      <c r="F74" s="203"/>
      <c r="G74" s="203"/>
      <c r="H74" s="203"/>
      <c r="I74" s="229"/>
      <c r="J74" s="229"/>
      <c r="K74" s="229"/>
      <c r="L74" s="230"/>
      <c r="M74" s="229"/>
      <c r="N74" s="229"/>
      <c r="O74" s="229"/>
      <c r="P74" s="229"/>
      <c r="Q74" s="231"/>
      <c r="R74" s="231"/>
      <c r="S74" s="231"/>
      <c r="T74" s="293"/>
      <c r="U74" s="335"/>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row>
    <row r="75" spans="1:256" ht="18">
      <c r="A75" s="1"/>
      <c r="B75" s="206"/>
      <c r="C75" s="203"/>
      <c r="D75" s="203"/>
      <c r="E75" s="203"/>
      <c r="F75" s="203"/>
      <c r="G75" s="203"/>
      <c r="H75" s="203"/>
      <c r="I75" s="229"/>
      <c r="J75" s="229"/>
      <c r="K75" s="229"/>
      <c r="L75" s="230"/>
      <c r="M75" s="229"/>
      <c r="N75" s="229"/>
      <c r="O75" s="229"/>
      <c r="P75" s="229"/>
      <c r="Q75" s="231"/>
      <c r="R75" s="231"/>
      <c r="S75" s="231"/>
      <c r="T75" s="293"/>
      <c r="U75" s="335"/>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row>
    <row r="76" spans="1:256" ht="60" customHeight="1">
      <c r="A76" s="1"/>
      <c r="B76" s="206"/>
      <c r="C76" s="203"/>
      <c r="D76" s="203"/>
      <c r="E76" s="203"/>
      <c r="F76" s="203"/>
      <c r="G76" s="203"/>
      <c r="H76" s="203"/>
      <c r="I76" s="200"/>
      <c r="J76" s="200"/>
      <c r="K76" s="200"/>
      <c r="L76" s="217"/>
      <c r="M76" s="200"/>
      <c r="N76" s="200"/>
      <c r="O76" s="200"/>
      <c r="P76" s="200"/>
      <c r="Q76" s="201"/>
      <c r="R76" s="201"/>
      <c r="S76" s="201"/>
      <c r="T76" s="293"/>
      <c r="U76" s="335"/>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row>
    <row r="77" spans="1:256" ht="30" customHeight="1">
      <c r="A77" s="1"/>
      <c r="B77" s="208" t="s">
        <v>3</v>
      </c>
      <c r="C77" s="209" t="s">
        <v>4</v>
      </c>
      <c r="D77" s="210" t="s">
        <v>322</v>
      </c>
      <c r="E77" s="210" t="s">
        <v>323</v>
      </c>
      <c r="F77" s="210" t="s">
        <v>324</v>
      </c>
      <c r="G77" s="210" t="s">
        <v>325</v>
      </c>
      <c r="H77" s="210" t="s">
        <v>326</v>
      </c>
      <c r="I77" s="210" t="s">
        <v>327</v>
      </c>
      <c r="J77" s="210" t="s">
        <v>328</v>
      </c>
      <c r="K77" s="210" t="s">
        <v>329</v>
      </c>
      <c r="L77" s="210" t="s">
        <v>330</v>
      </c>
      <c r="M77" s="210" t="s">
        <v>331</v>
      </c>
      <c r="N77" s="210" t="s">
        <v>332</v>
      </c>
      <c r="O77" s="210" t="s">
        <v>333</v>
      </c>
      <c r="P77" s="210"/>
      <c r="Q77" s="211" t="s">
        <v>334</v>
      </c>
      <c r="R77" s="211" t="s">
        <v>335</v>
      </c>
      <c r="S77" s="211" t="s">
        <v>336</v>
      </c>
      <c r="T77" s="293"/>
      <c r="U77" s="335"/>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row>
    <row r="78" spans="1:256">
      <c r="A78" s="1"/>
      <c r="B78" s="232"/>
      <c r="C78" s="233"/>
      <c r="D78" s="210"/>
      <c r="E78" s="210"/>
      <c r="F78" s="210"/>
      <c r="G78" s="210"/>
      <c r="H78" s="210"/>
      <c r="I78" s="210"/>
      <c r="J78" s="210"/>
      <c r="K78" s="210"/>
      <c r="L78" s="210"/>
      <c r="M78" s="210"/>
      <c r="N78" s="210"/>
      <c r="O78" s="210"/>
      <c r="P78" s="210"/>
      <c r="Q78" s="211"/>
      <c r="R78" s="211"/>
      <c r="S78" s="211"/>
      <c r="T78" s="293"/>
      <c r="U78" s="335"/>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row>
    <row r="79" spans="1:256">
      <c r="A79" s="1"/>
      <c r="B79" s="207" t="s">
        <v>48</v>
      </c>
      <c r="C79" s="234"/>
      <c r="D79" s="235"/>
      <c r="E79" s="235"/>
      <c r="F79" s="235"/>
      <c r="G79" s="235"/>
      <c r="H79" s="235"/>
      <c r="I79" s="235"/>
      <c r="J79" s="235"/>
      <c r="K79" s="235"/>
      <c r="L79" s="235"/>
      <c r="M79" s="235"/>
      <c r="N79" s="235"/>
      <c r="O79" s="235"/>
      <c r="P79" s="235"/>
      <c r="Q79" s="236"/>
      <c r="R79" s="236"/>
      <c r="S79" s="236"/>
      <c r="T79" s="293"/>
      <c r="U79" s="335"/>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pans="1:256">
      <c r="A80" s="1"/>
      <c r="B80" s="207"/>
      <c r="C80" s="234"/>
      <c r="D80" s="235"/>
      <c r="E80" s="235"/>
      <c r="F80" s="235"/>
      <c r="G80" s="235"/>
      <c r="H80" s="235"/>
      <c r="I80" s="235"/>
      <c r="J80" s="235"/>
      <c r="K80" s="235"/>
      <c r="L80" s="235"/>
      <c r="M80" s="235"/>
      <c r="N80" s="235"/>
      <c r="O80" s="235"/>
      <c r="P80" s="235"/>
      <c r="Q80" s="236"/>
      <c r="R80" s="236"/>
      <c r="S80" s="236"/>
      <c r="T80" s="293"/>
      <c r="U80" s="335"/>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spans="1:256">
      <c r="A81" s="1"/>
      <c r="B81" s="207" t="str">
        <f>'Weekly Data'!A81</f>
        <v>PreFM</v>
      </c>
      <c r="C81" s="217"/>
      <c r="D81" s="200"/>
      <c r="E81" s="200"/>
      <c r="F81" s="200"/>
      <c r="G81" s="200"/>
      <c r="H81" s="200"/>
      <c r="I81" s="200"/>
      <c r="J81" s="200"/>
      <c r="K81" s="200"/>
      <c r="L81" s="200"/>
      <c r="M81" s="200"/>
      <c r="N81" s="200"/>
      <c r="O81" s="200"/>
      <c r="P81" s="200"/>
      <c r="Q81" s="200"/>
      <c r="R81" s="200"/>
      <c r="S81" s="200"/>
      <c r="T81" s="293"/>
      <c r="U81" s="220"/>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spans="1:256">
      <c r="A82" s="1"/>
      <c r="B82" s="199" t="str">
        <f>'Weekly Data'!A82</f>
        <v>TTHM's (total)</v>
      </c>
      <c r="C82" s="217" t="str">
        <f>'Weekly Data'!B82</f>
        <v>µg/L(calc)</v>
      </c>
      <c r="D82" s="217">
        <f>IF(COUNT('Weekly Data'!E82:I82)=0,"",IF(AVERAGE('Weekly Data'!E82:I82)&lt;0.55,"&lt;1",AVERAGE('Weekly Data'!E82:I82)))</f>
        <v>23.2</v>
      </c>
      <c r="E82" s="217">
        <f>IF(COUNT('Weekly Data'!J82:M82)=0,"",IF(AVERAGE('Weekly Data'!J82:M82)&lt;0.55,"&lt;1",AVERAGE('Weekly Data'!J82:M82)))</f>
        <v>21</v>
      </c>
      <c r="F82" s="217">
        <f>IF(COUNT('Weekly Data'!N82:Q82)=0,"",IF(AVERAGE('Weekly Data'!N82:Q82)&lt;0.55,"&lt;1",AVERAGE('Weekly Data'!N82:Q82)))</f>
        <v>23</v>
      </c>
      <c r="G82" s="217">
        <f>IF(COUNT('Weekly Data'!R82:V82)=0,"",IF(AVERAGE('Weekly Data'!R82:V82)&lt;0.55,"&lt;1",AVERAGE('Weekly Data'!R82:V82)))</f>
        <v>30.5</v>
      </c>
      <c r="H82" s="217">
        <f>IF(COUNT('Weekly Data'!W82:Z82)=0,"",IF(AVERAGE('Weekly Data'!W82:Z82)&lt;0.55,"&lt;1",AVERAGE('Weekly Data'!W82:Z82)))</f>
        <v>33.75</v>
      </c>
      <c r="I82" s="217">
        <f>IF(COUNT('Weekly Data'!AA82:AD82)=0,"",IF(AVERAGE('Weekly Data'!AA82:AD82)&lt;0.55,"&lt;1",AVERAGE('Weekly Data'!AA82:AD82)))</f>
        <v>37.5</v>
      </c>
      <c r="J82" s="217">
        <f>IF(COUNT('Weekly Data'!AE82:AI82)=0,"",IF(AVERAGE('Weekly Data'!AE82:AI82)&lt;0.55,"&lt;1",AVERAGE('Weekly Data'!AE82:AI82)))</f>
        <v>47.6</v>
      </c>
      <c r="K82" s="217">
        <f>IF(COUNT('Weekly Data'!AJ82:AM82)=0,"",IF(AVERAGE('Weekly Data'!AJ82:AM82)&lt;0.55,"&lt;1",AVERAGE('Weekly Data'!AJ82:AM82)))</f>
        <v>46.25</v>
      </c>
      <c r="L82" s="217">
        <f>IF(COUNT('Weekly Data'!AN82:AQ82)=0,"",IF(AVERAGE('Weekly Data'!AN82:AQ82)&lt;0.55,"&lt;1",AVERAGE('Weekly Data'!AN82:AQ82)))</f>
        <v>37.75</v>
      </c>
      <c r="M82" s="217">
        <f>IF(COUNT('Weekly Data'!AR82:AV82)=0,"",IF(AVERAGE('Weekly Data'!AR82:AV82)&lt;0.55,"&lt;1",AVERAGE('Weekly Data'!AR82:AV82)))</f>
        <v>29.8</v>
      </c>
      <c r="N82" s="217">
        <f>IF(COUNT('Weekly Data'!AW82:AZ82)=0,"",IF(AVERAGE('Weekly Data'!AW82:AZ82)&lt;0.55,"&lt;1",AVERAGE('Weekly Data'!AW82:AZ82)))</f>
        <v>21.25</v>
      </c>
      <c r="O82" s="217">
        <f>IF(COUNT('Weekly Data'!BA82:BD82)=0,"",IF(AVERAGE('Weekly Data'!BA82:BD82)&lt;0.55,"&lt;1",AVERAGE('Weekly Data'!BA82:BD82)))</f>
        <v>24</v>
      </c>
      <c r="P82" s="217"/>
      <c r="Q82" s="217">
        <f>IF(COUNT('Weekly Data'!E82:BD82)=0,"",IF(AVERAGE('Weekly Data'!E82:BD82)&lt;0.55,"&lt;1",AVERAGE('Weekly Data'!E82:BD82)))</f>
        <v>31.64</v>
      </c>
      <c r="R82" s="217">
        <f>IF(COUNT('Weekly Data'!E82:BD82)=0,"",IF(MIN('Weekly Data'!E82:BD82)&lt;0.55,"&lt;1",MIN('Weekly Data'!E82:BD82)))</f>
        <v>18</v>
      </c>
      <c r="S82" s="217">
        <f>IF(COUNT('Weekly Data'!E82:BD82)=0,"",IF(MAX('Weekly Data'!E82:BD82)&lt;0.55,"&lt;1",MAX('Weekly Data'!E82:BD82)))</f>
        <v>52</v>
      </c>
      <c r="T82" s="293"/>
      <c r="U82" s="335"/>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row>
    <row r="83" spans="1:256">
      <c r="A83" s="1"/>
      <c r="B83" s="199" t="str">
        <f>'Weekly Data'!A83</f>
        <v>Chloroform</v>
      </c>
      <c r="C83" s="217" t="str">
        <f>'Weekly Data'!B83</f>
        <v>µg/L</v>
      </c>
      <c r="D83" s="217">
        <f>IF(COUNT('Weekly Data'!E83:I83)=0,"",IF(AVERAGE('Weekly Data'!E83:I83)&lt;0.55,"&lt;1",AVERAGE('Weekly Data'!E83:I83)))</f>
        <v>15.4</v>
      </c>
      <c r="E83" s="217">
        <f>IF(COUNT('Weekly Data'!J83:M83)=0,"",IF(AVERAGE('Weekly Data'!J83:M83)&lt;0.55,"&lt;1",AVERAGE('Weekly Data'!J83:M83)))</f>
        <v>14</v>
      </c>
      <c r="F83" s="217">
        <f>IF(COUNT('Weekly Data'!N83:Q83)=0,"",IF(AVERAGE('Weekly Data'!N83:Q83)&lt;0.55,"&lt;1",AVERAGE('Weekly Data'!N83:Q83)))</f>
        <v>15.5</v>
      </c>
      <c r="G83" s="217">
        <f>IF(COUNT('Weekly Data'!R83:V83)=0,"",IF(AVERAGE('Weekly Data'!R83:V83)&lt;0.55,"&lt;1",AVERAGE('Weekly Data'!R83:V83)))</f>
        <v>21.25</v>
      </c>
      <c r="H83" s="217">
        <f>IF(COUNT('Weekly Data'!W83:Z83)=0,"",IF(AVERAGE('Weekly Data'!W83:Z83)&lt;0.55,"&lt;1",AVERAGE('Weekly Data'!W83:Z83)))</f>
        <v>22.75</v>
      </c>
      <c r="I83" s="217">
        <f>IF(COUNT('Weekly Data'!AA83:AD83)=0,"",IF(AVERAGE('Weekly Data'!AA83:AD83)&lt;0.55,"&lt;1",AVERAGE('Weekly Data'!AA83:AD83)))</f>
        <v>24.25</v>
      </c>
      <c r="J83" s="217">
        <f>IF(COUNT('Weekly Data'!AE83:AI83)=0,"",IF(AVERAGE('Weekly Data'!AE83:AI83)&lt;0.55,"&lt;1",AVERAGE('Weekly Data'!AE83:AI83)))</f>
        <v>31.8</v>
      </c>
      <c r="K83" s="217">
        <f>IF(COUNT('Weekly Data'!AJ83:AM83)=0,"",IF(AVERAGE('Weekly Data'!AJ83:AM83)&lt;0.55,"&lt;1",AVERAGE('Weekly Data'!AJ83:AM83)))</f>
        <v>32.75</v>
      </c>
      <c r="L83" s="217">
        <f>IF(COUNT('Weekly Data'!AN83:AQ83)=0,"",IF(AVERAGE('Weekly Data'!AN83:AQ83)&lt;0.55,"&lt;1",AVERAGE('Weekly Data'!AN83:AQ83)))</f>
        <v>27.25</v>
      </c>
      <c r="M83" s="217">
        <f>IF(COUNT('Weekly Data'!AR83:AV83)=0,"",IF(AVERAGE('Weekly Data'!AR83:AV83)&lt;0.55,"&lt;1",AVERAGE('Weekly Data'!AR83:AV83)))</f>
        <v>21.6</v>
      </c>
      <c r="N83" s="217">
        <f>IF(COUNT('Weekly Data'!AW83:AZ83)=0,"",IF(AVERAGE('Weekly Data'!AW83:AZ83)&lt;0.55,"&lt;1",AVERAGE('Weekly Data'!AW83:AZ83)))</f>
        <v>14.5</v>
      </c>
      <c r="O83" s="217">
        <f>IF(COUNT('Weekly Data'!BA83:BD83)=0,"",IF(AVERAGE('Weekly Data'!BA83:BD83)&lt;0.55,"&lt;1",AVERAGE('Weekly Data'!BA83:BD83)))</f>
        <v>16.25</v>
      </c>
      <c r="P83" s="217"/>
      <c r="Q83" s="217">
        <f>IF(COUNT('Weekly Data'!E83:BD83)=0,"",IF(AVERAGE('Weekly Data'!E83:BD83)&lt;0.55,"&lt;1",AVERAGE('Weekly Data'!E83:BD83)))</f>
        <v>21.68</v>
      </c>
      <c r="R83" s="217">
        <f>IF(COUNT('Weekly Data'!E83:BD83)=0,"",IF(MIN('Weekly Data'!E83:BD83)&lt;0.55,"&lt;1",MIN('Weekly Data'!E83:BD83)))</f>
        <v>12</v>
      </c>
      <c r="S83" s="217">
        <f>IF(COUNT('Weekly Data'!E83:BD83)=0,"",IF(MAX('Weekly Data'!E83:BD83)&lt;0.55,"&lt;1",MAX('Weekly Data'!E83:BD83)))</f>
        <v>37</v>
      </c>
      <c r="T83" s="293"/>
      <c r="U83" s="335">
        <f>COUNT('Weekly Data'!E83:BC83)</f>
        <v>49</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spans="1:256">
      <c r="A84" s="1"/>
      <c r="B84" s="199" t="str">
        <f>'Weekly Data'!A84</f>
        <v>Bromodichloromethane</v>
      </c>
      <c r="C84" s="217" t="str">
        <f>'Weekly Data'!B84</f>
        <v>µg/L</v>
      </c>
      <c r="D84" s="217">
        <f>IF(COUNT('Weekly Data'!E84:I84)=0,"",IF(AVERAGE('Weekly Data'!E84:I84)&lt;0.55,"&lt;1",AVERAGE('Weekly Data'!E84:I84)))</f>
        <v>6.6</v>
      </c>
      <c r="E84" s="217">
        <f>IF(COUNT('Weekly Data'!J84:M84)=0,"",IF(AVERAGE('Weekly Data'!J84:M84)&lt;0.55,"&lt;1",AVERAGE('Weekly Data'!J84:M84)))</f>
        <v>6</v>
      </c>
      <c r="F84" s="217">
        <f>IF(COUNT('Weekly Data'!N84:Q84)=0,"",IF(AVERAGE('Weekly Data'!N84:Q84)&lt;0.55,"&lt;1",AVERAGE('Weekly Data'!N84:Q84)))</f>
        <v>6.25</v>
      </c>
      <c r="G84" s="217">
        <f>IF(COUNT('Weekly Data'!R84:V84)=0,"",IF(AVERAGE('Weekly Data'!R84:V84)&lt;0.55,"&lt;1",AVERAGE('Weekly Data'!R84:V84)))</f>
        <v>7.75</v>
      </c>
      <c r="H84" s="217">
        <f>IF(COUNT('Weekly Data'!W84:Z84)=0,"",IF(AVERAGE('Weekly Data'!W84:Z84)&lt;0.55,"&lt;1",AVERAGE('Weekly Data'!W84:Z84)))</f>
        <v>9</v>
      </c>
      <c r="I84" s="217">
        <f>IF(COUNT('Weekly Data'!AA84:AD84)=0,"",IF(AVERAGE('Weekly Data'!AA84:AD84)&lt;0.55,"&lt;1",AVERAGE('Weekly Data'!AA84:AD84)))</f>
        <v>10.75</v>
      </c>
      <c r="J84" s="217">
        <f>IF(COUNT('Weekly Data'!AE84:AI84)=0,"",IF(AVERAGE('Weekly Data'!AE84:AI84)&lt;0.55,"&lt;1",AVERAGE('Weekly Data'!AE84:AI84)))</f>
        <v>12.6</v>
      </c>
      <c r="K84" s="217">
        <f>IF(COUNT('Weekly Data'!AJ84:AM84)=0,"",IF(AVERAGE('Weekly Data'!AJ84:AM84)&lt;0.55,"&lt;1",AVERAGE('Weekly Data'!AJ84:AM84)))</f>
        <v>11.5</v>
      </c>
      <c r="L84" s="217">
        <f>IF(COUNT('Weekly Data'!AN84:AQ84)=0,"",IF(AVERAGE('Weekly Data'!AN84:AQ84)&lt;0.55,"&lt;1",AVERAGE('Weekly Data'!AN84:AQ84)))</f>
        <v>8.75</v>
      </c>
      <c r="M84" s="217">
        <f>IF(COUNT('Weekly Data'!AR84:AV84)=0,"",IF(AVERAGE('Weekly Data'!AR84:AV84)&lt;0.55,"&lt;1",AVERAGE('Weekly Data'!AR84:AV84)))</f>
        <v>7</v>
      </c>
      <c r="N84" s="217">
        <f>IF(COUNT('Weekly Data'!AW84:AZ84)=0,"",IF(AVERAGE('Weekly Data'!AW84:AZ84)&lt;0.55,"&lt;1",AVERAGE('Weekly Data'!AW84:AZ84)))</f>
        <v>5.5</v>
      </c>
      <c r="O84" s="217">
        <f>IF(COUNT('Weekly Data'!BA84:BD84)=0,"",IF(AVERAGE('Weekly Data'!BA84:BD84)&lt;0.55,"&lt;1",AVERAGE('Weekly Data'!BA84:BD84)))</f>
        <v>6</v>
      </c>
      <c r="P84" s="217"/>
      <c r="Q84" s="217">
        <f>IF(COUNT('Weekly Data'!E84:BD84)=0,"",IF(AVERAGE('Weekly Data'!E84:BD84)&lt;0.55,"&lt;1",AVERAGE('Weekly Data'!E84:BD84)))</f>
        <v>8.2200000000000006</v>
      </c>
      <c r="R84" s="217">
        <f>IF(COUNT('Weekly Data'!E84:BD84)=0,"",IF(MIN('Weekly Data'!E84:BD84)&lt;0.55,"&lt;1",MIN('Weekly Data'!E84:BD84)))</f>
        <v>5</v>
      </c>
      <c r="S84" s="217">
        <f>IF(COUNT('Weekly Data'!E84:BD84)=0,"",IF(MAX('Weekly Data'!E84:BD84)&lt;0.55,"&lt;1",MAX('Weekly Data'!E84:BD84)))</f>
        <v>14</v>
      </c>
      <c r="T84" s="293"/>
      <c r="U84" s="335">
        <f>COUNT('Weekly Data'!E84:BC84)</f>
        <v>49</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row>
    <row r="85" spans="1:256">
      <c r="A85" s="1"/>
      <c r="B85" s="199" t="str">
        <f>'Weekly Data'!A85</f>
        <v>Chlorodibromomethane</v>
      </c>
      <c r="C85" s="217" t="str">
        <f>'Weekly Data'!B85</f>
        <v>µg/L</v>
      </c>
      <c r="D85" s="217">
        <f>IF(COUNT('Weekly Data'!E85:I85)=0,"",IF(AVERAGE('Weekly Data'!E85:I85)&lt;0.55,"&lt;1",AVERAGE('Weekly Data'!E85:I85)))</f>
        <v>1.2</v>
      </c>
      <c r="E85" s="217">
        <f>IF(COUNT('Weekly Data'!J85:M85)=0,"",IF(AVERAGE('Weekly Data'!J85:M85)&lt;0.55,"&lt;1",AVERAGE('Weekly Data'!J85:M85)))</f>
        <v>1</v>
      </c>
      <c r="F85" s="217">
        <f>IF(COUNT('Weekly Data'!N85:Q85)=0,"",IF(AVERAGE('Weekly Data'!N85:Q85)&lt;0.55,"&lt;1",AVERAGE('Weekly Data'!N85:Q85)))</f>
        <v>1.25</v>
      </c>
      <c r="G85" s="217">
        <f>IF(COUNT('Weekly Data'!R85:V85)=0,"",IF(AVERAGE('Weekly Data'!R85:V85)&lt;0.55,"&lt;1",AVERAGE('Weekly Data'!R85:V85)))</f>
        <v>1.5</v>
      </c>
      <c r="H85" s="217">
        <f>IF(COUNT('Weekly Data'!W85:Z85)=0,"",IF(AVERAGE('Weekly Data'!W85:Z85)&lt;0.55,"&lt;1",AVERAGE('Weekly Data'!W85:Z85)))</f>
        <v>2</v>
      </c>
      <c r="I85" s="217">
        <f>IF(COUNT('Weekly Data'!AA85:AD85)=0,"",IF(AVERAGE('Weekly Data'!AA85:AD85)&lt;0.55,"&lt;1",AVERAGE('Weekly Data'!AA85:AD85)))</f>
        <v>2.5</v>
      </c>
      <c r="J85" s="217">
        <f>IF(COUNT('Weekly Data'!AE85:AI85)=0,"",IF(AVERAGE('Weekly Data'!AE85:AI85)&lt;0.55,"&lt;1",AVERAGE('Weekly Data'!AE85:AI85)))</f>
        <v>3</v>
      </c>
      <c r="K85" s="217">
        <f>IF(COUNT('Weekly Data'!AJ85:AM85)=0,"",IF(AVERAGE('Weekly Data'!AJ85:AM85)&lt;0.55,"&lt;1",AVERAGE('Weekly Data'!AJ85:AM85)))</f>
        <v>2</v>
      </c>
      <c r="L85" s="217">
        <f>IF(COUNT('Weekly Data'!AN85:AQ85)=0,"",IF(AVERAGE('Weekly Data'!AN85:AQ85)&lt;0.55,"&lt;1",AVERAGE('Weekly Data'!AN85:AQ85)))</f>
        <v>1.75</v>
      </c>
      <c r="M85" s="217">
        <f>IF(COUNT('Weekly Data'!AR85:AV85)=0,"",IF(AVERAGE('Weekly Data'!AR85:AV85)&lt;0.55,"&lt;1",AVERAGE('Weekly Data'!AR85:AV85)))</f>
        <v>1.2</v>
      </c>
      <c r="N85" s="217">
        <f>IF(COUNT('Weekly Data'!AW85:AZ85)=0,"",IF(AVERAGE('Weekly Data'!AW85:AZ85)&lt;0.55,"&lt;1",AVERAGE('Weekly Data'!AW85:AZ85)))</f>
        <v>1.25</v>
      </c>
      <c r="O85" s="217">
        <f>IF(COUNT('Weekly Data'!BA85:BD85)=0,"",IF(AVERAGE('Weekly Data'!BA85:BD85)&lt;0.55,"&lt;1",AVERAGE('Weekly Data'!BA85:BD85)))</f>
        <v>1.75</v>
      </c>
      <c r="P85" s="217"/>
      <c r="Q85" s="217">
        <f>IF(COUNT('Weekly Data'!E85:BD85)=0,"",IF(AVERAGE('Weekly Data'!E85:BD85)&lt;0.55,"&lt;1",AVERAGE('Weekly Data'!E85:BD85)))</f>
        <v>1.72</v>
      </c>
      <c r="R85" s="217">
        <f>IF(COUNT('Weekly Data'!E85:BD85)=0,"",IF(MIN('Weekly Data'!E85:BD85)&lt;0.55,"&lt;1",MIN('Weekly Data'!E85:BD85)))</f>
        <v>1</v>
      </c>
      <c r="S85" s="217">
        <f>IF(COUNT('Weekly Data'!E85:BD85)=0,"",IF(MAX('Weekly Data'!E85:BD85)&lt;0.55,"&lt;1",MAX('Weekly Data'!E85:BD85)))</f>
        <v>4</v>
      </c>
      <c r="T85" s="293"/>
      <c r="U85" s="335">
        <f>COUNT('Weekly Data'!E85:BC85)</f>
        <v>49</v>
      </c>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row>
    <row r="86" spans="1:256">
      <c r="A86" s="1"/>
      <c r="B86" s="199" t="str">
        <f>'Weekly Data'!A86</f>
        <v>Bromoform</v>
      </c>
      <c r="C86" s="217" t="str">
        <f>'Weekly Data'!B86</f>
        <v>µg/L</v>
      </c>
      <c r="D86" s="217" t="str">
        <f>IF(COUNT('Weekly Data'!E86:I86)=0,"",IF(AVERAGE('Weekly Data'!E86:I86)&lt;0.55,"&lt;1",AVERAGE('Weekly Data'!E86:I86)))</f>
        <v>&lt;1</v>
      </c>
      <c r="E86" s="217" t="str">
        <f>IF(COUNT('Weekly Data'!J86:M86)=0,"",IF(AVERAGE('Weekly Data'!J86:M86)&lt;0.55,"&lt;1",AVERAGE('Weekly Data'!J86:M86)))</f>
        <v>&lt;1</v>
      </c>
      <c r="F86" s="217" t="str">
        <f>IF(COUNT('Weekly Data'!N86:Q86)=0,"",IF(AVERAGE('Weekly Data'!N86:Q86)&lt;0.55,"&lt;1",AVERAGE('Weekly Data'!N86:Q86)))</f>
        <v>&lt;1</v>
      </c>
      <c r="G86" s="217" t="str">
        <f>IF(COUNT('Weekly Data'!R86:V86)=0,"",IF(AVERAGE('Weekly Data'!R86:V86)&lt;0.55,"&lt;1",AVERAGE('Weekly Data'!R86:V86)))</f>
        <v>&lt;1</v>
      </c>
      <c r="H86" s="217" t="str">
        <f>IF(COUNT('Weekly Data'!W86:Z86)=0,"",IF(AVERAGE('Weekly Data'!W86:Z86)&lt;0.55,"&lt;1",AVERAGE('Weekly Data'!W86:Z86)))</f>
        <v>&lt;1</v>
      </c>
      <c r="I86" s="217" t="str">
        <f>IF(COUNT('Weekly Data'!AA86:AD86)=0,"",IF(AVERAGE('Weekly Data'!AA86:AD86)&lt;0.55,"&lt;1",AVERAGE('Weekly Data'!AA86:AD86)))</f>
        <v>&lt;1</v>
      </c>
      <c r="J86" s="217" t="str">
        <f>IF(COUNT('Weekly Data'!AE86:AI86)=0,"",IF(AVERAGE('Weekly Data'!AE86:AI86)&lt;0.55,"&lt;1",AVERAGE('Weekly Data'!AE86:AI86)))</f>
        <v>&lt;1</v>
      </c>
      <c r="K86" s="217" t="str">
        <f>IF(COUNT('Weekly Data'!AJ86:AM86)=0,"",IF(AVERAGE('Weekly Data'!AJ86:AM86)&lt;0.55,"&lt;1",AVERAGE('Weekly Data'!AJ86:AM86)))</f>
        <v>&lt;1</v>
      </c>
      <c r="L86" s="217" t="str">
        <f>IF(COUNT('Weekly Data'!AN86:AQ86)=0,"",IF(AVERAGE('Weekly Data'!AN86:AQ86)&lt;0.55,"&lt;1",AVERAGE('Weekly Data'!AN86:AQ86)))</f>
        <v>&lt;1</v>
      </c>
      <c r="M86" s="217" t="str">
        <f>IF(COUNT('Weekly Data'!AR86:AV86)=0,"",IF(AVERAGE('Weekly Data'!AR86:AV86)&lt;0.55,"&lt;1",AVERAGE('Weekly Data'!AR86:AV86)))</f>
        <v>&lt;1</v>
      </c>
      <c r="N86" s="217" t="str">
        <f>IF(COUNT('Weekly Data'!AW86:AZ86)=0,"",IF(AVERAGE('Weekly Data'!AW86:AZ86)&lt;0.55,"&lt;1",AVERAGE('Weekly Data'!AW86:AZ86)))</f>
        <v>&lt;1</v>
      </c>
      <c r="O86" s="217" t="str">
        <f>IF(COUNT('Weekly Data'!BA86:BD86)=0,"",IF(AVERAGE('Weekly Data'!BA86:BD86)&lt;0.55,"&lt;1",AVERAGE('Weekly Data'!BA86:BD86)))</f>
        <v>&lt;1</v>
      </c>
      <c r="P86" s="217"/>
      <c r="Q86" s="217" t="str">
        <f>IF(COUNT('Weekly Data'!E86:BD86)=0,"",IF(AVERAGE('Weekly Data'!E86:BD86)&lt;0.55,"&lt;1",AVERAGE('Weekly Data'!E86:BD86)))</f>
        <v>&lt;1</v>
      </c>
      <c r="R86" s="217" t="str">
        <f>IF(COUNT('Weekly Data'!E86:BD86)=0,"",IF(MIN('Weekly Data'!E86:BD86)&lt;0.55,"&lt;1",MIN('Weekly Data'!E86:BD86)))</f>
        <v>&lt;1</v>
      </c>
      <c r="S86" s="217">
        <f>IF(COUNT('Weekly Data'!E86:BD86)=0,"",IF(MAX('Weekly Data'!E86:BD86)&lt;0.55,"&lt;1",MAX('Weekly Data'!E86:BD86)))</f>
        <v>1</v>
      </c>
      <c r="T86" s="293"/>
      <c r="U86" s="335">
        <f>COUNT('Weekly Data'!E86:BC86)</f>
        <v>49</v>
      </c>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row>
    <row r="87" spans="1:256">
      <c r="A87" s="1"/>
      <c r="B87" s="199"/>
      <c r="C87" s="217"/>
      <c r="D87" s="200"/>
      <c r="E87" s="200"/>
      <c r="F87" s="200"/>
      <c r="G87" s="200"/>
      <c r="H87" s="200"/>
      <c r="I87" s="200"/>
      <c r="J87" s="200"/>
      <c r="K87" s="200"/>
      <c r="L87" s="200"/>
      <c r="M87" s="200"/>
      <c r="N87" s="200"/>
      <c r="O87" s="200"/>
      <c r="P87" s="200"/>
      <c r="Q87" s="200"/>
      <c r="R87" s="200"/>
      <c r="S87" s="200"/>
      <c r="T87" s="293"/>
      <c r="U87" s="310"/>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row>
    <row r="88" spans="1:256">
      <c r="A88" s="1"/>
      <c r="B88" s="199"/>
      <c r="C88" s="217"/>
      <c r="D88" s="200"/>
      <c r="E88" s="200"/>
      <c r="F88" s="200"/>
      <c r="G88" s="200"/>
      <c r="H88" s="200"/>
      <c r="I88" s="200"/>
      <c r="J88" s="200"/>
      <c r="K88" s="200"/>
      <c r="L88" s="200"/>
      <c r="M88" s="200"/>
      <c r="N88" s="200"/>
      <c r="O88" s="200"/>
      <c r="P88" s="200"/>
      <c r="Q88" s="200"/>
      <c r="R88" s="200"/>
      <c r="S88" s="200"/>
      <c r="T88" s="293"/>
      <c r="U88" s="310"/>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row>
    <row r="89" spans="1:256">
      <c r="A89" s="1"/>
      <c r="B89" s="207" t="str">
        <f>'Weekly Data'!A88</f>
        <v>BIOLOGICAL</v>
      </c>
      <c r="C89" s="217"/>
      <c r="D89" s="219"/>
      <c r="E89" s="200"/>
      <c r="F89" s="200"/>
      <c r="G89" s="200"/>
      <c r="H89" s="217"/>
      <c r="I89" s="200"/>
      <c r="J89" s="200"/>
      <c r="K89" s="200"/>
      <c r="L89" s="217"/>
      <c r="M89" s="200"/>
      <c r="N89" s="200"/>
      <c r="O89" s="200"/>
      <c r="P89" s="200"/>
      <c r="Q89" s="201"/>
      <c r="R89" s="201"/>
      <c r="S89" s="201"/>
      <c r="T89" s="293"/>
      <c r="U89" s="220"/>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row>
    <row r="90" spans="1:256">
      <c r="A90" s="1"/>
      <c r="B90" s="199"/>
      <c r="C90" s="217"/>
      <c r="D90" s="200"/>
      <c r="E90" s="200"/>
      <c r="F90" s="200"/>
      <c r="G90" s="200"/>
      <c r="H90" s="200"/>
      <c r="I90" s="200"/>
      <c r="J90" s="200"/>
      <c r="K90" s="200"/>
      <c r="L90" s="200"/>
      <c r="M90" s="200"/>
      <c r="N90" s="200"/>
      <c r="O90" s="200"/>
      <c r="P90" s="200"/>
      <c r="Q90" s="200"/>
      <c r="R90" s="200"/>
      <c r="S90" s="200"/>
      <c r="T90" s="293"/>
      <c r="U90" s="310"/>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row>
    <row r="91" spans="1:256">
      <c r="A91" s="1"/>
      <c r="B91" s="199" t="str">
        <f>'Weekly Data'!A91</f>
        <v>Blue Green Algae (x10^-3)</v>
      </c>
      <c r="C91" s="217" t="str">
        <f>'Weekly Data'!B91</f>
        <v>per litre</v>
      </c>
      <c r="D91" s="217" t="str">
        <f>IF(COUNT('Weekly Data'!E91:I91)=0,"",IF(AVERAGE('Weekly Data'!E91:I91)&lt;15,"&lt;20",AVERAGE('Weekly Data'!E91:I91)))</f>
        <v>&lt;20</v>
      </c>
      <c r="E91" s="217" t="str">
        <f>IF(COUNT('Weekly Data'!J91:M91)=0,"",IF(AVERAGE('Weekly Data'!J91:M91)&lt;15,"&lt;20",AVERAGE('Weekly Data'!J91:M91)))</f>
        <v>&lt;20</v>
      </c>
      <c r="F91" s="217" t="str">
        <f>IF(COUNT('Weekly Data'!N91:Q91)=0,"",IF(AVERAGE('Weekly Data'!N91:Q91)&lt;15,"&lt;20",AVERAGE('Weekly Data'!N91:Q91)))</f>
        <v>&lt;20</v>
      </c>
      <c r="G91" s="217" t="str">
        <f>IF(COUNT('Weekly Data'!R91:V91)=0,"",IF(AVERAGE('Weekly Data'!R91:V91)&lt;15,"&lt;20",AVERAGE('Weekly Data'!R91:V91)))</f>
        <v>&lt;20</v>
      </c>
      <c r="H91" s="217">
        <f>IF(COUNT('Weekly Data'!W91:Z91)=0,"",IF(AVERAGE('Weekly Data'!W91:Z91)&lt;15,"&lt;20",AVERAGE('Weekly Data'!W91:Z91)))</f>
        <v>50.55</v>
      </c>
      <c r="I91" s="217">
        <f>IF(COUNT('Weekly Data'!AA91:AD91)=0,"",IF(AVERAGE('Weekly Data'!AA91:AD91)&lt;15,"&lt;20",AVERAGE('Weekly Data'!AA91:AD91)))</f>
        <v>2079.8000000000002</v>
      </c>
      <c r="J91" s="217">
        <f>IF(COUNT('Weekly Data'!AE91:AI91)=0,"",IF(AVERAGE('Weekly Data'!AE91:AI91)&lt;15,"&lt;20",AVERAGE('Weekly Data'!AE91:AI91)))</f>
        <v>1655</v>
      </c>
      <c r="K91" s="217">
        <f>IF(COUNT('Weekly Data'!AJ91:AM91)=0,"",IF(AVERAGE('Weekly Data'!AJ91:AM91)&lt;15,"&lt;20",AVERAGE('Weekly Data'!AJ91:AM91)))</f>
        <v>2890</v>
      </c>
      <c r="L91" s="217">
        <f>IF(COUNT('Weekly Data'!AN91:AQ91)=0,"",IF(AVERAGE('Weekly Data'!AN91:AQ91)&lt;15,"&lt;20",AVERAGE('Weekly Data'!AN91:AQ91)))</f>
        <v>9092.5</v>
      </c>
      <c r="M91" s="217">
        <f>IF(COUNT('Weekly Data'!AR91:AV91)=0,"",IF(AVERAGE('Weekly Data'!AR91:AV91)&lt;15,"&lt;20",AVERAGE('Weekly Data'!AR91:AV91)))</f>
        <v>9912</v>
      </c>
      <c r="N91" s="217">
        <f>IF(COUNT('Weekly Data'!AW91:AZ91)=0,"",IF(AVERAGE('Weekly Data'!AW91:AZ91)&lt;15,"&lt;20",AVERAGE('Weekly Data'!AW91:AZ91)))</f>
        <v>73.333333333333329</v>
      </c>
      <c r="O91" s="217">
        <f>IF(COUNT('Weekly Data'!BA91:BD91)=0,"",IF(AVERAGE('Weekly Data'!BA91:BD91)&lt;15,"&lt;20",AVERAGE('Weekly Data'!BA91:BD91)))</f>
        <v>26.666666666666668</v>
      </c>
      <c r="P91" s="217"/>
      <c r="Q91" s="217">
        <f>IF(COUNT('Weekly Data'!E91:BD91)=0,"",IF(AVERAGE('Weekly Data'!E91:BD91)&lt;15,"&lt;20",AVERAGE('Weekly Data'!E91:BD91)))</f>
        <v>2404.0723404255318</v>
      </c>
      <c r="R91" s="217" t="str">
        <f>IF(COUNT('Weekly Data'!E91:BD91)=0,"",IF(MIN('Weekly Data'!E91:BD91)&lt;15,"&lt;20",MIN('Weekly Data'!E91:BD91)))</f>
        <v>&lt;20</v>
      </c>
      <c r="S91" s="217">
        <f>IF(COUNT('Weekly Data'!E91:BD91)=0,"",IF(MAX('Weekly Data'!E91:BD91)&lt;15,"&lt;20",MAX('Weekly Data'!E91:BD91)))</f>
        <v>15120</v>
      </c>
      <c r="T91" s="293"/>
      <c r="U91" s="335">
        <f>COUNT('Weekly Data'!E91:BC91)</f>
        <v>47</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row>
    <row r="92" spans="1:256">
      <c r="A92" s="1"/>
      <c r="B92" s="199" t="str">
        <f>'Weekly Data'!A92</f>
        <v>Green Algae (x10^-3)</v>
      </c>
      <c r="C92" s="217" t="str">
        <f>'Weekly Data'!B92</f>
        <v>per litre</v>
      </c>
      <c r="D92" s="217">
        <f>IF(COUNT('Weekly Data'!E92:I92)=0,"",IF(AVERAGE('Weekly Data'!E92:I92)&lt;15,"&lt;20",AVERAGE('Weekly Data'!E92:I92)))</f>
        <v>680</v>
      </c>
      <c r="E92" s="217">
        <f>IF(COUNT('Weekly Data'!J92:M92)=0,"",IF(AVERAGE('Weekly Data'!J92:M92)&lt;15,"&lt;20",AVERAGE('Weekly Data'!J92:M92)))</f>
        <v>620</v>
      </c>
      <c r="F92" s="217">
        <f>IF(COUNT('Weekly Data'!N92:Q92)=0,"",IF(AVERAGE('Weekly Data'!N92:Q92)&lt;15,"&lt;20",AVERAGE('Weekly Data'!N92:Q92)))</f>
        <v>3622.5</v>
      </c>
      <c r="G92" s="217">
        <f>IF(COUNT('Weekly Data'!R92:V92)=0,"",IF(AVERAGE('Weekly Data'!R92:V92)&lt;15,"&lt;20",AVERAGE('Weekly Data'!R92:V92)))</f>
        <v>10032</v>
      </c>
      <c r="H92" s="217">
        <f>IF(COUNT('Weekly Data'!W92:Z92)=0,"",IF(AVERAGE('Weekly Data'!W92:Z92)&lt;15,"&lt;20",AVERAGE('Weekly Data'!W92:Z92)))</f>
        <v>1385</v>
      </c>
      <c r="I92" s="217">
        <f>IF(COUNT('Weekly Data'!AA92:AD92)=0,"",IF(AVERAGE('Weekly Data'!AA92:AD92)&lt;15,"&lt;20",AVERAGE('Weekly Data'!AA92:AD92)))</f>
        <v>1340</v>
      </c>
      <c r="J92" s="217">
        <f>IF(COUNT('Weekly Data'!AE92:AI92)=0,"",IF(AVERAGE('Weekly Data'!AE92:AI92)&lt;15,"&lt;20",AVERAGE('Weekly Data'!AE92:AI92)))</f>
        <v>1165</v>
      </c>
      <c r="K92" s="217">
        <f>IF(COUNT('Weekly Data'!AJ92:AM92)=0,"",IF(AVERAGE('Weekly Data'!AJ92:AM92)&lt;15,"&lt;20",AVERAGE('Weekly Data'!AJ92:AM92)))</f>
        <v>1310</v>
      </c>
      <c r="L92" s="217">
        <f>IF(COUNT('Weekly Data'!AN92:AQ92)=0,"",IF(AVERAGE('Weekly Data'!AN92:AQ92)&lt;15,"&lt;20",AVERAGE('Weekly Data'!AN92:AQ92)))</f>
        <v>1100</v>
      </c>
      <c r="M92" s="217">
        <f>IF(COUNT('Weekly Data'!AR92:AV92)=0,"",IF(AVERAGE('Weekly Data'!AR92:AV92)&lt;15,"&lt;20",AVERAGE('Weekly Data'!AR92:AV92)))</f>
        <v>680</v>
      </c>
      <c r="N92" s="217">
        <f>IF(COUNT('Weekly Data'!AW92:AZ92)=0,"",IF(AVERAGE('Weekly Data'!AW92:AZ92)&lt;15,"&lt;20",AVERAGE('Weekly Data'!AW92:AZ92)))</f>
        <v>500</v>
      </c>
      <c r="O92" s="217">
        <f>IF(COUNT('Weekly Data'!BA92:BD92)=0,"",IF(AVERAGE('Weekly Data'!BA92:BD92)&lt;15,"&lt;20",AVERAGE('Weekly Data'!BA92:BD92)))</f>
        <v>540</v>
      </c>
      <c r="P92" s="217"/>
      <c r="Q92" s="217">
        <f>IF(COUNT('Weekly Data'!E92:BD92)=0,"",IF(AVERAGE('Weekly Data'!E92:BD92)&lt;15,"&lt;20",AVERAGE('Weekly Data'!E92:BD92)))</f>
        <v>2147.872340425532</v>
      </c>
      <c r="R92" s="217">
        <f>IF(COUNT('Weekly Data'!E92:BD92)=0,"",IF(MIN('Weekly Data'!E92:BD92)&lt;15,"&lt;20",MIN('Weekly Data'!E92:BD92)))</f>
        <v>360</v>
      </c>
      <c r="S92" s="217">
        <f>IF(COUNT('Weekly Data'!E92:BD92)=0,"",IF(MAX('Weekly Data'!E92:BD92)&lt;15,"&lt;20",MAX('Weekly Data'!E92:BD92)))</f>
        <v>16540</v>
      </c>
      <c r="T92" s="293"/>
      <c r="U92" s="335">
        <f>COUNT('Weekly Data'!E92:BC92)</f>
        <v>47</v>
      </c>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row>
    <row r="93" spans="1:256">
      <c r="A93" s="1"/>
      <c r="B93" s="199" t="str">
        <f>'Weekly Data'!A93</f>
        <v>Diatoms (x10^-3)</v>
      </c>
      <c r="C93" s="217" t="str">
        <f>'Weekly Data'!B93</f>
        <v>per litre</v>
      </c>
      <c r="D93" s="217">
        <f>IF(COUNT('Weekly Data'!E93:I93)=0,"",IF(AVERAGE('Weekly Data'!E93:I93)&lt;15,"&lt;20",AVERAGE('Weekly Data'!E93:I93)))</f>
        <v>30</v>
      </c>
      <c r="E93" s="217" t="str">
        <f>IF(COUNT('Weekly Data'!J93:M93)=0,"",IF(AVERAGE('Weekly Data'!J93:M93)&lt;15,"&lt;20",AVERAGE('Weekly Data'!J93:M93)))</f>
        <v>&lt;20</v>
      </c>
      <c r="F93" s="217">
        <f>IF(COUNT('Weekly Data'!N93:Q93)=0,"",IF(AVERAGE('Weekly Data'!N93:Q93)&lt;15,"&lt;20",AVERAGE('Weekly Data'!N93:Q93)))</f>
        <v>25</v>
      </c>
      <c r="G93" s="217">
        <f>IF(COUNT('Weekly Data'!R93:V93)=0,"",IF(AVERAGE('Weekly Data'!R93:V93)&lt;15,"&lt;20",AVERAGE('Weekly Data'!R93:V93)))</f>
        <v>228</v>
      </c>
      <c r="H93" s="217">
        <f>IF(COUNT('Weekly Data'!W93:Z93)=0,"",IF(AVERAGE('Weekly Data'!W93:Z93)&lt;15,"&lt;20",AVERAGE('Weekly Data'!W93:Z93)))</f>
        <v>240</v>
      </c>
      <c r="I93" s="217">
        <f>IF(COUNT('Weekly Data'!AA93:AD93)=0,"",IF(AVERAGE('Weekly Data'!AA93:AD93)&lt;15,"&lt;20",AVERAGE('Weekly Data'!AA93:AD93)))</f>
        <v>275</v>
      </c>
      <c r="J93" s="217">
        <f>IF(COUNT('Weekly Data'!AE93:AI93)=0,"",IF(AVERAGE('Weekly Data'!AE93:AI93)&lt;15,"&lt;20",AVERAGE('Weekly Data'!AE93:AI93)))</f>
        <v>505</v>
      </c>
      <c r="K93" s="217">
        <f>IF(COUNT('Weekly Data'!AJ93:AM93)=0,"",IF(AVERAGE('Weekly Data'!AJ93:AM93)&lt;15,"&lt;20",AVERAGE('Weekly Data'!AJ93:AM93)))</f>
        <v>565</v>
      </c>
      <c r="L93" s="217">
        <f>IF(COUNT('Weekly Data'!AN93:AQ93)=0,"",IF(AVERAGE('Weekly Data'!AN93:AQ93)&lt;15,"&lt;20",AVERAGE('Weekly Data'!AN93:AQ93)))</f>
        <v>265</v>
      </c>
      <c r="M93" s="217">
        <f>IF(COUNT('Weekly Data'!AR93:AV93)=0,"",IF(AVERAGE('Weekly Data'!AR93:AV93)&lt;15,"&lt;20",AVERAGE('Weekly Data'!AR93:AV93)))</f>
        <v>132</v>
      </c>
      <c r="N93" s="217">
        <f>IF(COUNT('Weekly Data'!AW93:AZ93)=0,"",IF(AVERAGE('Weekly Data'!AW93:AZ93)&lt;15,"&lt;20",AVERAGE('Weekly Data'!AW93:AZ93)))</f>
        <v>80</v>
      </c>
      <c r="O93" s="217">
        <f>IF(COUNT('Weekly Data'!BA93:BD93)=0,"",IF(AVERAGE('Weekly Data'!BA93:BD93)&lt;15,"&lt;20",AVERAGE('Weekly Data'!BA93:BD93)))</f>
        <v>106.66666666666667</v>
      </c>
      <c r="P93" s="217"/>
      <c r="Q93" s="217">
        <f>IF(COUNT('Weekly Data'!E93:BD93)=0,"",IF(AVERAGE('Weekly Data'!E93:BD93)&lt;15,"&lt;20",AVERAGE('Weekly Data'!E93:BD93)))</f>
        <v>212.7659574468085</v>
      </c>
      <c r="R93" s="217" t="str">
        <f>IF(COUNT('Weekly Data'!E93:BD93)=0,"",IF(MIN('Weekly Data'!E93:BD93)&lt;15,"&lt;20",MIN('Weekly Data'!E93:BD93)))</f>
        <v>&lt;20</v>
      </c>
      <c r="S93" s="217">
        <f>IF(COUNT('Weekly Data'!E93:BD93)=0,"",IF(MAX('Weekly Data'!E93:BD93)&lt;15,"&lt;20",MAX('Weekly Data'!E93:BD93)))</f>
        <v>1300</v>
      </c>
      <c r="T93" s="293"/>
      <c r="U93" s="335">
        <f>COUNT('Weekly Data'!E93:BC93)</f>
        <v>47</v>
      </c>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row>
    <row r="94" spans="1:256">
      <c r="A94" s="1"/>
      <c r="B94" s="199" t="str">
        <f>'Weekly Data'!A94</f>
        <v>Flagellates (x10^-3)</v>
      </c>
      <c r="C94" s="217" t="str">
        <f>'Weekly Data'!B94</f>
        <v>per litre</v>
      </c>
      <c r="D94" s="217">
        <f>IF(COUNT('Weekly Data'!E94:I94)=0,"",IF(AVERAGE('Weekly Data'!E94:I94)&lt;15,"&lt;20",AVERAGE('Weekly Data'!E94:I94)))</f>
        <v>195</v>
      </c>
      <c r="E94" s="217">
        <f>IF(COUNT('Weekly Data'!J94:M94)=0,"",IF(AVERAGE('Weekly Data'!J94:M94)&lt;15,"&lt;20",AVERAGE('Weekly Data'!J94:M94)))</f>
        <v>120</v>
      </c>
      <c r="F94" s="217">
        <f>IF(COUNT('Weekly Data'!N94:Q94)=0,"",IF(AVERAGE('Weekly Data'!N94:Q94)&lt;15,"&lt;20",AVERAGE('Weekly Data'!N94:Q94)))</f>
        <v>907.5</v>
      </c>
      <c r="G94" s="217">
        <f>IF(COUNT('Weekly Data'!R94:V94)=0,"",IF(AVERAGE('Weekly Data'!R94:V94)&lt;15,"&lt;20",AVERAGE('Weekly Data'!R94:V94)))</f>
        <v>2320</v>
      </c>
      <c r="H94" s="217">
        <f>IF(COUNT('Weekly Data'!W94:Z94)=0,"",IF(AVERAGE('Weekly Data'!W94:Z94)&lt;15,"&lt;20",AVERAGE('Weekly Data'!W94:Z94)))</f>
        <v>1890</v>
      </c>
      <c r="I94" s="217">
        <f>IF(COUNT('Weekly Data'!AA94:AD94)=0,"",IF(AVERAGE('Weekly Data'!AA94:AD94)&lt;15,"&lt;20",AVERAGE('Weekly Data'!AA94:AD94)))</f>
        <v>1675</v>
      </c>
      <c r="J94" s="217">
        <f>IF(COUNT('Weekly Data'!AE94:AI94)=0,"",IF(AVERAGE('Weekly Data'!AE94:AI94)&lt;15,"&lt;20",AVERAGE('Weekly Data'!AE94:AI94)))</f>
        <v>2580</v>
      </c>
      <c r="K94" s="217">
        <f>IF(COUNT('Weekly Data'!AJ94:AM94)=0,"",IF(AVERAGE('Weekly Data'!AJ94:AM94)&lt;15,"&lt;20",AVERAGE('Weekly Data'!AJ94:AM94)))</f>
        <v>3780</v>
      </c>
      <c r="L94" s="217">
        <f>IF(COUNT('Weekly Data'!AN94:AQ94)=0,"",IF(AVERAGE('Weekly Data'!AN94:AQ94)&lt;15,"&lt;20",AVERAGE('Weekly Data'!AN94:AQ94)))</f>
        <v>885</v>
      </c>
      <c r="M94" s="217">
        <f>IF(COUNT('Weekly Data'!AR94:AV94)=0,"",IF(AVERAGE('Weekly Data'!AR94:AV94)&lt;15,"&lt;20",AVERAGE('Weekly Data'!AR94:AV94)))</f>
        <v>112</v>
      </c>
      <c r="N94" s="217">
        <f>IF(COUNT('Weekly Data'!AW94:AZ94)=0,"",IF(AVERAGE('Weekly Data'!AW94:AZ94)&lt;15,"&lt;20",AVERAGE('Weekly Data'!AW94:AZ94)))</f>
        <v>1086.6666666666667</v>
      </c>
      <c r="O94" s="217">
        <f>IF(COUNT('Weekly Data'!BA94:BD94)=0,"",IF(AVERAGE('Weekly Data'!BA94:BD94)&lt;15,"&lt;20",AVERAGE('Weekly Data'!BA94:BD94)))</f>
        <v>2186.6666666666665</v>
      </c>
      <c r="P94" s="217"/>
      <c r="Q94" s="217">
        <f>IF(COUNT('Weekly Data'!E94:BD94)=0,"",IF(AVERAGE('Weekly Data'!E94:BD94)&lt;15,"&lt;20",AVERAGE('Weekly Data'!E94:BD94)))</f>
        <v>1489.1489361702127</v>
      </c>
      <c r="R94" s="217">
        <f>IF(COUNT('Weekly Data'!E94:BD94)=0,"",IF(MIN('Weekly Data'!E94:BD94)&lt;15,"&lt;20",MIN('Weekly Data'!E94:BD94)))</f>
        <v>60</v>
      </c>
      <c r="S94" s="217">
        <f>IF(COUNT('Weekly Data'!E94:BD94)=0,"",IF(MAX('Weekly Data'!E94:BD94)&lt;15,"&lt;20",MAX('Weekly Data'!E94:BD94)))</f>
        <v>4420</v>
      </c>
      <c r="T94" s="293"/>
      <c r="U94" s="335">
        <f>COUNT('Weekly Data'!E94:BC94)</f>
        <v>47</v>
      </c>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row>
    <row r="95" spans="1:256">
      <c r="A95" s="1"/>
      <c r="B95" s="199" t="str">
        <f>'Weekly Data'!A95</f>
        <v>Crustaceans</v>
      </c>
      <c r="C95" s="217" t="str">
        <f>'Weekly Data'!B95</f>
        <v>per litre</v>
      </c>
      <c r="D95" s="217">
        <f>IF(COUNT('Weekly Data'!E95:I95)=0,"",IF(AVERAGE('Weekly Data'!E95:I95)&lt;2.55,"&lt;3",AVERAGE('Weekly Data'!E95:I95)))</f>
        <v>14</v>
      </c>
      <c r="E95" s="217">
        <f>IF(COUNT('Weekly Data'!J95:M95)=0,"",IF(AVERAGE('Weekly Data'!J95:M95)&lt;2.55,"&lt;3",AVERAGE('Weekly Data'!J95:M95)))</f>
        <v>18</v>
      </c>
      <c r="F95" s="217">
        <f>IF(COUNT('Weekly Data'!N95:Q95)=0,"",IF(AVERAGE('Weekly Data'!N95:Q95)&lt;2.55,"&lt;3",AVERAGE('Weekly Data'!N95:Q95)))</f>
        <v>33</v>
      </c>
      <c r="G95" s="217">
        <f>IF(COUNT('Weekly Data'!R95:V95)=0,"",IF(AVERAGE('Weekly Data'!R95:V95)&lt;2.55,"&lt;3",AVERAGE('Weekly Data'!R95:V95)))</f>
        <v>75</v>
      </c>
      <c r="H95" s="217">
        <f>IF(COUNT('Weekly Data'!W95:Z95)=0,"",IF(AVERAGE('Weekly Data'!W95:Z95)&lt;2.55,"&lt;3",AVERAGE('Weekly Data'!W95:Z95)))</f>
        <v>32.5</v>
      </c>
      <c r="I95" s="217">
        <f>IF(COUNT('Weekly Data'!AA95:AD95)=0,"",IF(AVERAGE('Weekly Data'!AA95:AD95)&lt;2.55,"&lt;3",AVERAGE('Weekly Data'!AA95:AD95)))</f>
        <v>82.333333333333329</v>
      </c>
      <c r="J95" s="217">
        <f>IF(COUNT('Weekly Data'!AE95:AI95)=0,"",IF(AVERAGE('Weekly Data'!AE95:AI95)&lt;2.55,"&lt;3",AVERAGE('Weekly Data'!AE95:AI95)))</f>
        <v>58.25</v>
      </c>
      <c r="K95" s="217">
        <f>IF(COUNT('Weekly Data'!AJ95:AM95)=0,"",IF(AVERAGE('Weekly Data'!AJ95:AM95)&lt;2.55,"&lt;3",AVERAGE('Weekly Data'!AJ95:AM95)))</f>
        <v>113.25</v>
      </c>
      <c r="L95" s="217">
        <f>IF(COUNT('Weekly Data'!AN95:AQ95)=0,"",IF(AVERAGE('Weekly Data'!AN95:AQ95)&lt;2.55,"&lt;3",AVERAGE('Weekly Data'!AN95:AQ95)))</f>
        <v>232.5</v>
      </c>
      <c r="M95" s="217">
        <f>IF(COUNT('Weekly Data'!AR95:AV95)=0,"",IF(AVERAGE('Weekly Data'!AR95:AV95)&lt;2.55,"&lt;3",AVERAGE('Weekly Data'!AR95:AV95)))</f>
        <v>104</v>
      </c>
      <c r="N95" s="217">
        <f>IF(COUNT('Weekly Data'!AW95:AZ95)=0,"",IF(AVERAGE('Weekly Data'!AW95:AZ95)&lt;2.55,"&lt;3",AVERAGE('Weekly Data'!AW95:AZ95)))</f>
        <v>26.333333333333332</v>
      </c>
      <c r="O95" s="217">
        <f>IF(COUNT('Weekly Data'!BA95:BD95)=0,"",IF(AVERAGE('Weekly Data'!BA95:BD95)&lt;2.55,"&lt;3",AVERAGE('Weekly Data'!BA95:BD95)))</f>
        <v>68</v>
      </c>
      <c r="P95" s="217"/>
      <c r="Q95" s="217">
        <f>IF(COUNT('Weekly Data'!E95:BD95)=0,"",IF(AVERAGE('Weekly Data'!E95:BD95)&lt;2.55,"&lt;3",AVERAGE('Weekly Data'!E95:BD95)))</f>
        <v>75.11363636363636</v>
      </c>
      <c r="R95" s="217" t="str">
        <f>IF(COUNT('Weekly Data'!E95:BD95)=0,"",IF(MIN('Weekly Data'!E95:BD95)&lt;2.55,"&lt;3",MIN('Weekly Data'!E95:BD95)))</f>
        <v>&lt;3</v>
      </c>
      <c r="S95" s="217">
        <f>IF(COUNT('Weekly Data'!E95:BD95)=0,"",IF(MAX('Weekly Data'!E95:BD95)&lt;2.55,"&lt;3",MAX('Weekly Data'!E95:BD95)))</f>
        <v>420</v>
      </c>
      <c r="T95" s="293"/>
      <c r="U95" s="335">
        <f>COUNT('Weekly Data'!E95:BC95)</f>
        <v>44</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row>
    <row r="96" spans="1:256">
      <c r="A96" s="1"/>
      <c r="B96" s="199" t="str">
        <f>'Weekly Data'!A96</f>
        <v>Nematodes (x10^-3)</v>
      </c>
      <c r="C96" s="217" t="str">
        <f>'Weekly Data'!B96</f>
        <v>per litre</v>
      </c>
      <c r="D96" s="217" t="str">
        <f>IF(COUNT('Weekly Data'!E96:I96)=0,"",IF(AVERAGE('Weekly Data'!E96:I96)&lt;15,"&lt;20",AVERAGE('Weekly Data'!E96:I96)))</f>
        <v>&lt;20</v>
      </c>
      <c r="E96" s="217" t="str">
        <f>IF(COUNT('Weekly Data'!J96:M96)=0,"",IF(AVERAGE('Weekly Data'!J96:M96)&lt;15,"&lt;20",AVERAGE('Weekly Data'!J96:M96)))</f>
        <v>&lt;20</v>
      </c>
      <c r="F96" s="217" t="str">
        <f>IF(COUNT('Weekly Data'!N96:Q96)=0,"",IF(AVERAGE('Weekly Data'!N96:Q96)&lt;15,"&lt;20",AVERAGE('Weekly Data'!N96:Q96)))</f>
        <v>&lt;20</v>
      </c>
      <c r="G96" s="217" t="str">
        <f>IF(COUNT('Weekly Data'!R96:V96)=0,"",IF(AVERAGE('Weekly Data'!R96:V96)&lt;15,"&lt;20",AVERAGE('Weekly Data'!R96:V96)))</f>
        <v>&lt;20</v>
      </c>
      <c r="H96" s="217" t="str">
        <f>IF(COUNT('Weekly Data'!W96:Z96)=0,"",IF(AVERAGE('Weekly Data'!W96:Z96)&lt;15,"&lt;20",AVERAGE('Weekly Data'!W96:Z96)))</f>
        <v>&lt;20</v>
      </c>
      <c r="I96" s="217" t="str">
        <f>IF(COUNT('Weekly Data'!AA96:AD96)=0,"",IF(AVERAGE('Weekly Data'!AA96:AD96)&lt;15,"&lt;20",AVERAGE('Weekly Data'!AA96:AD96)))</f>
        <v>&lt;20</v>
      </c>
      <c r="J96" s="217" t="str">
        <f>IF(COUNT('Weekly Data'!AE96:AI96)=0,"",IF(AVERAGE('Weekly Data'!AE96:AI96)&lt;15,"&lt;20",AVERAGE('Weekly Data'!AE96:AI96)))</f>
        <v>&lt;20</v>
      </c>
      <c r="K96" s="217" t="str">
        <f>IF(COUNT('Weekly Data'!AJ96:AM96)=0,"",IF(AVERAGE('Weekly Data'!AJ96:AM96)&lt;15,"&lt;20",AVERAGE('Weekly Data'!AJ96:AM96)))</f>
        <v>&lt;20</v>
      </c>
      <c r="L96" s="217" t="str">
        <f>IF(COUNT('Weekly Data'!AN96:AQ96)=0,"",IF(AVERAGE('Weekly Data'!AN96:AQ96)&lt;15,"&lt;20",AVERAGE('Weekly Data'!AN96:AQ96)))</f>
        <v>&lt;20</v>
      </c>
      <c r="M96" s="217" t="str">
        <f>IF(COUNT('Weekly Data'!AR96:AV96)=0,"",IF(AVERAGE('Weekly Data'!AR96:AV96)&lt;15,"&lt;20",AVERAGE('Weekly Data'!AR96:AV96)))</f>
        <v>&lt;20</v>
      </c>
      <c r="N96" s="217" t="str">
        <f>IF(COUNT('Weekly Data'!AW96:AZ96)=0,"",IF(AVERAGE('Weekly Data'!AW96:AZ96)&lt;15,"&lt;20",AVERAGE('Weekly Data'!AW96:AZ96)))</f>
        <v>&lt;20</v>
      </c>
      <c r="O96" s="217" t="str">
        <f>IF(COUNT('Weekly Data'!BA96:BD96)=0,"",IF(AVERAGE('Weekly Data'!BA96:BD96)&lt;15,"&lt;20",AVERAGE('Weekly Data'!BA96:BD96)))</f>
        <v>&lt;20</v>
      </c>
      <c r="P96" s="217"/>
      <c r="Q96" s="217" t="str">
        <f>IF(COUNT('Weekly Data'!E96:BD96)=0,"",IF(AVERAGE('Weekly Data'!E96:BD96)&lt;15,"&lt;20",AVERAGE('Weekly Data'!E96:BD96)))</f>
        <v>&lt;20</v>
      </c>
      <c r="R96" s="217" t="str">
        <f>IF(COUNT('Weekly Data'!E96:BD96)=0,"",IF(MIN('Weekly Data'!E96:BD96)&lt;15,"&lt;20",MIN('Weekly Data'!E96:BD96)))</f>
        <v>&lt;20</v>
      </c>
      <c r="S96" s="217" t="str">
        <f>IF(COUNT('Weekly Data'!E96:BD96)=0,"",IF(MAX('Weekly Data'!E96:BD96)&lt;15,"&lt;20",MAX('Weekly Data'!E96:BD96)))</f>
        <v>&lt;20</v>
      </c>
      <c r="T96" s="293"/>
      <c r="U96" s="335">
        <f>COUNT('Weekly Data'!E96:BC96)</f>
        <v>47</v>
      </c>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spans="1:256">
      <c r="A97" s="1"/>
      <c r="B97" s="199" t="str">
        <f>'Weekly Data'!A97</f>
        <v>Rotifers (x10^-3)</v>
      </c>
      <c r="C97" s="217" t="str">
        <f>'Weekly Data'!B97</f>
        <v>per litre</v>
      </c>
      <c r="D97" s="217" t="str">
        <f>IF(COUNT('Weekly Data'!E97:I97)=0,"",IF(AVERAGE('Weekly Data'!E97:I97)&lt;15,"&lt;20",AVERAGE('Weekly Data'!E97:I97)))</f>
        <v>&lt;20</v>
      </c>
      <c r="E97" s="217" t="str">
        <f>IF(COUNT('Weekly Data'!J97:M97)=0,"",IF(AVERAGE('Weekly Data'!J97:M97)&lt;15,"&lt;20",AVERAGE('Weekly Data'!J97:M97)))</f>
        <v>&lt;20</v>
      </c>
      <c r="F97" s="217" t="str">
        <f>IF(COUNT('Weekly Data'!N97:Q97)=0,"",IF(AVERAGE('Weekly Data'!N97:Q97)&lt;15,"&lt;20",AVERAGE('Weekly Data'!N97:Q97)))</f>
        <v>&lt;20</v>
      </c>
      <c r="G97" s="217" t="str">
        <f>IF(COUNT('Weekly Data'!R97:V97)=0,"",IF(AVERAGE('Weekly Data'!R97:V97)&lt;15,"&lt;20",AVERAGE('Weekly Data'!R97:V97)))</f>
        <v>&lt;20</v>
      </c>
      <c r="H97" s="217" t="str">
        <f>IF(COUNT('Weekly Data'!W97:Z97)=0,"",IF(AVERAGE('Weekly Data'!W97:Z97)&lt;15,"&lt;20",AVERAGE('Weekly Data'!W97:Z97)))</f>
        <v>&lt;20</v>
      </c>
      <c r="I97" s="217" t="str">
        <f>IF(COUNT('Weekly Data'!AA97:AD97)=0,"",IF(AVERAGE('Weekly Data'!AA97:AD97)&lt;15,"&lt;20",AVERAGE('Weekly Data'!AA97:AD97)))</f>
        <v>&lt;20</v>
      </c>
      <c r="J97" s="217" t="str">
        <f>IF(COUNT('Weekly Data'!AE97:AI97)=0,"",IF(AVERAGE('Weekly Data'!AE97:AI97)&lt;15,"&lt;20",AVERAGE('Weekly Data'!AE97:AI97)))</f>
        <v>&lt;20</v>
      </c>
      <c r="K97" s="217" t="str">
        <f>IF(COUNT('Weekly Data'!AJ97:AM97)=0,"",IF(AVERAGE('Weekly Data'!AJ97:AM97)&lt;15,"&lt;20",AVERAGE('Weekly Data'!AJ97:AM97)))</f>
        <v>&lt;20</v>
      </c>
      <c r="L97" s="217" t="str">
        <f>IF(COUNT('Weekly Data'!AN97:AQ97)=0,"",IF(AVERAGE('Weekly Data'!AN97:AQ97)&lt;15,"&lt;20",AVERAGE('Weekly Data'!AN97:AQ97)))</f>
        <v>&lt;20</v>
      </c>
      <c r="M97" s="217" t="str">
        <f>IF(COUNT('Weekly Data'!AR97:AV97)=0,"",IF(AVERAGE('Weekly Data'!AR97:AV97)&lt;15,"&lt;20",AVERAGE('Weekly Data'!AR97:AV97)))</f>
        <v>&lt;20</v>
      </c>
      <c r="N97" s="217" t="str">
        <f>IF(COUNT('Weekly Data'!AW97:AZ97)=0,"",IF(AVERAGE('Weekly Data'!AW97:AZ97)&lt;15,"&lt;20",AVERAGE('Weekly Data'!AW97:AZ97)))</f>
        <v>&lt;20</v>
      </c>
      <c r="O97" s="217" t="str">
        <f>IF(COUNT('Weekly Data'!BA97:BD97)=0,"",IF(AVERAGE('Weekly Data'!BA97:BD97)&lt;15,"&lt;20",AVERAGE('Weekly Data'!BA97:BD97)))</f>
        <v>&lt;20</v>
      </c>
      <c r="P97" s="217"/>
      <c r="Q97" s="217" t="str">
        <f>IF(COUNT('Weekly Data'!E97:BD97)=0,"",IF(AVERAGE('Weekly Data'!E97:BD97)&lt;15,"&lt;20",AVERAGE('Weekly Data'!E97:BD97)))</f>
        <v>&lt;20</v>
      </c>
      <c r="R97" s="217" t="str">
        <f>IF(COUNT('Weekly Data'!E97:BD97)=0,"",IF(MIN('Weekly Data'!E97:BD97)&lt;15,"&lt;20",MIN('Weekly Data'!E97:BD97)))</f>
        <v>&lt;20</v>
      </c>
      <c r="S97" s="217">
        <f>IF(COUNT('Weekly Data'!E97:BD97)=0,"",IF(MAX('Weekly Data'!E97:BD97)&lt;15,"&lt;20",MAX('Weekly Data'!E97:BD97)))</f>
        <v>20</v>
      </c>
      <c r="T97" s="293"/>
      <c r="U97" s="335">
        <f>COUNT('Weekly Data'!E97:BC97)</f>
        <v>47</v>
      </c>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row>
    <row r="98" spans="1:256">
      <c r="A98" s="1"/>
      <c r="B98" s="199" t="str">
        <f>'Weekly Data'!A98</f>
        <v>Other (x10^-3)</v>
      </c>
      <c r="C98" s="217" t="str">
        <f>'Weekly Data'!B98</f>
        <v>per litre</v>
      </c>
      <c r="D98" s="217" t="str">
        <f>IF(COUNT('Weekly Data'!E98:I98)=0,"",IF(AVERAGE('Weekly Data'!E98:I98)&lt;15,"&lt;20",AVERAGE('Weekly Data'!E98:I98)))</f>
        <v>&lt;20</v>
      </c>
      <c r="E98" s="217" t="str">
        <f>IF(COUNT('Weekly Data'!J98:M98)=0,"",IF(AVERAGE('Weekly Data'!J98:M98)&lt;15,"&lt;20",AVERAGE('Weekly Data'!J98:M98)))</f>
        <v>&lt;20</v>
      </c>
      <c r="F98" s="217" t="str">
        <f>IF(COUNT('Weekly Data'!N98:Q98)=0,"",IF(AVERAGE('Weekly Data'!N98:Q98)&lt;15,"&lt;20",AVERAGE('Weekly Data'!N98:Q98)))</f>
        <v>&lt;20</v>
      </c>
      <c r="G98" s="217" t="str">
        <f>IF(COUNT('Weekly Data'!R98:V98)=0,"",IF(AVERAGE('Weekly Data'!R98:V98)&lt;15,"&lt;20",AVERAGE('Weekly Data'!R98:V98)))</f>
        <v>&lt;20</v>
      </c>
      <c r="H98" s="217" t="str">
        <f>IF(COUNT('Weekly Data'!W98:Z98)=0,"",IF(AVERAGE('Weekly Data'!W98:Z98)&lt;15,"&lt;20",AVERAGE('Weekly Data'!W98:Z98)))</f>
        <v>&lt;20</v>
      </c>
      <c r="I98" s="217" t="str">
        <f>IF(COUNT('Weekly Data'!AA98:AD98)=0,"",IF(AVERAGE('Weekly Data'!AA98:AD98)&lt;15,"&lt;20",AVERAGE('Weekly Data'!AA98:AD98)))</f>
        <v>&lt;20</v>
      </c>
      <c r="J98" s="217" t="str">
        <f>IF(COUNT('Weekly Data'!AE98:AI98)=0,"",IF(AVERAGE('Weekly Data'!AE98:AI98)&lt;15,"&lt;20",AVERAGE('Weekly Data'!AE98:AI98)))</f>
        <v>&lt;20</v>
      </c>
      <c r="K98" s="217" t="str">
        <f>IF(COUNT('Weekly Data'!AJ98:AM98)=0,"",IF(AVERAGE('Weekly Data'!AJ98:AM98)&lt;15,"&lt;20",AVERAGE('Weekly Data'!AJ98:AM98)))</f>
        <v>&lt;20</v>
      </c>
      <c r="L98" s="217" t="str">
        <f>IF(COUNT('Weekly Data'!AN98:AQ98)=0,"",IF(AVERAGE('Weekly Data'!AN98:AQ98)&lt;15,"&lt;20",AVERAGE('Weekly Data'!AN98:AQ98)))</f>
        <v>&lt;20</v>
      </c>
      <c r="M98" s="217" t="str">
        <f>IF(COUNT('Weekly Data'!AR98:AV98)=0,"",IF(AVERAGE('Weekly Data'!AR98:AV98)&lt;15,"&lt;20",AVERAGE('Weekly Data'!AR98:AV98)))</f>
        <v>&lt;20</v>
      </c>
      <c r="N98" s="217" t="str">
        <f>IF(COUNT('Weekly Data'!AW98:AZ98)=0,"",IF(AVERAGE('Weekly Data'!AW98:AZ98)&lt;15,"&lt;20",AVERAGE('Weekly Data'!AW98:AZ98)))</f>
        <v>&lt;20</v>
      </c>
      <c r="O98" s="217" t="str">
        <f>IF(COUNT('Weekly Data'!BA98:BD98)=0,"",IF(AVERAGE('Weekly Data'!BA98:BD98)&lt;15,"&lt;20",AVERAGE('Weekly Data'!BA98:BD98)))</f>
        <v>&lt;20</v>
      </c>
      <c r="P98" s="217"/>
      <c r="Q98" s="217" t="str">
        <f>IF(COUNT('Weekly Data'!E98:BD98)=0,"",IF(AVERAGE('Weekly Data'!E98:BD98)&lt;15,"&lt;20",AVERAGE('Weekly Data'!E98:BD98)))</f>
        <v>&lt;20</v>
      </c>
      <c r="R98" s="217" t="str">
        <f>IF(COUNT('Weekly Data'!E98:BD98)=0,"",IF(MIN('Weekly Data'!E98:BD98)&lt;15,"&lt;20",MIN('Weekly Data'!E98:BD98)))</f>
        <v>&lt;20</v>
      </c>
      <c r="S98" s="217" t="str">
        <f>IF(COUNT('Weekly Data'!E98:BD98)=0,"",IF(MAX('Weekly Data'!E98:BD98)&lt;15,"&lt;20",MAX('Weekly Data'!E98:BD98)))</f>
        <v>&lt;20</v>
      </c>
      <c r="T98" s="293"/>
      <c r="U98" s="335">
        <f>COUNT('Weekly Data'!E98:BC98)</f>
        <v>47</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row>
    <row r="99" spans="1:256">
      <c r="A99" s="1"/>
      <c r="B99" s="199" t="str">
        <f>'Weekly Data'!A99</f>
        <v>Total Green &amp; B-G</v>
      </c>
      <c r="C99" s="217" t="str">
        <f>'Weekly Data'!B99</f>
        <v>per litre</v>
      </c>
      <c r="D99" s="217">
        <f>IF(COUNT('Weekly Data'!E99:I99)=0,"",IF(AVERAGE('Weekly Data'!E99:I99)&lt;15,"&lt;20",AVERAGE('Weekly Data'!E99:I99)))</f>
        <v>680</v>
      </c>
      <c r="E99" s="217">
        <f>IF(COUNT('Weekly Data'!J99:M99)=0,"",IF(AVERAGE('Weekly Data'!J99:M99)&lt;15,"&lt;20",AVERAGE('Weekly Data'!J99:M99)))</f>
        <v>626.66666666666663</v>
      </c>
      <c r="F99" s="217">
        <f>IF(COUNT('Weekly Data'!N99:Q99)=0,"",IF(AVERAGE('Weekly Data'!N99:Q99)&lt;15,"&lt;20",AVERAGE('Weekly Data'!N99:Q99)))</f>
        <v>3622.5</v>
      </c>
      <c r="G99" s="217">
        <f>IF(COUNT('Weekly Data'!R99:V99)=0,"",IF(AVERAGE('Weekly Data'!R99:V99)&lt;15,"&lt;20",AVERAGE('Weekly Data'!R99:V99)))</f>
        <v>10040</v>
      </c>
      <c r="H99" s="217">
        <f>IF(COUNT('Weekly Data'!W99:Z99)=0,"",IF(AVERAGE('Weekly Data'!W99:Z99)&lt;15,"&lt;20",AVERAGE('Weekly Data'!W99:Z99)))</f>
        <v>1435.55</v>
      </c>
      <c r="I99" s="217">
        <f>IF(COUNT('Weekly Data'!AA99:AD99)=0,"",IF(AVERAGE('Weekly Data'!AA99:AD99)&lt;15,"&lt;20",AVERAGE('Weekly Data'!AA99:AD99)))</f>
        <v>3419.8</v>
      </c>
      <c r="J99" s="217">
        <f>IF(COUNT('Weekly Data'!AE99:AI99)=0,"",IF(AVERAGE('Weekly Data'!AE99:AI99)&lt;15,"&lt;20",AVERAGE('Weekly Data'!AE99:AI99)))</f>
        <v>2820</v>
      </c>
      <c r="K99" s="217">
        <f>IF(COUNT('Weekly Data'!AJ99:AM99)=0,"",IF(AVERAGE('Weekly Data'!AJ99:AM99)&lt;15,"&lt;20",AVERAGE('Weekly Data'!AJ99:AM99)))</f>
        <v>4200</v>
      </c>
      <c r="L99" s="217">
        <f>IF(COUNT('Weekly Data'!AN99:AQ99)=0,"",IF(AVERAGE('Weekly Data'!AN99:AQ99)&lt;15,"&lt;20",AVERAGE('Weekly Data'!AN99:AQ99)))</f>
        <v>10192.5</v>
      </c>
      <c r="M99" s="217">
        <f>IF(COUNT('Weekly Data'!AR99:AV99)=0,"",IF(AVERAGE('Weekly Data'!AR99:AV99)&lt;15,"&lt;20",AVERAGE('Weekly Data'!AR99:AV99)))</f>
        <v>10592</v>
      </c>
      <c r="N99" s="217">
        <f>IF(COUNT('Weekly Data'!AW99:AZ99)=0,"",IF(AVERAGE('Weekly Data'!AW99:AZ99)&lt;15,"&lt;20",AVERAGE('Weekly Data'!AW99:AZ99)))</f>
        <v>573.33333333333337</v>
      </c>
      <c r="O99" s="217">
        <f>IF(COUNT('Weekly Data'!BA99:BD99)=0,"",IF(AVERAGE('Weekly Data'!BA99:BD99)&lt;15,"&lt;20",AVERAGE('Weekly Data'!BA99:BD99)))</f>
        <v>566.66666666666663</v>
      </c>
      <c r="P99" s="217"/>
      <c r="Q99" s="217">
        <f>IF(COUNT('Weekly Data'!P99:T99)=0,"",IF(AVERAGE('Weekly Data'!P99:T99)&lt;15,"&lt;20",AVERAGE('Weekly Data'!P99:T99)))</f>
        <v>10604</v>
      </c>
      <c r="R99" s="217">
        <f>IF(COUNT('Weekly Data'!Q99:U99)=0,"",IF(MIN('Weekly Data'!Q99:U99)&lt;15,"&lt;20",MIN('Weekly Data'!Q99:U99)))</f>
        <v>7660</v>
      </c>
      <c r="S99" s="217">
        <f>IF(COUNT('Weekly Data'!R99:V99)=0,"",IF(MAX('Weekly Data'!R99:V99)&lt;15,"&lt;20",MAX('Weekly Data'!R99:V99)))</f>
        <v>16540</v>
      </c>
      <c r="T99" s="293"/>
      <c r="U99" s="310"/>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row>
    <row r="100" spans="1:256">
      <c r="A100" s="1"/>
      <c r="B100" s="199"/>
      <c r="C100" s="217"/>
      <c r="D100" s="217"/>
      <c r="E100" s="217"/>
      <c r="F100" s="217"/>
      <c r="G100" s="217"/>
      <c r="H100" s="217"/>
      <c r="I100" s="217"/>
      <c r="J100" s="217"/>
      <c r="K100" s="217"/>
      <c r="L100" s="217"/>
      <c r="M100" s="217"/>
      <c r="N100" s="217"/>
      <c r="O100" s="217"/>
      <c r="P100" s="217"/>
      <c r="Q100" s="217"/>
      <c r="R100" s="217"/>
      <c r="S100" s="217"/>
      <c r="T100" s="293"/>
      <c r="U100" s="310"/>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row>
    <row r="101" spans="1:256">
      <c r="A101" s="1"/>
      <c r="B101" s="207" t="str">
        <f>'Weekly Data'!A101</f>
        <v>BACTERIOLOGICAL</v>
      </c>
      <c r="C101" s="217"/>
      <c r="D101" s="219"/>
      <c r="E101" s="200"/>
      <c r="F101" s="200"/>
      <c r="G101" s="200"/>
      <c r="H101" s="217"/>
      <c r="I101" s="200"/>
      <c r="J101" s="200"/>
      <c r="K101" s="217"/>
      <c r="L101" s="217"/>
      <c r="M101" s="200"/>
      <c r="N101" s="200"/>
      <c r="O101" s="200"/>
      <c r="P101" s="200"/>
      <c r="Q101" s="201"/>
      <c r="R101" s="201"/>
      <c r="S101" s="201"/>
      <c r="T101" s="293"/>
      <c r="U101" s="220"/>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row>
    <row r="102" spans="1:256">
      <c r="A102" s="1"/>
      <c r="B102" s="199"/>
      <c r="C102" s="217"/>
      <c r="D102" s="217"/>
      <c r="E102" s="217"/>
      <c r="F102" s="217"/>
      <c r="G102" s="217"/>
      <c r="H102" s="217"/>
      <c r="I102" s="217"/>
      <c r="J102" s="217"/>
      <c r="K102" s="217"/>
      <c r="L102" s="217"/>
      <c r="M102" s="217"/>
      <c r="N102" s="217"/>
      <c r="O102" s="217"/>
      <c r="P102" s="217"/>
      <c r="Q102" s="217"/>
      <c r="R102" s="217"/>
      <c r="S102" s="217"/>
      <c r="T102" s="293"/>
      <c r="U102" s="310"/>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row>
    <row r="103" spans="1:256">
      <c r="A103" s="1"/>
      <c r="B103" s="199" t="str">
        <f>'Weekly Data'!A103</f>
        <v>Total Coliforms</v>
      </c>
      <c r="C103" s="217" t="str">
        <f>'Weekly Data'!B103</f>
        <v>per 100 ml</v>
      </c>
      <c r="D103" s="217">
        <f>IF(COUNT('Weekly Data'!E103:I103)=0,"",IF(AVERAGE('Weekly Data'!E103:I103)&lt;0.55,"&lt;1",AVERAGE('Weekly Data'!E103:I103)))</f>
        <v>2.4</v>
      </c>
      <c r="E103" s="217">
        <f>IF(COUNT('Weekly Data'!J103:M103)=0,"",IF(AVERAGE('Weekly Data'!J103:M103)&lt;0.55,"&lt;1",AVERAGE('Weekly Data'!J103:M103)))</f>
        <v>0.83333333333333337</v>
      </c>
      <c r="F103" s="217">
        <f>IF(COUNT('Weekly Data'!N103:Q103)=0,"",IF(AVERAGE('Weekly Data'!N103:Q103)&lt;0.55,"&lt;1",AVERAGE('Weekly Data'!N103:Q103)))</f>
        <v>0.875</v>
      </c>
      <c r="G103" s="217">
        <f>IF(COUNT('Weekly Data'!R103:V103)=0,"",IF(AVERAGE('Weekly Data'!R103:V103)&lt;0.55,"&lt;1",AVERAGE('Weekly Data'!R103:V103)))</f>
        <v>4.3</v>
      </c>
      <c r="H103" s="217">
        <f>IF(COUNT('Weekly Data'!W103:Z103)=0,"",IF(AVERAGE('Weekly Data'!W103:Z103)&lt;0.55,"&lt;1",AVERAGE('Weekly Data'!W103:Z103)))</f>
        <v>19.75</v>
      </c>
      <c r="I103" s="217">
        <f>IF(COUNT('Weekly Data'!AA103:AD103)=0,"",IF(AVERAGE('Weekly Data'!AA103:AD103)&lt;0.55,"&lt;1",AVERAGE('Weekly Data'!AA103:AD103)))</f>
        <v>8.75</v>
      </c>
      <c r="J103" s="217">
        <f>IF(COUNT('Weekly Data'!AE103:AI103)=0,"",IF(AVERAGE('Weekly Data'!AE103:AI103)&lt;0.55,"&lt;1",AVERAGE('Weekly Data'!AE103:AI103)))</f>
        <v>97.6</v>
      </c>
      <c r="K103" s="217">
        <f>IF(COUNT('Weekly Data'!AJ103:AM103)=0,"",IF(AVERAGE('Weekly Data'!AJ103:AM103)&lt;0.55,"&lt;1",AVERAGE('Weekly Data'!AJ103:AM103)))</f>
        <v>243.75</v>
      </c>
      <c r="L103" s="217">
        <f>IF(COUNT('Weekly Data'!AN103:AQ103)=0,"",IF(AVERAGE('Weekly Data'!AN103:AQ103)&lt;0.55,"&lt;1",AVERAGE('Weekly Data'!AN103:AQ103)))</f>
        <v>116.75</v>
      </c>
      <c r="M103" s="217">
        <f>IF(COUNT('Weekly Data'!AR103:AV103)=0,"",IF(AVERAGE('Weekly Data'!AR103:AV103)&lt;0.55,"&lt;1",AVERAGE('Weekly Data'!AR103:AV103)))</f>
        <v>34.1</v>
      </c>
      <c r="N103" s="217">
        <f>IF(COUNT('Weekly Data'!AW103:AZ103)=0,"",IF(AVERAGE('Weekly Data'!AW103:AZ103)&lt;0.55,"&lt;1",AVERAGE('Weekly Data'!AW103:AZ103)))</f>
        <v>9.375</v>
      </c>
      <c r="O103" s="217">
        <f>IF(COUNT('Weekly Data'!BA103:BD103)=0,"",IF(AVERAGE('Weekly Data'!BA103:BD103)&lt;0.55,"&lt;1",AVERAGE('Weekly Data'!BA103:BD103)))</f>
        <v>6.6749999999999998</v>
      </c>
      <c r="P103" s="217"/>
      <c r="Q103" s="217">
        <f>IF(COUNT('Weekly Data'!E103:BD103)=0,"",IF(AVERAGE('Weekly Data'!E103:BD103)&lt;0.55,"&lt;1",AVERAGE('Weekly Data'!E103:BD103)))</f>
        <v>45.454901960784312</v>
      </c>
      <c r="R103" s="217" t="str">
        <f>IF(COUNT('Weekly Data'!E103:BD103)=0,"",IF(MIN('Weekly Data'!E103:BD103)&lt;0.55,"&lt;1",MIN('Weekly Data'!E103:BD103)))</f>
        <v>&lt;1</v>
      </c>
      <c r="S103" s="217">
        <f>IF(COUNT('Weekly Data'!E103:BD103)=0,"",IF(MAX('Weekly Data'!E103:BD103)&lt;0.55,"&lt;1",MAX('Weekly Data'!E103:BD103)))</f>
        <v>600</v>
      </c>
      <c r="T103" s="293"/>
      <c r="U103" s="335">
        <f>COUNT('Weekly Data'!E103:BC103)</f>
        <v>50</v>
      </c>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row>
    <row r="104" spans="1:256">
      <c r="A104" s="1"/>
      <c r="B104" s="199" t="str">
        <f>'Weekly Data'!A104</f>
        <v>Faecal Coliforms</v>
      </c>
      <c r="C104" s="217" t="str">
        <f>'Weekly Data'!B104</f>
        <v>per 100 ml</v>
      </c>
      <c r="D104" s="217" t="str">
        <f>IF(COUNT('Weekly Data'!E104:I104)=0,"",IF(AVERAGE('Weekly Data'!E104:I104)&lt;0.55,"&lt;1",AVERAGE('Weekly Data'!E104:I104)))</f>
        <v>&lt;1</v>
      </c>
      <c r="E104" s="217" t="str">
        <f>IF(COUNT('Weekly Data'!J104:M104)=0,"",IF(AVERAGE('Weekly Data'!J104:M104)&lt;0.55,"&lt;1",AVERAGE('Weekly Data'!J104:M104)))</f>
        <v>&lt;1</v>
      </c>
      <c r="F104" s="217" t="str">
        <f>IF(COUNT('Weekly Data'!N104:Q104)=0,"",IF(AVERAGE('Weekly Data'!N104:Q104)&lt;0.55,"&lt;1",AVERAGE('Weekly Data'!N104:Q104)))</f>
        <v>&lt;1</v>
      </c>
      <c r="G104" s="217" t="str">
        <f>IF(COUNT('Weekly Data'!R104:V104)=0,"",IF(AVERAGE('Weekly Data'!R104:V104)&lt;0.55,"&lt;1",AVERAGE('Weekly Data'!R104:V104)))</f>
        <v>&lt;1</v>
      </c>
      <c r="H104" s="217">
        <f>IF(COUNT('Weekly Data'!W104:Z104)=0,"",IF(AVERAGE('Weekly Data'!W104:Z104)&lt;0.55,"&lt;1",AVERAGE('Weekly Data'!W104:Z104)))</f>
        <v>1.625</v>
      </c>
      <c r="I104" s="217">
        <f>IF(COUNT('Weekly Data'!AA104:AD104)=0,"",IF(AVERAGE('Weekly Data'!AA104:AD104)&lt;0.55,"&lt;1",AVERAGE('Weekly Data'!AA104:AD104)))</f>
        <v>1.6375</v>
      </c>
      <c r="J104" s="217">
        <f>IF(COUNT('Weekly Data'!AE104:AI104)=0,"",IF(AVERAGE('Weekly Data'!AE104:AI104)&lt;0.55,"&lt;1",AVERAGE('Weekly Data'!AE104:AI104)))</f>
        <v>5.08</v>
      </c>
      <c r="K104" s="217">
        <f>IF(COUNT('Weekly Data'!AJ104:AM104)=0,"",IF(AVERAGE('Weekly Data'!AJ104:AM104)&lt;0.55,"&lt;1",AVERAGE('Weekly Data'!AJ104:AM104)))</f>
        <v>8.375</v>
      </c>
      <c r="L104" s="217">
        <f>IF(COUNT('Weekly Data'!AN104:AQ104)=0,"",IF(AVERAGE('Weekly Data'!AN104:AQ104)&lt;0.55,"&lt;1",AVERAGE('Weekly Data'!AN104:AQ104)))</f>
        <v>8.375</v>
      </c>
      <c r="M104" s="217">
        <f>IF(COUNT('Weekly Data'!AR104:AV104)=0,"",IF(AVERAGE('Weekly Data'!AR104:AV104)&lt;0.55,"&lt;1",AVERAGE('Weekly Data'!AR104:AV104)))</f>
        <v>10.940000000000001</v>
      </c>
      <c r="N104" s="217" t="str">
        <f>IF(COUNT('Weekly Data'!AW104:AZ104)=0,"",IF(AVERAGE('Weekly Data'!AW104:AZ104)&lt;0.55,"&lt;1",AVERAGE('Weekly Data'!AW104:AZ104)))</f>
        <v>&lt;1</v>
      </c>
      <c r="O104" s="217" t="str">
        <f>IF(COUNT('Weekly Data'!BA104:BD104)=0,"",IF(AVERAGE('Weekly Data'!BA104:BD104)&lt;0.55,"&lt;1",AVERAGE('Weekly Data'!BA104:BD104)))</f>
        <v>&lt;1</v>
      </c>
      <c r="P104" s="217"/>
      <c r="Q104" s="217">
        <f>IF(COUNT('Weekly Data'!E104:BD104)=0,"",IF(AVERAGE('Weekly Data'!E104:BD104)&lt;0.55,"&lt;1",AVERAGE('Weekly Data'!E104:BD104)))</f>
        <v>3.2186274509803923</v>
      </c>
      <c r="R104" s="217" t="str">
        <f>IF(COUNT('Weekly Data'!E104:BD104)=0,"",IF(MIN('Weekly Data'!E104:BD104)&lt;0.55,"&lt;1",MIN('Weekly Data'!E104:BD104)))</f>
        <v>&lt;1</v>
      </c>
      <c r="S104" s="217">
        <f>IF(COUNT('Weekly Data'!E104:BD104)=0,"",IF(MAX('Weekly Data'!E104:BD104)&lt;0.55,"&lt;1",MAX('Weekly Data'!E104:BD104)))</f>
        <v>25.2</v>
      </c>
      <c r="T104" s="293"/>
      <c r="U104" s="335">
        <f>COUNT('Weekly Data'!E104:BC104)</f>
        <v>50</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row>
    <row r="105" spans="1:256">
      <c r="A105" s="1"/>
      <c r="B105" s="199" t="str">
        <f>'Weekly Data'!A105</f>
        <v>E. coli</v>
      </c>
      <c r="C105" s="217" t="str">
        <f>'Weekly Data'!B105</f>
        <v>per 100 ml</v>
      </c>
      <c r="D105" s="217" t="str">
        <f>IF(COUNT('Weekly Data'!E105:I105)=0,"",IF(AVERAGE('Weekly Data'!E105:I105)&lt;0.55,"&lt;1",AVERAGE('Weekly Data'!E105:I105)))</f>
        <v/>
      </c>
      <c r="E105" s="217" t="str">
        <f>IF(COUNT('Weekly Data'!J105:M105)=0,"",IF(AVERAGE('Weekly Data'!J105:M105)&lt;0.55,"&lt;1",AVERAGE('Weekly Data'!J105:M105)))</f>
        <v/>
      </c>
      <c r="F105" s="217" t="str">
        <f>IF(COUNT('Weekly Data'!N105:Q105)=0,"",IF(AVERAGE('Weekly Data'!N105:Q105)&lt;0.55,"&lt;1",AVERAGE('Weekly Data'!N105:Q105)))</f>
        <v/>
      </c>
      <c r="G105" s="217" t="str">
        <f>IF(COUNT('Weekly Data'!R105:V105)=0,"",IF(AVERAGE('Weekly Data'!R105:V105)&lt;0.55,"&lt;1",AVERAGE('Weekly Data'!R105:V105)))</f>
        <v/>
      </c>
      <c r="H105" s="217" t="str">
        <f>IF(COUNT('Weekly Data'!W105:Z105)=0,"",IF(AVERAGE('Weekly Data'!W105:Z105)&lt;0.55,"&lt;1",AVERAGE('Weekly Data'!W105:Z105)))</f>
        <v/>
      </c>
      <c r="I105" s="217" t="str">
        <f>IF(COUNT('Weekly Data'!AA105:AD105)=0,"",IF(AVERAGE('Weekly Data'!AA105:AD105)&lt;0.55,"&lt;1",AVERAGE('Weekly Data'!AA105:AD105)))</f>
        <v/>
      </c>
      <c r="J105" s="217" t="str">
        <f>IF(COUNT('Weekly Data'!AE105:AI105)=0,"",IF(AVERAGE('Weekly Data'!AE105:AI105)&lt;0.55,"&lt;1",AVERAGE('Weekly Data'!AE105:AI105)))</f>
        <v/>
      </c>
      <c r="K105" s="217" t="str">
        <f>IF(COUNT('Weekly Data'!AJ105:AM105)=0,"",IF(AVERAGE('Weekly Data'!AJ105:AM105)&lt;0.55,"&lt;1",AVERAGE('Weekly Data'!AJ105:AM105)))</f>
        <v/>
      </c>
      <c r="L105" s="217" t="str">
        <f>IF(COUNT('Weekly Data'!AN105:AQ105)=0,"",IF(AVERAGE('Weekly Data'!AN105:AQ105)&lt;0.55,"&lt;1",AVERAGE('Weekly Data'!AN105:AQ105)))</f>
        <v/>
      </c>
      <c r="M105" s="217" t="str">
        <f>IF(COUNT('Weekly Data'!AR105:AV105)=0,"",IF(AVERAGE('Weekly Data'!AR105:AV105)&lt;0.55,"&lt;1",AVERAGE('Weekly Data'!AR105:AV105)))</f>
        <v/>
      </c>
      <c r="N105" s="217" t="str">
        <f>IF(COUNT('Weekly Data'!AW105:AZ105)=0,"",IF(AVERAGE('Weekly Data'!AW105:AZ105)&lt;0.55,"&lt;1",AVERAGE('Weekly Data'!AW105:AZ105)))</f>
        <v/>
      </c>
      <c r="O105" s="217" t="str">
        <f>IF(COUNT('Weekly Data'!BA105:BD105)=0,"",IF(AVERAGE('Weekly Data'!BA105:BD105)&lt;0.55,"&lt;1",AVERAGE('Weekly Data'!BA105:BD105)))</f>
        <v/>
      </c>
      <c r="P105" s="217"/>
      <c r="Q105" s="217" t="str">
        <f>IF(COUNT('Weekly Data'!E105:BD105)=0,"",IF(AVERAGE('Weekly Data'!E105:BD105)&lt;0.55,"&lt;1",AVERAGE('Weekly Data'!E105:BD105)))</f>
        <v/>
      </c>
      <c r="R105" s="217" t="str">
        <f>IF(COUNT('Weekly Data'!E105:BD105)=0,"",IF(MIN('Weekly Data'!E105:BD105)&lt;0.55,"&lt;1",MIN('Weekly Data'!E105:BD105)))</f>
        <v/>
      </c>
      <c r="S105" s="217" t="str">
        <f>IF(COUNT('Weekly Data'!E105:BD105)=0,"",IF(MAX('Weekly Data'!E105:BD105)&lt;0.55,"&lt;1",MAX('Weekly Data'!E105:BD105)))</f>
        <v/>
      </c>
      <c r="T105" s="293"/>
      <c r="U105" s="335"/>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spans="1:256">
      <c r="A106" s="1"/>
      <c r="B106" s="199" t="str">
        <f>'Weekly Data'!A106</f>
        <v>Faecal Streptococci</v>
      </c>
      <c r="C106" s="217" t="str">
        <f>'Weekly Data'!B106</f>
        <v>per 100 ml</v>
      </c>
      <c r="D106" s="217" t="str">
        <f>IF(COUNT('Weekly Data'!E106:I106)=0,"",IF(AVERAGE('Weekly Data'!E106:I106)&lt;0.55,"&lt;1",AVERAGE('Weekly Data'!E106:I106)))</f>
        <v>&lt;1</v>
      </c>
      <c r="E106" s="217" t="str">
        <f>IF(COUNT('Weekly Data'!J106:M106)=0,"",IF(AVERAGE('Weekly Data'!J106:M106)&lt;0.55,"&lt;1",AVERAGE('Weekly Data'!J106:M106)))</f>
        <v>&lt;1</v>
      </c>
      <c r="F106" s="217" t="str">
        <f>IF(COUNT('Weekly Data'!N106:Q106)=0,"",IF(AVERAGE('Weekly Data'!N106:Q106)&lt;0.55,"&lt;1",AVERAGE('Weekly Data'!N106:Q106)))</f>
        <v>&lt;1</v>
      </c>
      <c r="G106" s="217">
        <f>IF(COUNT('Weekly Data'!R106:V106)=0,"",IF(AVERAGE('Weekly Data'!R106:V106)&lt;0.55,"&lt;1",AVERAGE('Weekly Data'!R106:V106)))</f>
        <v>96.2</v>
      </c>
      <c r="H106" s="217">
        <f>IF(COUNT('Weekly Data'!W106:Z106)=0,"",IF(AVERAGE('Weekly Data'!W106:Z106)&lt;0.55,"&lt;1",AVERAGE('Weekly Data'!W106:Z106)))</f>
        <v>6</v>
      </c>
      <c r="I106" s="217">
        <f>IF(COUNT('Weekly Data'!AA106:AD106)=0,"",IF(AVERAGE('Weekly Data'!AA106:AD106)&lt;0.55,"&lt;1",AVERAGE('Weekly Data'!AA106:AD106)))</f>
        <v>3.5</v>
      </c>
      <c r="J106" s="217">
        <f>IF(COUNT('Weekly Data'!AE106:AI106)=0,"",IF(AVERAGE('Weekly Data'!AE106:AI106)&lt;0.55,"&lt;1",AVERAGE('Weekly Data'!AE106:AI106)))</f>
        <v>23.6</v>
      </c>
      <c r="K106" s="217">
        <f>IF(COUNT('Weekly Data'!AJ106:AM106)=0,"",IF(AVERAGE('Weekly Data'!AJ106:AM106)&lt;0.55,"&lt;1",AVERAGE('Weekly Data'!AJ106:AM106)))</f>
        <v>28.75</v>
      </c>
      <c r="L106" s="217">
        <f>IF(COUNT('Weekly Data'!AN106:AQ106)=0,"",IF(AVERAGE('Weekly Data'!AN106:AQ106)&lt;0.55,"&lt;1",AVERAGE('Weekly Data'!AN106:AQ106)))</f>
        <v>68.25</v>
      </c>
      <c r="M106" s="217">
        <f>IF(COUNT('Weekly Data'!AR106:AV106)=0,"",IF(AVERAGE('Weekly Data'!AR106:AV106)&lt;0.55,"&lt;1",AVERAGE('Weekly Data'!AR106:AV106)))</f>
        <v>78.8</v>
      </c>
      <c r="N106" s="217">
        <f>IF(COUNT('Weekly Data'!AW106:AZ106)=0,"",IF(AVERAGE('Weekly Data'!AW106:AZ106)&lt;0.55,"&lt;1",AVERAGE('Weekly Data'!AW106:AZ106)))</f>
        <v>13.75</v>
      </c>
      <c r="O106" s="217">
        <f>IF(COUNT('Weekly Data'!BA106:BD106)=0,"",IF(AVERAGE('Weekly Data'!BA106:BD106)&lt;0.55,"&lt;1",AVERAGE('Weekly Data'!BA106:BD106)))</f>
        <v>5</v>
      </c>
      <c r="P106" s="217"/>
      <c r="Q106" s="217">
        <f>IF(COUNT('Weekly Data'!E106:BD106)=0,"",IF(AVERAGE('Weekly Data'!E106:BD106)&lt;0.55,"&lt;1",AVERAGE('Weekly Data'!E106:BD106)))</f>
        <v>29.8</v>
      </c>
      <c r="R106" s="217" t="str">
        <f>IF(COUNT('Weekly Data'!E106:BD106)=0,"",IF(MIN('Weekly Data'!E106:BD106)&lt;0.55,"&lt;1",MIN('Weekly Data'!E106:BD106)))</f>
        <v>&lt;1</v>
      </c>
      <c r="S106" s="217">
        <f>IF(COUNT('Weekly Data'!E106:BD106)=0,"",IF(MAX('Weekly Data'!E106:BD106)&lt;0.55,"&lt;1",MAX('Weekly Data'!E106:BD106)))</f>
        <v>472</v>
      </c>
      <c r="T106" s="293"/>
      <c r="U106" s="335">
        <f>COUNT('Weekly Data'!E106:BC106)</f>
        <v>50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spans="1:256">
      <c r="A107" s="1"/>
      <c r="B107" s="199" t="str">
        <f>'Weekly Data'!A107</f>
        <v>Standard Plate Count</v>
      </c>
      <c r="C107" s="217" t="str">
        <f>'Weekly Data'!B107</f>
        <v>per 1 ml</v>
      </c>
      <c r="D107" s="217">
        <f>IF(COUNT('Weekly Data'!E107:I107)=0,"",IF(AVERAGE('Weekly Data'!E107:I107)&lt;0.055,"&lt;0.1",AVERAGE('Weekly Data'!E107:I107)))</f>
        <v>37.200000000000003</v>
      </c>
      <c r="E107" s="217">
        <f>IF(COUNT('Weekly Data'!J107:M107)=0,"",IF(AVERAGE('Weekly Data'!J107:M107)&lt;0.055,"&lt;0.1",AVERAGE('Weekly Data'!J107:M107)))</f>
        <v>25.366666666666664</v>
      </c>
      <c r="F107" s="217">
        <f>IF(COUNT('Weekly Data'!N107:Q107)=0,"",IF(AVERAGE('Weekly Data'!N107:Q107)&lt;0.055,"&lt;0.1",AVERAGE('Weekly Data'!N107:Q107)))</f>
        <v>14.875</v>
      </c>
      <c r="G107" s="217">
        <f>IF(COUNT('Weekly Data'!R107:V107)=0,"",IF(AVERAGE('Weekly Data'!R107:V107)&lt;0.055,"&lt;0.1",AVERAGE('Weekly Data'!R107:V107)))</f>
        <v>353.44</v>
      </c>
      <c r="H107" s="217">
        <f>IF(COUNT('Weekly Data'!W107:Z107)=0,"",IF(AVERAGE('Weekly Data'!W107:Z107)&lt;0.055,"&lt;0.1",AVERAGE('Weekly Data'!W107:Z107)))</f>
        <v>51.3</v>
      </c>
      <c r="I107" s="217">
        <f>IF(COUNT('Weekly Data'!AA107:AD107)=0,"",IF(AVERAGE('Weekly Data'!AA107:AD107)&lt;0.055,"&lt;0.1",AVERAGE('Weekly Data'!AA107:AD107)))</f>
        <v>916.5</v>
      </c>
      <c r="J107" s="217">
        <f>IF(COUNT('Weekly Data'!AE107:AI107)=0,"",IF(AVERAGE('Weekly Data'!AE107:AI107)&lt;0.055,"&lt;0.1",AVERAGE('Weekly Data'!AE107:AI107)))</f>
        <v>422</v>
      </c>
      <c r="K107" s="217">
        <f>IF(COUNT('Weekly Data'!AJ107:AM107)=0,"",IF(AVERAGE('Weekly Data'!AJ107:AM107)&lt;0.055,"&lt;0.1",AVERAGE('Weekly Data'!AJ107:AM107)))</f>
        <v>515.75</v>
      </c>
      <c r="L107" s="217">
        <f>IF(COUNT('Weekly Data'!AN107:AQ107)=0,"",IF(AVERAGE('Weekly Data'!AN107:AQ107)&lt;0.055,"&lt;0.1",AVERAGE('Weekly Data'!AN107:AQ107)))</f>
        <v>572</v>
      </c>
      <c r="M107" s="217">
        <f>IF(COUNT('Weekly Data'!AR107:AV107)=0,"",IF(AVERAGE('Weekly Data'!AR107:AV107)&lt;0.055,"&lt;0.1",AVERAGE('Weekly Data'!AR107:AV107)))</f>
        <v>285.48</v>
      </c>
      <c r="N107" s="217">
        <f>IF(COUNT('Weekly Data'!AW107:AZ107)=0,"",IF(AVERAGE('Weekly Data'!AW107:AZ107)&lt;0.055,"&lt;0.1",AVERAGE('Weekly Data'!AW107:AZ107)))</f>
        <v>305.66666666666669</v>
      </c>
      <c r="O107" s="217">
        <f>IF(COUNT('Weekly Data'!BA107:BD107)=0,"",IF(AVERAGE('Weekly Data'!BA107:BD107)&lt;0.055,"&lt;0.1",AVERAGE('Weekly Data'!BA107:BD107)))</f>
        <v>166.5</v>
      </c>
      <c r="P107" s="217"/>
      <c r="Q107" s="217">
        <f>IF(COUNT('Weekly Data'!E107:BD107)=0,"",IF(AVERAGE('Weekly Data'!E107:BD107)&lt;0.055,"&lt;0.1",AVERAGE('Weekly Data'!E107:BD107)))</f>
        <v>308.62799999999999</v>
      </c>
      <c r="R107" s="217">
        <f>IF(COUNT('Weekly Data'!E107:BD107)=0,"",IF(MIN('Weekly Data'!E107:BD107)&lt;0.055,"&lt;0.1",MIN('Weekly Data'!E107:BD107)))</f>
        <v>11.6</v>
      </c>
      <c r="S107" s="217">
        <f>IF(COUNT('Weekly Data'!E107:BD107)=0,"",IF(MAX('Weekly Data'!E107:BD107)&lt;0.055,"&lt;0.1",MAX('Weekly Data'!E107:BD107)))</f>
        <v>3426</v>
      </c>
      <c r="T107" s="293"/>
      <c r="U107" s="335">
        <f>COUNT('Weekly Data'!E107:BC107)</f>
        <v>49</v>
      </c>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row>
    <row r="108" spans="1:256">
      <c r="A108" s="1"/>
      <c r="B108" s="199"/>
      <c r="C108" s="217"/>
      <c r="D108" s="200"/>
      <c r="E108" s="200"/>
      <c r="F108" s="200"/>
      <c r="G108" s="200"/>
      <c r="H108" s="217"/>
      <c r="I108" s="200"/>
      <c r="J108" s="200"/>
      <c r="K108" s="200"/>
      <c r="L108" s="217"/>
      <c r="M108" s="200"/>
      <c r="N108" s="200"/>
      <c r="O108" s="200"/>
      <c r="P108" s="200"/>
      <c r="Q108" s="201"/>
      <c r="R108" s="201"/>
      <c r="S108" s="201"/>
      <c r="T108" s="293"/>
      <c r="U108" s="310"/>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spans="1:256">
      <c r="A109" s="1"/>
      <c r="B109" s="207" t="str">
        <f>'Weekly Data'!A109</f>
        <v>CHEMICAL DOSES</v>
      </c>
      <c r="C109" s="217"/>
      <c r="D109" s="200"/>
      <c r="E109" s="200"/>
      <c r="F109" s="200"/>
      <c r="G109" s="200"/>
      <c r="H109" s="217"/>
      <c r="I109" s="200"/>
      <c r="J109" s="200"/>
      <c r="K109" s="200"/>
      <c r="L109" s="217"/>
      <c r="M109" s="200"/>
      <c r="N109" s="200"/>
      <c r="O109" s="200"/>
      <c r="P109" s="200"/>
      <c r="Q109" s="201"/>
      <c r="R109" s="201"/>
      <c r="S109" s="201"/>
      <c r="T109" s="293"/>
      <c r="U109" s="220"/>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row>
    <row r="110" spans="1:256">
      <c r="A110" s="1"/>
      <c r="B110" s="199"/>
      <c r="C110" s="217"/>
      <c r="D110" s="200"/>
      <c r="E110" s="200"/>
      <c r="F110" s="200"/>
      <c r="G110" s="200"/>
      <c r="H110" s="217"/>
      <c r="I110" s="200"/>
      <c r="J110" s="200"/>
      <c r="K110" s="200"/>
      <c r="L110" s="217"/>
      <c r="M110" s="200"/>
      <c r="N110" s="200"/>
      <c r="O110" s="200"/>
      <c r="P110" s="200"/>
      <c r="Q110" s="201"/>
      <c r="R110" s="201"/>
      <c r="S110" s="201"/>
      <c r="T110" s="293"/>
      <c r="U110" s="310"/>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row>
    <row r="111" spans="1:256">
      <c r="A111" s="1"/>
      <c r="B111" s="199" t="str">
        <f>'Weekly Data'!A111</f>
        <v>Alum</v>
      </c>
      <c r="C111" s="217" t="str">
        <f>'Weekly Data'!B111</f>
        <v>mg/L</v>
      </c>
      <c r="D111" s="217">
        <f>IF(COUNT('Weekly Data'!E111:I111)=0,"",AVERAGE('Weekly Data'!E111:I111))</f>
        <v>60</v>
      </c>
      <c r="E111" s="217">
        <f>IF(COUNT('Weekly Data'!J111:M111)=0,"",AVERAGE('Weekly Data'!J111:M111))</f>
        <v>60</v>
      </c>
      <c r="F111" s="217">
        <f>IF(COUNT('Weekly Data'!N111:Q111)=0,"",AVERAGE('Weekly Data'!N111:Q111))</f>
        <v>65</v>
      </c>
      <c r="G111" s="217">
        <f>IF(COUNT('Weekly Data'!R111:V111)=0,"",AVERAGE('Weekly Data'!R111:V111))</f>
        <v>72.099999999999994</v>
      </c>
      <c r="H111" s="217">
        <f>IF(COUNT('Weekly Data'!W111:Z111)=0,"",AVERAGE('Weekly Data'!W111:Z111))</f>
        <v>67.5</v>
      </c>
      <c r="I111" s="217">
        <f>IF(COUNT('Weekly Data'!AA111:AD111)=0,"",AVERAGE('Weekly Data'!AA111:AD111))</f>
        <v>67.5</v>
      </c>
      <c r="J111" s="217">
        <f>IF(COUNT('Weekly Data'!AE111:AI111)=0,"",AVERAGE('Weekly Data'!AE111:AI111))</f>
        <v>70</v>
      </c>
      <c r="K111" s="217">
        <f>IF(COUNT('Weekly Data'!AJ111:AM111)=0,"",AVERAGE('Weekly Data'!AJ111:AM111))</f>
        <v>80</v>
      </c>
      <c r="L111" s="217">
        <f>IF(COUNT('Weekly Data'!AN111:AQ111)=0,"",AVERAGE('Weekly Data'!AN111:AQ111))</f>
        <v>85</v>
      </c>
      <c r="M111" s="217">
        <f>IF(COUNT('Weekly Data'!AR111:AV111)=0,"",AVERAGE('Weekly Data'!AR111:AV111))</f>
        <v>86.8</v>
      </c>
      <c r="N111" s="217">
        <f>IF(COUNT('Weekly Data'!AW111:AZ111)=0,"",AVERAGE('Weekly Data'!AW111:AZ111))</f>
        <v>67.5</v>
      </c>
      <c r="O111" s="217">
        <f>IF(COUNT('Weekly Data'!BA111:BD111)=0,"",AVERAGE('Weekly Data'!BA111:BD111))</f>
        <v>58.75</v>
      </c>
      <c r="P111" s="217"/>
      <c r="Q111" s="217">
        <f>IF(COUNT('Weekly Data'!E111:BD111)=0,"",AVERAGE('Weekly Data'!E111:BD111))</f>
        <v>70.382352941176464</v>
      </c>
      <c r="R111" s="217">
        <f>IF(COUNT('Weekly Data'!E111:BD111)=0,"",MIN('Weekly Data'!E111:BD111))</f>
        <v>55</v>
      </c>
      <c r="S111" s="217">
        <f>IF(COUNT('Weekly Data'!E111:BD111)=0,"",MAX('Weekly Data'!E111:BD111))</f>
        <v>100</v>
      </c>
      <c r="T111" s="293"/>
      <c r="U111" s="335">
        <f>COUNT('Weekly Data'!E111:BC111)</f>
        <v>50</v>
      </c>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row>
    <row r="112" spans="1:256">
      <c r="A112" s="1"/>
      <c r="B112" s="199" t="str">
        <f>'Weekly Data'!A112</f>
        <v>Alum\Raw DOC</v>
      </c>
      <c r="C112" s="217" t="str">
        <f>'Weekly Data'!B112</f>
        <v>ratio</v>
      </c>
      <c r="D112" s="219">
        <f>IF(COUNT('Weekly Data'!E112:I112)=0,"",AVERAGE('Weekly Data'!E112:I112))</f>
        <v>7.2399143493365274</v>
      </c>
      <c r="E112" s="219">
        <f>IF(COUNT('Weekly Data'!J112:M112)=0,"",AVERAGE('Weekly Data'!J112:M112))</f>
        <v>7.5031269543464667</v>
      </c>
      <c r="F112" s="219">
        <f>IF(COUNT('Weekly Data'!N112:Q112)=0,"",AVERAGE('Weekly Data'!N112:Q112))</f>
        <v>8.4432792176122078</v>
      </c>
      <c r="G112" s="219">
        <f>IF(COUNT('Weekly Data'!R112:V112)=0,"",AVERAGE('Weekly Data'!R112:V112))</f>
        <v>9.6565988835725669</v>
      </c>
      <c r="H112" s="219">
        <f>IF(COUNT('Weekly Data'!W112:Z112)=0,"",AVERAGE('Weekly Data'!W112:Z112))</f>
        <v>9.9632352941176485</v>
      </c>
      <c r="I112" s="219">
        <f>IF(COUNT('Weekly Data'!AA112:AD112)=0,"",AVERAGE('Weekly Data'!AA112:AD112))</f>
        <v>9.1624661029229824</v>
      </c>
      <c r="J112" s="219">
        <f>IF(COUNT('Weekly Data'!AE112:AI112)=0,"",AVERAGE('Weekly Data'!AE112:AI112))</f>
        <v>9.2609509030561661</v>
      </c>
      <c r="K112" s="219">
        <f>IF(COUNT('Weekly Data'!AJ112:AM112)=0,"",AVERAGE('Weekly Data'!AJ112:AM112))</f>
        <v>10.894127209916684</v>
      </c>
      <c r="L112" s="219">
        <f>IF(COUNT('Weekly Data'!AN112:AQ112)=0,"",AVERAGE('Weekly Data'!AN112:AQ112))</f>
        <v>10.890567765567766</v>
      </c>
      <c r="M112" s="219">
        <f>IF(COUNT('Weekly Data'!AR112:AV112)=0,"",AVERAGE('Weekly Data'!AR112:AV112))</f>
        <v>11.875939849624061</v>
      </c>
      <c r="N112" s="219">
        <f>IF(COUNT('Weekly Data'!AW112:AZ112)=0,"",AVERAGE('Weekly Data'!AW112:AZ112))</f>
        <v>10.412825577992392</v>
      </c>
      <c r="O112" s="219">
        <f>IF(COUNT('Weekly Data'!BA112:BD112)=0,"",AVERAGE('Weekly Data'!BA112:BD112))</f>
        <v>8.8169642857142865</v>
      </c>
      <c r="P112" s="219"/>
      <c r="Q112" s="219">
        <f>IF(COUNT('Weekly Data'!E112:BD112)=0,"",AVERAGE('Weekly Data'!E112:BD112))</f>
        <v>9.5638659664129531</v>
      </c>
      <c r="R112" s="219">
        <f>IF(COUNT('Weekly Data'!E112:BD112)=0,"",MIN('Weekly Data'!E112:BD112))</f>
        <v>6.7415730337078648</v>
      </c>
      <c r="S112" s="219">
        <f>IF(COUNT('Weekly Data'!E112:BD112)=0,"",MAX('Weekly Data'!E112:BD112))</f>
        <v>13.333333333333334</v>
      </c>
      <c r="T112" s="293"/>
      <c r="U112" s="335"/>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row>
    <row r="113" spans="1:256">
      <c r="A113" s="1"/>
      <c r="B113" s="199" t="str">
        <f>'Weekly Data'!A113</f>
        <v>Chlorine-pre</v>
      </c>
      <c r="C113" s="217" t="str">
        <f>'Weekly Data'!B113</f>
        <v>mg/L</v>
      </c>
      <c r="D113" s="201">
        <f>IF(COUNT('Weekly Data'!E113:I113)=0,"",AVERAGE('Weekly Data'!E113:I113))</f>
        <v>3.96</v>
      </c>
      <c r="E113" s="201">
        <f>IF(COUNT('Weekly Data'!J113:M113)=0,"",AVERAGE('Weekly Data'!J113:M113))</f>
        <v>4.5333333333333332</v>
      </c>
      <c r="F113" s="201">
        <f>IF(COUNT('Weekly Data'!N113:Q113)=0,"",AVERAGE('Weekly Data'!N113:Q113))</f>
        <v>4.1574999999999998</v>
      </c>
      <c r="G113" s="201">
        <f>IF(COUNT('Weekly Data'!R113:V113)=0,"",AVERAGE('Weekly Data'!R113:V113))</f>
        <v>5.2799999999999994</v>
      </c>
      <c r="H113" s="201">
        <f>IF(COUNT('Weekly Data'!W113:Z113)=0,"",AVERAGE('Weekly Data'!W113:Z113))</f>
        <v>3.75</v>
      </c>
      <c r="I113" s="201">
        <f>IF(COUNT('Weekly Data'!AA113:AD113)=0,"",AVERAGE('Weekly Data'!AA113:AD113))</f>
        <v>3.15</v>
      </c>
      <c r="J113" s="201">
        <f>IF(COUNT('Weekly Data'!AE113:AI113)=0,"",AVERAGE('Weekly Data'!AE113:AI113))</f>
        <v>4.5200000000000005</v>
      </c>
      <c r="K113" s="201">
        <f>IF(COUNT('Weekly Data'!AJ113:AM113)=0,"",AVERAGE('Weekly Data'!AJ113:AM113))</f>
        <v>4.6749999999999998</v>
      </c>
      <c r="L113" s="201">
        <f>IF(COUNT('Weekly Data'!AN113:AQ113)=0,"",AVERAGE('Weekly Data'!AN113:AQ113))</f>
        <v>5.0250000000000004</v>
      </c>
      <c r="M113" s="201">
        <f>IF(COUNT('Weekly Data'!AR113:AV113)=0,"",AVERAGE('Weekly Data'!AR113:AV113))</f>
        <v>3.3000000000000007</v>
      </c>
      <c r="N113" s="201">
        <f>IF(COUNT('Weekly Data'!AW113:AZ113)=0,"",AVERAGE('Weekly Data'!AW113:AZ113))</f>
        <v>2.5249999999999999</v>
      </c>
      <c r="O113" s="201">
        <f>IF(COUNT('Weekly Data'!BA113:BD113)=0,"",AVERAGE('Weekly Data'!BA113:BD113))</f>
        <v>3.3</v>
      </c>
      <c r="P113" s="201"/>
      <c r="Q113" s="201">
        <f>IF(COUNT('Weekly Data'!E113:BD113)=0,"",AVERAGE('Weekly Data'!E113:BD113))</f>
        <v>4.0241176470588247</v>
      </c>
      <c r="R113" s="201">
        <f>IF(COUNT('Weekly Data'!E113:BD113)=0,"",MIN('Weekly Data'!E113:BD113))</f>
        <v>1.6</v>
      </c>
      <c r="S113" s="201">
        <f>IF(COUNT('Weekly Data'!E113:BD113)=0,"",MAX('Weekly Data'!E113:BD113))</f>
        <v>5.5</v>
      </c>
      <c r="T113" s="293"/>
      <c r="U113" s="335">
        <f>COUNT('Weekly Data'!E113:BC113)</f>
        <v>50</v>
      </c>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row>
    <row r="114" spans="1:256">
      <c r="A114" s="1"/>
      <c r="B114" s="199" t="str">
        <f>'Weekly Data'!A114</f>
        <v>Chlorine-intermed</v>
      </c>
      <c r="C114" s="217" t="str">
        <f>'Weekly Data'!B114</f>
        <v>mg/L</v>
      </c>
      <c r="D114" s="201" t="str">
        <f>IF(COUNT('Weekly Data'!E114:I114)=0,"",AVERAGE('Weekly Data'!E114:I114))</f>
        <v/>
      </c>
      <c r="E114" s="201" t="str">
        <f>IF(COUNT('Weekly Data'!J114:M114)=0,"",AVERAGE('Weekly Data'!J114:M114))</f>
        <v/>
      </c>
      <c r="F114" s="201" t="str">
        <f>IF(COUNT('Weekly Data'!N114:Q114)=0,"",AVERAGE('Weekly Data'!N114:Q114))</f>
        <v/>
      </c>
      <c r="G114" s="201" t="str">
        <f>IF(COUNT('Weekly Data'!R114:V114)=0,"",AVERAGE('Weekly Data'!R114:V114))</f>
        <v/>
      </c>
      <c r="H114" s="201" t="str">
        <f>IF(COUNT('Weekly Data'!W114:Z114)=0,"",AVERAGE('Weekly Data'!W114:Z114))</f>
        <v/>
      </c>
      <c r="I114" s="201" t="str">
        <f>IF(COUNT('Weekly Data'!AA114:AD114)=0,"",AVERAGE('Weekly Data'!AA114:AD114))</f>
        <v/>
      </c>
      <c r="J114" s="201" t="str">
        <f>IF(COUNT('Weekly Data'!AE114:AI114)=0,"",AVERAGE('Weekly Data'!AE114:AI114))</f>
        <v/>
      </c>
      <c r="K114" s="201" t="str">
        <f>IF(COUNT('Weekly Data'!AJ114:AM114)=0,"",AVERAGE('Weekly Data'!AJ114:AM114))</f>
        <v/>
      </c>
      <c r="L114" s="201" t="str">
        <f>IF(COUNT('Weekly Data'!AN114:AQ114)=0,"",AVERAGE('Weekly Data'!AN114:AQ114))</f>
        <v/>
      </c>
      <c r="M114" s="201" t="str">
        <f>IF(COUNT('Weekly Data'!AR114:AV114)=0,"",AVERAGE('Weekly Data'!AR114:AV114))</f>
        <v/>
      </c>
      <c r="N114" s="201" t="str">
        <f>IF(COUNT('Weekly Data'!AW114:AZ114)=0,"",AVERAGE('Weekly Data'!AW114:AZ114))</f>
        <v/>
      </c>
      <c r="O114" s="201" t="str">
        <f>IF(COUNT('Weekly Data'!BA114:BD114)=0,"",AVERAGE('Weekly Data'!BA114:BD114))</f>
        <v/>
      </c>
      <c r="P114" s="201"/>
      <c r="Q114" s="201" t="str">
        <f>IF(COUNT('Weekly Data'!E114:BD114)=0,"",AVERAGE('Weekly Data'!E114:BD114))</f>
        <v/>
      </c>
      <c r="R114" s="201" t="str">
        <f>IF(COUNT('Weekly Data'!E114:BD114)=0,"",MIN('Weekly Data'!E114:BD114))</f>
        <v/>
      </c>
      <c r="S114" s="201" t="str">
        <f>IF(COUNT('Weekly Data'!E114:BD114)=0,"",MAX('Weekly Data'!E114:BD114))</f>
        <v/>
      </c>
      <c r="T114" s="293"/>
      <c r="U114" s="335">
        <f>COUNT('Weekly Data'!E114:BC114)</f>
        <v>0</v>
      </c>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row>
    <row r="115" spans="1:256">
      <c r="A115" s="1"/>
      <c r="B115" s="199" t="str">
        <f>'Weekly Data'!A115</f>
        <v>Chlorine-post</v>
      </c>
      <c r="C115" s="217" t="str">
        <f>'Weekly Data'!B115</f>
        <v>mg/L</v>
      </c>
      <c r="D115" s="201" t="str">
        <f>IF(COUNT('Weekly Data'!E115:I115)=0,"",AVERAGE('Weekly Data'!E115:I115))</f>
        <v/>
      </c>
      <c r="E115" s="201" t="str">
        <f>IF(COUNT('Weekly Data'!J115:M115)=0,"",AVERAGE('Weekly Data'!J115:M115))</f>
        <v/>
      </c>
      <c r="F115" s="201" t="str">
        <f>IF(COUNT('Weekly Data'!N115:Q115)=0,"",AVERAGE('Weekly Data'!N115:Q115))</f>
        <v/>
      </c>
      <c r="G115" s="201" t="str">
        <f>IF(COUNT('Weekly Data'!R115:V115)=0,"",AVERAGE('Weekly Data'!R115:V115))</f>
        <v/>
      </c>
      <c r="H115" s="201" t="str">
        <f>IF(COUNT('Weekly Data'!W115:Z115)=0,"",AVERAGE('Weekly Data'!W115:Z115))</f>
        <v/>
      </c>
      <c r="I115" s="201">
        <f>IF(COUNT('Weekly Data'!AA115:AD115)=0,"",AVERAGE('Weekly Data'!AA115:AD115))</f>
        <v>1.2250000000000001</v>
      </c>
      <c r="J115" s="201">
        <f>IF(COUNT('Weekly Data'!AE115:AI115)=0,"",AVERAGE('Weekly Data'!AE115:AI115))</f>
        <v>1.46</v>
      </c>
      <c r="K115" s="201">
        <f>IF(COUNT('Weekly Data'!AJ115:AM115)=0,"",AVERAGE('Weekly Data'!AJ115:AM115))</f>
        <v>1.175</v>
      </c>
      <c r="L115" s="201">
        <f>IF(COUNT('Weekly Data'!AN115:AQ115)=0,"",AVERAGE('Weekly Data'!AN115:AQ115))</f>
        <v>1.1499999999999999</v>
      </c>
      <c r="M115" s="201">
        <f>IF(COUNT('Weekly Data'!AR115:AV115)=0,"",AVERAGE('Weekly Data'!AR115:AV115))</f>
        <v>1.2</v>
      </c>
      <c r="N115" s="201">
        <f>IF(COUNT('Weekly Data'!AW115:AZ115)=0,"",AVERAGE('Weekly Data'!AW115:AZ115))</f>
        <v>1.4000000000000001</v>
      </c>
      <c r="O115" s="201" t="str">
        <f>IF(COUNT('Weekly Data'!BA115:BD115)=0,"",AVERAGE('Weekly Data'!BA115:BD115))</f>
        <v/>
      </c>
      <c r="P115" s="201"/>
      <c r="Q115" s="201">
        <f>IF(COUNT('Weekly Data'!E115:BD115)=0,"",AVERAGE('Weekly Data'!E115:BD115))</f>
        <v>1.268</v>
      </c>
      <c r="R115" s="201">
        <f>IF(COUNT('Weekly Data'!E115:BD115)=0,"",MIN('Weekly Data'!E115:BD115))</f>
        <v>1</v>
      </c>
      <c r="S115" s="201">
        <f>IF(COUNT('Weekly Data'!E115:BD115)=0,"",MAX('Weekly Data'!E115:BD115))</f>
        <v>1.6</v>
      </c>
      <c r="T115" s="293"/>
      <c r="U115" s="335">
        <f>COUNT('Weekly Data'!E115:BC115)</f>
        <v>25</v>
      </c>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row>
    <row r="116" spans="1:256">
      <c r="A116" s="1"/>
      <c r="B116" s="199" t="str">
        <f>'Weekly Data'!A116</f>
        <v>Fluoride (Set Point for MJ)</v>
      </c>
      <c r="C116" s="217" t="str">
        <f>'Weekly Data'!B116</f>
        <v>mg/L</v>
      </c>
      <c r="D116" s="219">
        <f>IF(COUNT('Weekly Data'!E116:I116)=0,"",AVERAGE('Weekly Data'!E116:I116))</f>
        <v>0.95</v>
      </c>
      <c r="E116" s="219">
        <f>IF(COUNT('Weekly Data'!J116:M116)=0,"",AVERAGE('Weekly Data'!J116:M116))</f>
        <v>0.94999999999999984</v>
      </c>
      <c r="F116" s="219">
        <f>IF(COUNT('Weekly Data'!N116:Q116)=0,"",AVERAGE('Weekly Data'!N116:Q116))</f>
        <v>0.95</v>
      </c>
      <c r="G116" s="219">
        <f>IF(COUNT('Weekly Data'!R116:V116)=0,"",AVERAGE('Weekly Data'!R116:V116))</f>
        <v>0.95</v>
      </c>
      <c r="H116" s="219">
        <f>IF(COUNT('Weekly Data'!W116:Z116)=0,"",AVERAGE('Weekly Data'!W116:Z116))</f>
        <v>0.95</v>
      </c>
      <c r="I116" s="219">
        <f>IF(COUNT('Weekly Data'!AA116:AD116)=0,"",AVERAGE('Weekly Data'!AA116:AD116))</f>
        <v>0.95</v>
      </c>
      <c r="J116" s="219">
        <f>IF(COUNT('Weekly Data'!AE116:AI116)=0,"",AVERAGE('Weekly Data'!AE116:AI116))</f>
        <v>0.95</v>
      </c>
      <c r="K116" s="219">
        <f>IF(COUNT('Weekly Data'!AJ116:AM116)=0,"",AVERAGE('Weekly Data'!AJ116:AM116))</f>
        <v>0.95</v>
      </c>
      <c r="L116" s="219">
        <f>IF(COUNT('Weekly Data'!AN116:AQ116)=0,"",AVERAGE('Weekly Data'!AN116:AQ116))</f>
        <v>0.95</v>
      </c>
      <c r="M116" s="219">
        <f>IF(COUNT('Weekly Data'!AR116:AV116)=0,"",AVERAGE('Weekly Data'!AR116:AV116))</f>
        <v>0.95</v>
      </c>
      <c r="N116" s="219">
        <f>IF(COUNT('Weekly Data'!AW116:AZ116)=0,"",AVERAGE('Weekly Data'!AW116:AZ116))</f>
        <v>0.95</v>
      </c>
      <c r="O116" s="219">
        <f>IF(COUNT('Weekly Data'!BA116:BD116)=0,"",AVERAGE('Weekly Data'!BA116:BD116))</f>
        <v>0.95</v>
      </c>
      <c r="P116" s="219"/>
      <c r="Q116" s="219">
        <f>IF(COUNT('Weekly Data'!E116:BD116)=0,"",AVERAGE('Weekly Data'!E116:BD116))</f>
        <v>0.95000000000000062</v>
      </c>
      <c r="R116" s="219">
        <f>IF(COUNT('Weekly Data'!E116:BD116)=0,"",MIN('Weekly Data'!E116:BD116))</f>
        <v>0.95</v>
      </c>
      <c r="S116" s="219">
        <f>IF(COUNT('Weekly Data'!E116:BD116)=0,"",MAX('Weekly Data'!E116:BD116))</f>
        <v>0.95</v>
      </c>
      <c r="T116" s="293"/>
      <c r="U116" s="335">
        <f>COUNT('Weekly Data'!E116:BC116)</f>
        <v>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row>
    <row r="117" spans="1:256">
      <c r="A117" s="1"/>
      <c r="B117" s="199" t="str">
        <f>'Weekly Data'!A117</f>
        <v>Powdered Carbon</v>
      </c>
      <c r="C117" s="217" t="str">
        <f>'Weekly Data'!B117</f>
        <v>mg/L</v>
      </c>
      <c r="D117" s="201" t="str">
        <f>IF(COUNT('Weekly Data'!E117:I117)=0,"",AVERAGE('Weekly Data'!E117:I117))</f>
        <v/>
      </c>
      <c r="E117" s="201" t="str">
        <f>IF(COUNT('Weekly Data'!J117:M117)=0,"",AVERAGE('Weekly Data'!J117:M117))</f>
        <v/>
      </c>
      <c r="F117" s="201" t="str">
        <f>IF(COUNT('Weekly Data'!N117:Q117)=0,"",AVERAGE('Weekly Data'!N117:Q117))</f>
        <v/>
      </c>
      <c r="G117" s="201" t="str">
        <f>IF(COUNT('Weekly Data'!R117:V117)=0,"",AVERAGE('Weekly Data'!R117:V117))</f>
        <v/>
      </c>
      <c r="H117" s="201" t="str">
        <f>IF(COUNT('Weekly Data'!W117:Z117)=0,"",AVERAGE('Weekly Data'!W117:Z117))</f>
        <v/>
      </c>
      <c r="I117" s="201" t="str">
        <f>IF(COUNT('Weekly Data'!AA117:AD117)=0,"",AVERAGE('Weekly Data'!AA117:AD117))</f>
        <v/>
      </c>
      <c r="J117" s="201" t="str">
        <f>IF(COUNT('Weekly Data'!AE117:AI117)=0,"",AVERAGE('Weekly Data'!AE117:AI117))</f>
        <v/>
      </c>
      <c r="K117" s="201" t="str">
        <f>IF(COUNT('Weekly Data'!AJ117:AM117)=0,"",AVERAGE('Weekly Data'!AJ117:AM117))</f>
        <v/>
      </c>
      <c r="L117" s="201" t="str">
        <f>IF(COUNT('Weekly Data'!AN117:AQ117)=0,"",AVERAGE('Weekly Data'!AN117:AQ117))</f>
        <v/>
      </c>
      <c r="M117" s="201" t="str">
        <f>IF(COUNT('Weekly Data'!AR117:AV117)=0,"",AVERAGE('Weekly Data'!AR117:AV117))</f>
        <v/>
      </c>
      <c r="N117" s="201" t="str">
        <f>IF(COUNT('Weekly Data'!AW117:AZ117)=0,"",AVERAGE('Weekly Data'!AW117:AZ117))</f>
        <v/>
      </c>
      <c r="O117" s="201" t="str">
        <f>IF(COUNT('Weekly Data'!BA117:BD117)=0,"",AVERAGE('Weekly Data'!BA117:BD117))</f>
        <v/>
      </c>
      <c r="P117" s="201"/>
      <c r="Q117" s="201" t="str">
        <f>IF(COUNT('Weekly Data'!E117:BD117)=0,"",AVERAGE('Weekly Data'!E117:BD117))</f>
        <v/>
      </c>
      <c r="R117" s="201" t="str">
        <f>IF(COUNT('Weekly Data'!E117:BD117)=0,"",MIN('Weekly Data'!E117:BD117))</f>
        <v/>
      </c>
      <c r="S117" s="201" t="str">
        <f>IF(COUNT('Weekly Data'!E117:BD117)=0,"",MAX('Weekly Data'!E117:BD117))</f>
        <v/>
      </c>
      <c r="T117" s="293"/>
      <c r="U117" s="335">
        <f>COUNT('Weekly Data'!E117:BC117)</f>
        <v>0</v>
      </c>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row>
    <row r="118" spans="1:256">
      <c r="A118" s="1"/>
      <c r="B118" s="199" t="str">
        <f>'Weekly Data'!A118</f>
        <v>Total Chlorine dose</v>
      </c>
      <c r="C118" s="217" t="str">
        <f>'Weekly Data'!B118</f>
        <v>mg/L (Calc)</v>
      </c>
      <c r="D118" s="201">
        <f>IF(COUNT('Weekly Data'!E118:I118)=0,"",AVERAGE('Weekly Data'!E118:I118))</f>
        <v>3.96</v>
      </c>
      <c r="E118" s="201">
        <f>IF(COUNT('Weekly Data'!J118:M118)=0,"",AVERAGE('Weekly Data'!J118:M118))</f>
        <v>4.5333333333333332</v>
      </c>
      <c r="F118" s="201">
        <f>IF(COUNT('Weekly Data'!N118:Q118)=0,"",AVERAGE('Weekly Data'!N118:Q118))</f>
        <v>4.1574999999999998</v>
      </c>
      <c r="G118" s="201">
        <f>IF(COUNT('Weekly Data'!R118:V118)=0,"",AVERAGE('Weekly Data'!R118:V118))</f>
        <v>5.2799999999999994</v>
      </c>
      <c r="H118" s="201">
        <f>IF(COUNT('Weekly Data'!W118:Z118)=0,"",AVERAGE('Weekly Data'!W118:Z118))</f>
        <v>3.75</v>
      </c>
      <c r="I118" s="201">
        <f>IF(COUNT('Weekly Data'!AA118:AD118)=0,"",AVERAGE('Weekly Data'!AA118:AD118))</f>
        <v>4.375</v>
      </c>
      <c r="J118" s="201">
        <f>IF(COUNT('Weekly Data'!AE118:AI118)=0,"",AVERAGE('Weekly Data'!AE118:AI118))</f>
        <v>5.9799999999999995</v>
      </c>
      <c r="K118" s="201">
        <f>IF(COUNT('Weekly Data'!AJ118:AM118)=0,"",AVERAGE('Weekly Data'!AJ118:AM118))</f>
        <v>5.85</v>
      </c>
      <c r="L118" s="201">
        <f>IF(COUNT('Weekly Data'!AN118:AQ118)=0,"",AVERAGE('Weekly Data'!AN118:AQ118))</f>
        <v>6.1749999999999998</v>
      </c>
      <c r="M118" s="201">
        <f>IF(COUNT('Weekly Data'!AR118:AV118)=0,"",AVERAGE('Weekly Data'!AR118:AV118))</f>
        <v>4.5000000000000009</v>
      </c>
      <c r="N118" s="201">
        <f>IF(COUNT('Weekly Data'!AW118:AZ118)=0,"",AVERAGE('Weekly Data'!AW118:AZ118))</f>
        <v>3.5749999999999997</v>
      </c>
      <c r="O118" s="201">
        <f>IF(COUNT('Weekly Data'!BA118:BD118)=0,"",AVERAGE('Weekly Data'!BA118:BD118))</f>
        <v>3.3</v>
      </c>
      <c r="P118" s="201"/>
      <c r="Q118" s="201">
        <f>IF(COUNT('Weekly Data'!E118:BD118)=0,"",AVERAGE('Weekly Data'!E118:BD118))</f>
        <v>4.6456862745098046</v>
      </c>
      <c r="R118" s="201">
        <f>IF(COUNT('Weekly Data'!E118:BD118)=0,"",MIN('Weekly Data'!E118:BD118))</f>
        <v>2.8</v>
      </c>
      <c r="S118" s="201">
        <f>IF(COUNT('Weekly Data'!E118:BD118)=0,"",MAX('Weekly Data'!E118:BD118))</f>
        <v>6.7</v>
      </c>
      <c r="T118" s="293"/>
      <c r="U118" s="335">
        <f>COUNT('Weekly Data'!E118:BC118)</f>
        <v>50</v>
      </c>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row>
    <row r="119" spans="1:256">
      <c r="A119" s="1"/>
      <c r="B119" s="199" t="str">
        <f>'Weekly Data'!A119</f>
        <v>Date GAC`s ON</v>
      </c>
      <c r="C119" s="217"/>
      <c r="D119" s="237" t="str">
        <f>IF(COUNT('Weekly Data'!E119:I119)=0,"",AVERAGE('Weekly Data'!E119:I119))</f>
        <v/>
      </c>
      <c r="E119" s="237" t="str">
        <f>IF(COUNT('Weekly Data'!J119:M119)=0,"",AVERAGE('Weekly Data'!J119:M119))</f>
        <v/>
      </c>
      <c r="F119" s="237" t="str">
        <f>IF(COUNT('Weekly Data'!N119:Q119)=0,"",AVERAGE('Weekly Data'!N119:Q119))</f>
        <v/>
      </c>
      <c r="G119" s="237" t="str">
        <f>IF(COUNT('Weekly Data'!R119:V119)=0,"",AVERAGE('Weekly Data'!R119:V119))</f>
        <v/>
      </c>
      <c r="H119" s="237">
        <f>IF(COUNT('Weekly Data'!W119:Z119)=0,"",AVERAGE('Weekly Data'!W119:Z119))</f>
        <v>37042</v>
      </c>
      <c r="I119" s="237" t="str">
        <f>IF(COUNT('Weekly Data'!AA119:AD119)=0,"",AVERAGE('Weekly Data'!AA119:AD119))</f>
        <v/>
      </c>
      <c r="J119" s="237" t="str">
        <f>IF(COUNT('Weekly Data'!AE119:AI119)=0,"",AVERAGE('Weekly Data'!AE119:AI119))</f>
        <v/>
      </c>
      <c r="K119" s="237" t="str">
        <f>IF(COUNT('Weekly Data'!AJ119:AM119)=0,"",AVERAGE('Weekly Data'!AJ119:AM119))</f>
        <v/>
      </c>
      <c r="L119" s="237" t="str">
        <f>IF(COUNT('Weekly Data'!AN119:AQ119)=0,"",AVERAGE('Weekly Data'!AN119:AQ119))</f>
        <v/>
      </c>
      <c r="M119" s="237" t="str">
        <f>IF(COUNT('Weekly Data'!AR119:AV119)=0,"",AVERAGE('Weekly Data'!AR119:AV119))</f>
        <v/>
      </c>
      <c r="N119" s="237" t="str">
        <f>IF(COUNT('Weekly Data'!AW119:AZ119)=0,"",AVERAGE('Weekly Data'!AW119:AZ119))</f>
        <v/>
      </c>
      <c r="O119" s="237" t="str">
        <f>IF(COUNT('Weekly Data'!BA119:BD119)=0,"",AVERAGE('Weekly Data'!BA119:BD119))</f>
        <v/>
      </c>
      <c r="P119" s="237"/>
      <c r="Q119" s="238">
        <f>IF(COUNT('Weekly Data'!E119:BD119)=0,"",AVERAGE('Weekly Data'!E119:BD119))</f>
        <v>37042</v>
      </c>
      <c r="R119" s="238"/>
      <c r="S119" s="238"/>
      <c r="T119" s="293"/>
      <c r="U119" s="335">
        <f>COUNT('Weekly Data'!E119:BC119)</f>
        <v>1</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row>
    <row r="120" spans="1:256">
      <c r="A120" s="1"/>
      <c r="B120" s="199" t="str">
        <f>'Weekly Data'!A120</f>
        <v>Date GAC`s OFF</v>
      </c>
      <c r="C120" s="217"/>
      <c r="D120" s="237" t="str">
        <f>IF(COUNT('Weekly Data'!E120:I120)=0,"",AVERAGE('Weekly Data'!E120:I120))</f>
        <v/>
      </c>
      <c r="E120" s="237" t="str">
        <f>IF(COUNT('Weekly Data'!J120:M120)=0,"",AVERAGE('Weekly Data'!J120:M120))</f>
        <v/>
      </c>
      <c r="F120" s="237" t="str">
        <f>IF(COUNT('Weekly Data'!N120:Q120)=0,"",AVERAGE('Weekly Data'!N120:Q120))</f>
        <v/>
      </c>
      <c r="G120" s="237" t="str">
        <f>IF(COUNT('Weekly Data'!R120:V120)=0,"",AVERAGE('Weekly Data'!R120:V120))</f>
        <v/>
      </c>
      <c r="H120" s="237" t="str">
        <f>IF(COUNT('Weekly Data'!W120:Z120)=0,"",AVERAGE('Weekly Data'!W120:Z120))</f>
        <v/>
      </c>
      <c r="I120" s="237" t="str">
        <f>IF(COUNT('Weekly Data'!AA120:AD120)=0,"",AVERAGE('Weekly Data'!AA120:AD120))</f>
        <v/>
      </c>
      <c r="J120" s="237" t="str">
        <f>IF(COUNT('Weekly Data'!AE120:AI120)=0,"",AVERAGE('Weekly Data'!AE120:AI120))</f>
        <v/>
      </c>
      <c r="K120" s="237" t="str">
        <f>IF(COUNT('Weekly Data'!AJ120:AM120)=0,"",AVERAGE('Weekly Data'!AJ120:AM120))</f>
        <v/>
      </c>
      <c r="L120" s="237" t="str">
        <f>IF(COUNT('Weekly Data'!AN120:AQ120)=0,"",AVERAGE('Weekly Data'!AN120:AQ120))</f>
        <v/>
      </c>
      <c r="M120" s="237" t="str">
        <f>IF(COUNT('Weekly Data'!AR120:AV120)=0,"",AVERAGE('Weekly Data'!AR120:AV120))</f>
        <v/>
      </c>
      <c r="N120" s="237">
        <f>IF(COUNT('Weekly Data'!AW120:AZ120)=0,"",AVERAGE('Weekly Data'!AW120:AZ120))</f>
        <v>37215</v>
      </c>
      <c r="O120" s="237" t="str">
        <f>IF(COUNT('Weekly Data'!BA120:BD120)=0,"",AVERAGE('Weekly Data'!BA120:BD120))</f>
        <v/>
      </c>
      <c r="P120" s="237"/>
      <c r="Q120" s="238">
        <f>IF(COUNT('Weekly Data'!E120:BD120)=0,"",AVERAGE('Weekly Data'!E120:BD120))</f>
        <v>37215</v>
      </c>
      <c r="R120" s="238"/>
      <c r="S120" s="238"/>
      <c r="T120" s="293"/>
      <c r="U120" s="335">
        <f>COUNT('Weekly Data'!E120:BC120)</f>
        <v>1</v>
      </c>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row>
    <row r="121" spans="1:256">
      <c r="A121" s="1"/>
      <c r="B121" s="199" t="str">
        <f>'Weekly Data'!A121</f>
        <v>Date Ice ON Lake</v>
      </c>
      <c r="C121" s="217"/>
      <c r="D121" s="237" t="str">
        <f>IF(COUNT('Weekly Data'!E121:I121)=0,"",AVERAGE('Weekly Data'!E121:I121))</f>
        <v/>
      </c>
      <c r="E121" s="237" t="str">
        <f>IF(COUNT('Weekly Data'!J121:M121)=0,"",AVERAGE('Weekly Data'!J121:M121))</f>
        <v/>
      </c>
      <c r="F121" s="237" t="str">
        <f>IF(COUNT('Weekly Data'!N121:Q121)=0,"",AVERAGE('Weekly Data'!N121:Q121))</f>
        <v/>
      </c>
      <c r="G121" s="237" t="str">
        <f>IF(COUNT('Weekly Data'!R121:V121)=0,"",AVERAGE('Weekly Data'!R121:V121))</f>
        <v/>
      </c>
      <c r="H121" s="237" t="str">
        <f>IF(COUNT('Weekly Data'!W121:Z121)=0,"",AVERAGE('Weekly Data'!W121:Z121))</f>
        <v/>
      </c>
      <c r="I121" s="237" t="str">
        <f>IF(COUNT('Weekly Data'!AA121:AD121)=0,"",AVERAGE('Weekly Data'!AA121:AD121))</f>
        <v/>
      </c>
      <c r="J121" s="237" t="str">
        <f>IF(COUNT('Weekly Data'!AE121:AI121)=0,"",AVERAGE('Weekly Data'!AE121:AI121))</f>
        <v/>
      </c>
      <c r="K121" s="237" t="str">
        <f>IF(COUNT('Weekly Data'!AJ121:AM121)=0,"",AVERAGE('Weekly Data'!AJ121:AM121))</f>
        <v/>
      </c>
      <c r="L121" s="237" t="str">
        <f>IF(COUNT('Weekly Data'!AN121:AQ121)=0,"",AVERAGE('Weekly Data'!AN121:AQ121))</f>
        <v/>
      </c>
      <c r="M121" s="237" t="str">
        <f>IF(COUNT('Weekly Data'!AR121:AV121)=0,"",AVERAGE('Weekly Data'!AR121:AV121))</f>
        <v/>
      </c>
      <c r="N121" s="237">
        <f>IF(COUNT('Weekly Data'!AW121:AZ121)=0,"",AVERAGE('Weekly Data'!AW121:AZ121))</f>
        <v>37222</v>
      </c>
      <c r="O121" s="237" t="str">
        <f>IF(COUNT('Weekly Data'!BA121:BD121)=0,"",AVERAGE('Weekly Data'!BA121:BD121))</f>
        <v/>
      </c>
      <c r="P121" s="237"/>
      <c r="Q121" s="238">
        <f>IF(COUNT('Weekly Data'!E121:BD121)=0,"",AVERAGE('Weekly Data'!E121:BD121))</f>
        <v>37222</v>
      </c>
      <c r="R121" s="238"/>
      <c r="S121" s="238"/>
      <c r="T121" s="293"/>
      <c r="U121" s="335">
        <f>COUNT('Weekly Data'!E121:BC121)</f>
        <v>1</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row>
    <row r="122" spans="1:256">
      <c r="A122" s="1"/>
      <c r="B122" s="199" t="str">
        <f>'Weekly Data'!A122</f>
        <v>Date Ice OFF Lake</v>
      </c>
      <c r="C122" s="217"/>
      <c r="D122" s="237" t="str">
        <f>IF(COUNT('Weekly Data'!E122:I122)=0,"",AVERAGE('Weekly Data'!E122:I122))</f>
        <v/>
      </c>
      <c r="E122" s="237" t="str">
        <f>IF(COUNT('Weekly Data'!J122:M122)=0,"",AVERAGE('Weekly Data'!J122:M122))</f>
        <v/>
      </c>
      <c r="F122" s="237" t="str">
        <f>IF(COUNT('Weekly Data'!N122:Q122)=0,"",AVERAGE('Weekly Data'!N122:Q122))</f>
        <v/>
      </c>
      <c r="G122" s="237">
        <f>IF(COUNT('Weekly Data'!R122:V122)=0,"",AVERAGE('Weekly Data'!R122:V122))</f>
        <v>37008</v>
      </c>
      <c r="H122" s="237" t="str">
        <f>IF(COUNT('Weekly Data'!W122:Z122)=0,"",AVERAGE('Weekly Data'!W122:Z122))</f>
        <v/>
      </c>
      <c r="I122" s="237" t="str">
        <f>IF(COUNT('Weekly Data'!AA122:AD122)=0,"",AVERAGE('Weekly Data'!AA122:AD122))</f>
        <v/>
      </c>
      <c r="J122" s="237" t="str">
        <f>IF(COUNT('Weekly Data'!AE122:AI122)=0,"",AVERAGE('Weekly Data'!AE122:AI122))</f>
        <v/>
      </c>
      <c r="K122" s="237" t="str">
        <f>IF(COUNT('Weekly Data'!AJ122:AM122)=0,"",AVERAGE('Weekly Data'!AJ122:AM122))</f>
        <v/>
      </c>
      <c r="L122" s="237" t="str">
        <f>IF(COUNT('Weekly Data'!AN122:AQ122)=0,"",AVERAGE('Weekly Data'!AN122:AQ122))</f>
        <v/>
      </c>
      <c r="M122" s="237" t="str">
        <f>IF(COUNT('Weekly Data'!AR122:AV122)=0,"",AVERAGE('Weekly Data'!AR122:AV122))</f>
        <v/>
      </c>
      <c r="N122" s="237" t="str">
        <f>IF(COUNT('Weekly Data'!AW122:AZ122)=0,"",AVERAGE('Weekly Data'!AW122:AZ122))</f>
        <v/>
      </c>
      <c r="O122" s="237" t="str">
        <f>IF(COUNT('Weekly Data'!BA122:BD122)=0,"",AVERAGE('Weekly Data'!BA122:BD122))</f>
        <v/>
      </c>
      <c r="P122" s="237"/>
      <c r="Q122" s="238">
        <f>IF(COUNT('Weekly Data'!E122:BD122)=0,"",AVERAGE('Weekly Data'!E122:BD122))</f>
        <v>37008</v>
      </c>
      <c r="R122" s="238"/>
      <c r="S122" s="238"/>
      <c r="T122" s="293"/>
      <c r="U122" s="335">
        <f>COUNT('Weekly Data'!E122:BC122)</f>
        <v>1</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row>
    <row r="123" spans="1:256">
      <c r="A123" s="1"/>
      <c r="B123" s="199" t="str">
        <f>'Weekly Data'!A123</f>
        <v>Date PAC ON</v>
      </c>
      <c r="C123" s="217"/>
      <c r="D123" s="237" t="str">
        <f>IF(COUNT('Weekly Data'!E123:I123)=0,"",AVERAGE('Weekly Data'!E123:I123))</f>
        <v/>
      </c>
      <c r="E123" s="237" t="str">
        <f>IF(COUNT('Weekly Data'!J123:M123)=0,"",AVERAGE('Weekly Data'!J123:M123))</f>
        <v/>
      </c>
      <c r="F123" s="237" t="str">
        <f>IF(COUNT('Weekly Data'!N123:Q123)=0,"",AVERAGE('Weekly Data'!N123:Q123))</f>
        <v/>
      </c>
      <c r="G123" s="237">
        <f>IF(COUNT('Weekly Data'!R123:V123)=0,"",AVERAGE('Weekly Data'!R123:V123))</f>
        <v>36984</v>
      </c>
      <c r="H123" s="237" t="str">
        <f>IF(COUNT('Weekly Data'!W123:Z123)=0,"",AVERAGE('Weekly Data'!W123:Z123))</f>
        <v/>
      </c>
      <c r="I123" s="237" t="str">
        <f>IF(COUNT('Weekly Data'!AA123:AD123)=0,"",AVERAGE('Weekly Data'!AA123:AD123))</f>
        <v/>
      </c>
      <c r="J123" s="237" t="str">
        <f>IF(COUNT('Weekly Data'!AE123:AI123)=0,"",AVERAGE('Weekly Data'!AE123:AI123))</f>
        <v/>
      </c>
      <c r="K123" s="237" t="str">
        <f>IF(COUNT('Weekly Data'!AJ123:AM123)=0,"",AVERAGE('Weekly Data'!AJ123:AM123))</f>
        <v/>
      </c>
      <c r="L123" s="237" t="str">
        <f>IF(COUNT('Weekly Data'!AN123:AQ123)=0,"",AVERAGE('Weekly Data'!AN123:AQ123))</f>
        <v/>
      </c>
      <c r="M123" s="237" t="str">
        <f>IF(COUNT('Weekly Data'!AR123:AV123)=0,"",AVERAGE('Weekly Data'!AR123:AV123))</f>
        <v/>
      </c>
      <c r="N123" s="237" t="str">
        <f>IF(COUNT('Weekly Data'!AW123:AZ123)=0,"",AVERAGE('Weekly Data'!AW123:AZ123))</f>
        <v/>
      </c>
      <c r="O123" s="237" t="str">
        <f>IF(COUNT('Weekly Data'!BA123:BD123)=0,"",AVERAGE('Weekly Data'!BA123:BD123))</f>
        <v/>
      </c>
      <c r="P123" s="237"/>
      <c r="Q123" s="238">
        <f>IF(COUNT('Weekly Data'!E123:BD123)=0,"",AVERAGE('Weekly Data'!E123:BD123))</f>
        <v>36984</v>
      </c>
      <c r="R123" s="238"/>
      <c r="S123" s="238"/>
      <c r="T123" s="293"/>
      <c r="U123" s="335">
        <f>COUNT('Weekly Data'!E123:BC123)</f>
        <v>1</v>
      </c>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row>
    <row r="124" spans="1:256">
      <c r="A124" s="1"/>
      <c r="B124" s="199" t="str">
        <f>'Weekly Data'!A124</f>
        <v>Date PAC OFF</v>
      </c>
      <c r="C124" s="217"/>
      <c r="D124" s="237" t="str">
        <f>IF(COUNT('Weekly Data'!E124:I124)=0,"",AVERAGE('Weekly Data'!E124:I124))</f>
        <v/>
      </c>
      <c r="E124" s="237" t="str">
        <f>IF(COUNT('Weekly Data'!J124:M124)=0,"",AVERAGE('Weekly Data'!J124:M124))</f>
        <v/>
      </c>
      <c r="F124" s="237" t="str">
        <f>IF(COUNT('Weekly Data'!N124:Q124)=0,"",AVERAGE('Weekly Data'!N124:Q124))</f>
        <v/>
      </c>
      <c r="G124" s="237">
        <f>IF(COUNT('Weekly Data'!R124:V124)=0,"",AVERAGE('Weekly Data'!R124:V124))</f>
        <v>37011</v>
      </c>
      <c r="H124" s="237" t="str">
        <f>IF(COUNT('Weekly Data'!W124:Z124)=0,"",AVERAGE('Weekly Data'!W124:Z124))</f>
        <v/>
      </c>
      <c r="I124" s="237" t="str">
        <f>IF(COUNT('Weekly Data'!AA124:AD124)=0,"",AVERAGE('Weekly Data'!AA124:AD124))</f>
        <v/>
      </c>
      <c r="J124" s="237" t="str">
        <f>IF(COUNT('Weekly Data'!AE124:AI124)=0,"",AVERAGE('Weekly Data'!AE124:AI124))</f>
        <v/>
      </c>
      <c r="K124" s="237" t="str">
        <f>IF(COUNT('Weekly Data'!AJ124:AM124)=0,"",AVERAGE('Weekly Data'!AJ124:AM124))</f>
        <v/>
      </c>
      <c r="L124" s="237" t="str">
        <f>IF(COUNT('Weekly Data'!AN124:AQ124)=0,"",AVERAGE('Weekly Data'!AN124:AQ124))</f>
        <v/>
      </c>
      <c r="M124" s="237" t="str">
        <f>IF(COUNT('Weekly Data'!AR124:AV124)=0,"",AVERAGE('Weekly Data'!AR124:AV124))</f>
        <v/>
      </c>
      <c r="N124" s="237" t="str">
        <f>IF(COUNT('Weekly Data'!AW124:AZ124)=0,"",AVERAGE('Weekly Data'!AW124:AZ124))</f>
        <v/>
      </c>
      <c r="O124" s="237" t="str">
        <f>IF(COUNT('Weekly Data'!BA124:BD124)=0,"",AVERAGE('Weekly Data'!BA124:BD124))</f>
        <v/>
      </c>
      <c r="P124" s="237"/>
      <c r="Q124" s="238">
        <f>IF(COUNT('Weekly Data'!E124:BD124)=0,"",AVERAGE('Weekly Data'!E124:BD124))</f>
        <v>37011</v>
      </c>
      <c r="R124" s="238"/>
      <c r="S124" s="238"/>
      <c r="T124" s="293"/>
      <c r="U124" s="335">
        <f>COUNT('Weekly Data'!E124:BC124)</f>
        <v>1</v>
      </c>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row>
    <row r="125" spans="1:256">
      <c r="A125" s="1"/>
      <c r="B125" s="199"/>
      <c r="C125" s="217"/>
      <c r="D125" s="200"/>
      <c r="E125" s="200"/>
      <c r="F125" s="200"/>
      <c r="G125" s="200"/>
      <c r="H125" s="200"/>
      <c r="I125" s="200"/>
      <c r="J125" s="200"/>
      <c r="K125" s="200"/>
      <c r="L125" s="200"/>
      <c r="M125" s="200"/>
      <c r="N125" s="200"/>
      <c r="O125" s="200"/>
      <c r="P125" s="200"/>
      <c r="Q125" s="200"/>
      <c r="R125" s="200"/>
      <c r="S125" s="200"/>
      <c r="T125" s="293"/>
      <c r="U125" s="335">
        <f>COUNT('Weekly Data'!E125:BC125)</f>
        <v>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row>
    <row r="126" spans="1:256">
      <c r="A126" s="1"/>
      <c r="B126" s="207" t="str">
        <f>'Weekly Data'!A126</f>
        <v>Chlorine Residuals Exit Plant (week avg.)</v>
      </c>
      <c r="C126" s="217"/>
      <c r="D126" s="200"/>
      <c r="E126" s="200"/>
      <c r="F126" s="200"/>
      <c r="G126" s="200"/>
      <c r="H126" s="217"/>
      <c r="I126" s="200"/>
      <c r="J126" s="200"/>
      <c r="K126" s="200"/>
      <c r="L126" s="217"/>
      <c r="M126" s="200"/>
      <c r="N126" s="200"/>
      <c r="O126" s="200"/>
      <c r="P126" s="200"/>
      <c r="Q126" s="201"/>
      <c r="R126" s="201"/>
      <c r="S126" s="201"/>
      <c r="T126" s="293"/>
      <c r="U126" s="335">
        <f>COUNT('Weekly Data'!E126:BC126)</f>
        <v>0</v>
      </c>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spans="1:256">
      <c r="A127" s="1"/>
      <c r="B127" s="199" t="str">
        <f>'Weekly Data'!A127</f>
        <v>Free Chlorine</v>
      </c>
      <c r="C127" s="217" t="str">
        <f>'Weekly Data'!B127</f>
        <v>mg/L</v>
      </c>
      <c r="D127" s="219">
        <f>IF(COUNT('Weekly Data'!E127:I127)=0,"",IF(AVERAGE('Weekly Data'!E127:I127)&lt;0.045,"&lt;0.05",AVERAGE('Weekly Data'!E127:I127)))</f>
        <v>1.1160000000000001</v>
      </c>
      <c r="E127" s="219">
        <f>IF(COUNT('Weekly Data'!J127:M127)=0,"",IF(AVERAGE('Weekly Data'!J127:M127)&lt;0.045,"&lt;0.05",AVERAGE('Weekly Data'!J127:M127)))</f>
        <v>1.0774999999999999</v>
      </c>
      <c r="F127" s="219">
        <f>IF(COUNT('Weekly Data'!N127:Q127)=0,"",IF(AVERAGE('Weekly Data'!N127:Q127)&lt;0.045,"&lt;0.05",AVERAGE('Weekly Data'!N127:Q127)))</f>
        <v>1.0362499999999999</v>
      </c>
      <c r="G127" s="219">
        <f>IF(COUNT('Weekly Data'!R127:V127)=0,"",IF(AVERAGE('Weekly Data'!R127:V127)&lt;0.045,"&lt;0.05",AVERAGE('Weekly Data'!R127:V127)))</f>
        <v>1.0125000000000002</v>
      </c>
      <c r="H127" s="219">
        <f>IF(COUNT('Weekly Data'!W127:Z127)=0,"",IF(AVERAGE('Weekly Data'!W127:Z127)&lt;0.045,"&lt;0.05",AVERAGE('Weekly Data'!W127:Z127)))</f>
        <v>1.0474999999999999</v>
      </c>
      <c r="I127" s="219">
        <f>IF(COUNT('Weekly Data'!AA127:AD127)=0,"",IF(AVERAGE('Weekly Data'!AA127:AD127)&lt;0.045,"&lt;0.05",AVERAGE('Weekly Data'!AA127:AD127)))</f>
        <v>0.96249999999999991</v>
      </c>
      <c r="J127" s="219">
        <f>IF(COUNT('Weekly Data'!AE127:AI127)=0,"",IF(AVERAGE('Weekly Data'!AE127:AI127)&lt;0.045,"&lt;0.05",AVERAGE('Weekly Data'!AE127:AI127)))</f>
        <v>0.99399999999999999</v>
      </c>
      <c r="K127" s="219">
        <f>IF(COUNT('Weekly Data'!AJ127:AM127)=0,"",IF(AVERAGE('Weekly Data'!AJ127:AM127)&lt;0.045,"&lt;0.05",AVERAGE('Weekly Data'!AJ127:AM127)))</f>
        <v>1.0725</v>
      </c>
      <c r="L127" s="219">
        <f>IF(COUNT('Weekly Data'!AN127:AQ127)=0,"",IF(AVERAGE('Weekly Data'!AN127:AQ127)&lt;0.045,"&lt;0.05",AVERAGE('Weekly Data'!AN127:AQ127)))</f>
        <v>1.085</v>
      </c>
      <c r="M127" s="219">
        <f>IF(COUNT('Weekly Data'!AR127:AV127)=0,"",IF(AVERAGE('Weekly Data'!AR127:AV127)&lt;0.045,"&lt;0.05",AVERAGE('Weekly Data'!AR127:AV127)))</f>
        <v>1.0920000000000001</v>
      </c>
      <c r="N127" s="219">
        <f>IF(COUNT('Weekly Data'!AW127:AZ127)=0,"",IF(AVERAGE('Weekly Data'!AW127:AZ127)&lt;0.045,"&lt;0.05",AVERAGE('Weekly Data'!AW127:AZ127)))</f>
        <v>1.1025</v>
      </c>
      <c r="O127" s="219">
        <f>IF(COUNT('Weekly Data'!BA127:BD127)=0,"",IF(AVERAGE('Weekly Data'!BA127:BD127)&lt;0.045,"&lt;0.05",AVERAGE('Weekly Data'!BA127:BD127)))</f>
        <v>1.17</v>
      </c>
      <c r="P127" s="219"/>
      <c r="Q127" s="219">
        <f>IF(COUNT('Weekly Data'!E127:BD127)=0,"",IF(AVERAGE('Weekly Data'!E127:BD127)&lt;0.045,"&lt;0.05",AVERAGE('Weekly Data'!E127:BD127)))</f>
        <v>1.0642156862745096</v>
      </c>
      <c r="R127" s="219">
        <f>IF(COUNT('Weekly Data'!E127:BD127)=0,"",IF(MIN('Weekly Data'!E127:BD127)&lt;0.045,"&lt;0.05",MIN('Weekly Data'!E127:BD127)))</f>
        <v>0.93</v>
      </c>
      <c r="S127" s="219">
        <f>IF(COUNT('Weekly Data'!E127:BD127)=0,"",IF(MAX('Weekly Data'!E127:BD127)&lt;0.045,"&lt;0.05",MAX('Weekly Data'!E127:BD127)))</f>
        <v>1.19</v>
      </c>
      <c r="T127" s="293"/>
      <c r="U127" s="335">
        <f>COUNT('Weekly Data'!E127:BC127)</f>
        <v>50</v>
      </c>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row>
    <row r="128" spans="1:256">
      <c r="A128" s="1"/>
      <c r="B128" s="199" t="str">
        <f>'Weekly Data'!A128</f>
        <v>Combined Chlorine</v>
      </c>
      <c r="C128" s="217" t="str">
        <f>'Weekly Data'!B128</f>
        <v>mg/L</v>
      </c>
      <c r="D128" s="219">
        <f>IF(COUNT('Weekly Data'!E128:I128)=0,"",IF(AVERAGE('Weekly Data'!E128:I128)&lt;0.045,"&lt;0.05",AVERAGE('Weekly Data'!E128:I128)))</f>
        <v>0.42400000000000004</v>
      </c>
      <c r="E128" s="219">
        <f>IF(COUNT('Weekly Data'!J128:M128)=0,"",IF(AVERAGE('Weekly Data'!J128:M128)&lt;0.045,"&lt;0.05",AVERAGE('Weekly Data'!J128:M128)))</f>
        <v>0.43499999999999994</v>
      </c>
      <c r="F128" s="219">
        <f>IF(COUNT('Weekly Data'!N128:Q128)=0,"",IF(AVERAGE('Weekly Data'!N128:Q128)&lt;0.045,"&lt;0.05",AVERAGE('Weekly Data'!N128:Q128)))</f>
        <v>0.44624999999999998</v>
      </c>
      <c r="G128" s="219">
        <f>IF(COUNT('Weekly Data'!R128:V128)=0,"",IF(AVERAGE('Weekly Data'!R128:V128)&lt;0.045,"&lt;0.05",AVERAGE('Weekly Data'!R128:V128)))</f>
        <v>0.36750000000000005</v>
      </c>
      <c r="H128" s="219">
        <f>IF(COUNT('Weekly Data'!W128:Z128)=0,"",IF(AVERAGE('Weekly Data'!W128:Z128)&lt;0.045,"&lt;0.05",AVERAGE('Weekly Data'!W128:Z128)))</f>
        <v>0.315</v>
      </c>
      <c r="I128" s="219" t="str">
        <f>IF(COUNT('Weekly Data'!AA128:AD128)=0,"",IF(AVERAGE('Weekly Data'!AA128:AD128)&lt;0.045,"&lt;0.05",AVERAGE('Weekly Data'!AA128:AD128)))</f>
        <v>&lt;0.05</v>
      </c>
      <c r="J128" s="219">
        <f>IF(COUNT('Weekly Data'!AE128:AI128)=0,"",IF(AVERAGE('Weekly Data'!AE128:AI128)&lt;0.045,"&lt;0.05",AVERAGE('Weekly Data'!AE128:AI128)))</f>
        <v>6.4000000000000001E-2</v>
      </c>
      <c r="K128" s="219">
        <f>IF(COUNT('Weekly Data'!AJ128:AM128)=0,"",IF(AVERAGE('Weekly Data'!AJ128:AM128)&lt;0.045,"&lt;0.05",AVERAGE('Weekly Data'!AJ128:AM128)))</f>
        <v>9.7500000000000003E-2</v>
      </c>
      <c r="L128" s="219">
        <f>IF(COUNT('Weekly Data'!AN128:AQ128)=0,"",IF(AVERAGE('Weekly Data'!AN128:AQ128)&lt;0.045,"&lt;0.05",AVERAGE('Weekly Data'!AN128:AQ128)))</f>
        <v>0.125</v>
      </c>
      <c r="M128" s="219">
        <f>IF(COUNT('Weekly Data'!AR128:AV128)=0,"",IF(AVERAGE('Weekly Data'!AR128:AV128)&lt;0.045,"&lt;0.05",AVERAGE('Weekly Data'!AR128:AV128)))</f>
        <v>0.128</v>
      </c>
      <c r="N128" s="219">
        <f>IF(COUNT('Weekly Data'!AW128:AZ128)=0,"",IF(AVERAGE('Weekly Data'!AW128:AZ128)&lt;0.045,"&lt;0.05",AVERAGE('Weekly Data'!AW128:AZ128)))</f>
        <v>0.20750000000000002</v>
      </c>
      <c r="O128" s="219">
        <f>IF(COUNT('Weekly Data'!BA128:BD128)=0,"",IF(AVERAGE('Weekly Data'!BA128:BD128)&lt;0.045,"&lt;0.05",AVERAGE('Weekly Data'!BA128:BD128)))</f>
        <v>0.3075</v>
      </c>
      <c r="P128" s="219"/>
      <c r="Q128" s="219">
        <f>IF(COUNT('Weekly Data'!E128:BD128)=0,"",IF(AVERAGE('Weekly Data'!E128:BD128)&lt;0.045,"&lt;0.05",AVERAGE('Weekly Data'!E128:BD128)))</f>
        <v>0.24088235294117644</v>
      </c>
      <c r="R128" s="219" t="str">
        <f>IF(COUNT('Weekly Data'!E128:BD128)=0,"",IF(MIN('Weekly Data'!E128:BD128)&lt;0.045,"&lt;0.05",MIN('Weekly Data'!E128:BD128)))</f>
        <v>&lt;0.05</v>
      </c>
      <c r="S128" s="219">
        <f>IF(COUNT('Weekly Data'!E128:BD128)=0,"",IF(MAX('Weekly Data'!E128:BD128)&lt;0.045,"&lt;0.05",MAX('Weekly Data'!E128:BD128)))</f>
        <v>0.57999999999999996</v>
      </c>
      <c r="T128" s="293"/>
      <c r="U128" s="335">
        <f>COUNT('Weekly Data'!E128:BC128)</f>
        <v>50</v>
      </c>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row>
    <row r="129" spans="1:256">
      <c r="A129" s="1"/>
      <c r="B129" s="199"/>
      <c r="C129" s="217"/>
      <c r="D129" s="200"/>
      <c r="E129" s="200"/>
      <c r="F129" s="200"/>
      <c r="G129" s="200"/>
      <c r="H129" s="217"/>
      <c r="I129" s="200"/>
      <c r="J129" s="200"/>
      <c r="K129" s="200"/>
      <c r="L129" s="217"/>
      <c r="M129" s="200"/>
      <c r="N129" s="200"/>
      <c r="O129" s="200"/>
      <c r="P129" s="200"/>
      <c r="Q129" s="201"/>
      <c r="R129" s="201"/>
      <c r="S129" s="201"/>
      <c r="T129" s="293"/>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row>
    <row r="130" spans="1:256" ht="18">
      <c r="A130" s="1"/>
      <c r="B130" s="199"/>
      <c r="C130" s="200"/>
      <c r="D130" s="200"/>
      <c r="E130" s="200"/>
      <c r="F130" s="200"/>
      <c r="G130" s="200"/>
      <c r="H130" s="200"/>
      <c r="I130" s="239"/>
      <c r="J130" s="239"/>
      <c r="K130" s="239"/>
      <c r="L130" s="239"/>
      <c r="M130" s="239"/>
      <c r="N130" s="239"/>
      <c r="O130" s="239"/>
      <c r="P130" s="239"/>
      <c r="Q130" s="240"/>
      <c r="R130" s="240"/>
      <c r="S130" s="240"/>
      <c r="T130" s="293"/>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row>
    <row r="131" spans="1:256" ht="24">
      <c r="A131" s="1"/>
      <c r="B131" s="241" t="str">
        <f>B3</f>
        <v>2001 - BUFFALO POUND WATER QUALITY DATA</v>
      </c>
      <c r="C131" s="203"/>
      <c r="D131" s="203"/>
      <c r="E131" s="203"/>
      <c r="F131" s="203"/>
      <c r="G131" s="203"/>
      <c r="H131" s="203"/>
      <c r="I131" s="239"/>
      <c r="J131" s="239"/>
      <c r="K131" s="239"/>
      <c r="L131" s="239"/>
      <c r="M131" s="239"/>
      <c r="N131" s="239"/>
      <c r="O131" s="239"/>
      <c r="P131" s="239"/>
      <c r="Q131" s="240"/>
      <c r="R131" s="240"/>
      <c r="S131" s="240"/>
      <c r="T131" s="293"/>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row>
    <row r="132" spans="1:256" ht="24">
      <c r="A132" s="1"/>
      <c r="B132" s="241" t="s">
        <v>340</v>
      </c>
      <c r="C132" s="203"/>
      <c r="D132" s="203"/>
      <c r="E132" s="203"/>
      <c r="F132" s="203"/>
      <c r="G132" s="203"/>
      <c r="H132" s="203"/>
      <c r="I132" s="239"/>
      <c r="J132" s="239"/>
      <c r="K132" s="239"/>
      <c r="L132" s="239"/>
      <c r="M132" s="239"/>
      <c r="N132" s="239"/>
      <c r="O132" s="239"/>
      <c r="P132" s="239"/>
      <c r="Q132" s="240"/>
      <c r="R132" s="240"/>
      <c r="S132" s="240"/>
      <c r="T132" s="293"/>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row>
    <row r="133" spans="1:256" ht="18">
      <c r="A133" s="1"/>
      <c r="B133" s="242" t="s">
        <v>341</v>
      </c>
      <c r="C133" s="203"/>
      <c r="D133" s="203"/>
      <c r="E133" s="203"/>
      <c r="F133" s="203"/>
      <c r="G133" s="203"/>
      <c r="H133" s="203"/>
      <c r="I133" s="239"/>
      <c r="J133" s="239"/>
      <c r="K133" s="239"/>
      <c r="L133" s="239"/>
      <c r="M133" s="239"/>
      <c r="N133" s="239"/>
      <c r="O133" s="239"/>
      <c r="P133" s="239"/>
      <c r="Q133" s="240"/>
      <c r="R133" s="240"/>
      <c r="S133" s="240"/>
      <c r="T133" s="293"/>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row>
    <row r="134" spans="1:256" ht="18">
      <c r="A134" s="1"/>
      <c r="B134" s="206"/>
      <c r="C134" s="203"/>
      <c r="D134" s="203"/>
      <c r="E134" s="203"/>
      <c r="F134" s="203"/>
      <c r="G134" s="203"/>
      <c r="H134" s="203"/>
      <c r="I134" s="243"/>
      <c r="J134" s="243"/>
      <c r="K134" s="243"/>
      <c r="L134" s="243"/>
      <c r="M134" s="243"/>
      <c r="N134" s="243"/>
      <c r="O134" s="243"/>
      <c r="P134" s="243"/>
      <c r="Q134" s="244"/>
      <c r="R134" s="244"/>
      <c r="S134" s="244"/>
      <c r="T134" s="293"/>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row>
    <row r="135" spans="1:256" ht="1" customHeight="1">
      <c r="A135" s="1"/>
      <c r="B135" s="206"/>
      <c r="C135" s="203"/>
      <c r="D135" s="203"/>
      <c r="E135" s="203"/>
      <c r="F135" s="203"/>
      <c r="G135" s="203"/>
      <c r="H135" s="203"/>
      <c r="I135" s="243"/>
      <c r="J135" s="243"/>
      <c r="K135" s="243"/>
      <c r="L135" s="243"/>
      <c r="M135" s="243"/>
      <c r="N135" s="243"/>
      <c r="O135" s="243"/>
      <c r="P135" s="243"/>
      <c r="Q135" s="244"/>
      <c r="R135" s="244"/>
      <c r="S135" s="244"/>
      <c r="T135" s="293"/>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spans="1:256" ht="1" customHeight="1">
      <c r="A136" s="1"/>
      <c r="B136" s="206"/>
      <c r="C136" s="203"/>
      <c r="D136" s="203"/>
      <c r="E136" s="203"/>
      <c r="F136" s="203"/>
      <c r="G136" s="203"/>
      <c r="H136" s="203"/>
      <c r="I136" s="243"/>
      <c r="J136" s="243"/>
      <c r="K136" s="243"/>
      <c r="L136" s="243"/>
      <c r="M136" s="243"/>
      <c r="N136" s="243"/>
      <c r="O136" s="243"/>
      <c r="P136" s="243"/>
      <c r="Q136" s="244"/>
      <c r="R136" s="244"/>
      <c r="S136" s="244"/>
      <c r="T136" s="293"/>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7" spans="1:256" ht="1" customHeight="1">
      <c r="A137" s="1"/>
      <c r="B137" s="206"/>
      <c r="C137" s="203"/>
      <c r="D137" s="203"/>
      <c r="E137" s="203"/>
      <c r="F137" s="203"/>
      <c r="G137" s="203"/>
      <c r="H137" s="203"/>
      <c r="I137" s="243"/>
      <c r="J137" s="243"/>
      <c r="K137" s="243"/>
      <c r="L137" s="243"/>
      <c r="M137" s="243"/>
      <c r="N137" s="243"/>
      <c r="O137" s="243"/>
      <c r="P137" s="243"/>
      <c r="Q137" s="244"/>
      <c r="R137" s="244"/>
      <c r="S137" s="244"/>
      <c r="T137" s="293"/>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row>
    <row r="138" spans="1:256" ht="60" customHeight="1">
      <c r="A138" s="1"/>
      <c r="B138" s="245"/>
      <c r="C138" s="246"/>
      <c r="D138" s="246"/>
      <c r="E138" s="246"/>
      <c r="F138" s="246"/>
      <c r="G138" s="246"/>
      <c r="H138" s="246"/>
      <c r="I138" s="246"/>
      <c r="J138" s="246"/>
      <c r="K138" s="246"/>
      <c r="L138" s="246"/>
      <c r="M138" s="246"/>
      <c r="N138" s="246"/>
      <c r="O138" s="246"/>
      <c r="P138" s="246"/>
      <c r="Q138" s="247"/>
      <c r="R138" s="247"/>
      <c r="S138" s="247"/>
      <c r="T138" s="293"/>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spans="1:256" ht="30" customHeight="1">
      <c r="A139" s="1"/>
      <c r="B139" s="248" t="s">
        <v>3</v>
      </c>
      <c r="C139" s="249" t="s">
        <v>4</v>
      </c>
      <c r="D139" s="250" t="s">
        <v>322</v>
      </c>
      <c r="E139" s="250" t="s">
        <v>323</v>
      </c>
      <c r="F139" s="250" t="s">
        <v>324</v>
      </c>
      <c r="G139" s="250" t="s">
        <v>325</v>
      </c>
      <c r="H139" s="250" t="s">
        <v>326</v>
      </c>
      <c r="I139" s="250" t="s">
        <v>327</v>
      </c>
      <c r="J139" s="250" t="s">
        <v>328</v>
      </c>
      <c r="K139" s="250" t="s">
        <v>329</v>
      </c>
      <c r="L139" s="250" t="s">
        <v>330</v>
      </c>
      <c r="M139" s="250" t="s">
        <v>331</v>
      </c>
      <c r="N139" s="250" t="s">
        <v>332</v>
      </c>
      <c r="O139" s="250" t="s">
        <v>333</v>
      </c>
      <c r="P139" s="250"/>
      <c r="Q139" s="251" t="s">
        <v>334</v>
      </c>
      <c r="R139" s="251" t="s">
        <v>335</v>
      </c>
      <c r="S139" s="251" t="s">
        <v>336</v>
      </c>
      <c r="T139" s="293"/>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row>
    <row r="140" spans="1:256">
      <c r="A140" s="1"/>
      <c r="B140" s="252"/>
      <c r="C140" s="253"/>
      <c r="D140" s="254"/>
      <c r="E140" s="254"/>
      <c r="F140" s="254"/>
      <c r="G140" s="254"/>
      <c r="H140" s="255"/>
      <c r="I140" s="254"/>
      <c r="J140" s="254"/>
      <c r="K140" s="254"/>
      <c r="L140" s="254"/>
      <c r="M140" s="254"/>
      <c r="N140" s="254"/>
      <c r="O140" s="254"/>
      <c r="P140" s="254"/>
      <c r="Q140" s="254"/>
      <c r="R140" s="254"/>
      <c r="S140" s="254"/>
      <c r="T140" s="293"/>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row>
    <row r="141" spans="1:256">
      <c r="A141" s="1"/>
      <c r="B141" s="245" t="str">
        <f>'Weekly Data'!A141</f>
        <v xml:space="preserve">PHYSICAL   </v>
      </c>
      <c r="C141" s="256"/>
      <c r="D141" s="246"/>
      <c r="E141" s="246"/>
      <c r="F141" s="246"/>
      <c r="G141" s="246"/>
      <c r="H141" s="257"/>
      <c r="I141" s="246"/>
      <c r="J141" s="246"/>
      <c r="K141" s="246"/>
      <c r="L141" s="246"/>
      <c r="M141" s="246"/>
      <c r="N141" s="246"/>
      <c r="O141" s="246"/>
      <c r="P141" s="246"/>
      <c r="Q141" s="246"/>
      <c r="R141" s="246"/>
      <c r="S141" s="246"/>
      <c r="T141" s="293"/>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spans="1:256">
      <c r="A142" s="1"/>
      <c r="B142" s="258"/>
      <c r="C142" s="257"/>
      <c r="D142" s="246"/>
      <c r="E142" s="246"/>
      <c r="F142" s="246"/>
      <c r="G142" s="246"/>
      <c r="H142" s="257"/>
      <c r="I142" s="246"/>
      <c r="J142" s="246"/>
      <c r="K142" s="246"/>
      <c r="L142" s="257"/>
      <c r="M142" s="246"/>
      <c r="N142" s="246"/>
      <c r="O142" s="246"/>
      <c r="P142" s="246"/>
      <c r="Q142" s="247"/>
      <c r="R142" s="247"/>
      <c r="S142" s="247"/>
      <c r="T142" s="293"/>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row>
    <row r="143" spans="1:256">
      <c r="A143" s="1"/>
      <c r="B143" s="258" t="str">
        <f>'Weekly Data'!A143</f>
        <v>Colour (Apparent)</v>
      </c>
      <c r="C143" s="257" t="str">
        <f>'Weekly Data'!B143</f>
        <v>Pt/Co</v>
      </c>
      <c r="D143" s="257" t="str">
        <f>IF(COUNT('Weekly Data'!E143:I143)=0,"",IF(AVERAGE('Weekly Data'!E143:I143)&lt;4.55,"&lt;5",AVERAGE('Weekly Data'!E143:I143)))</f>
        <v>&lt;5</v>
      </c>
      <c r="E143" s="257" t="str">
        <f>IF(COUNT('Weekly Data'!J143:M143)=0,"",IF(AVERAGE('Weekly Data'!J143:M143)&lt;4.55,"&lt;5",AVERAGE('Weekly Data'!J143:M143)))</f>
        <v>&lt;5</v>
      </c>
      <c r="F143" s="257" t="str">
        <f>IF(COUNT('Weekly Data'!N143:Q143)=0,"",IF(AVERAGE('Weekly Data'!N143:Q143)&lt;4.55,"&lt;5",AVERAGE('Weekly Data'!N143:Q143)))</f>
        <v>&lt;5</v>
      </c>
      <c r="G143" s="257" t="str">
        <f>IF(COUNT('Weekly Data'!R143:V143)=0,"",IF(AVERAGE('Weekly Data'!R143:V143)&lt;4.55,"&lt;5",AVERAGE('Weekly Data'!R143:V143)))</f>
        <v>&lt;5</v>
      </c>
      <c r="H143" s="257" t="str">
        <f>IF(COUNT('Weekly Data'!W143:Z143)=0,"",IF(AVERAGE('Weekly Data'!W143:Z143)&lt;4.55,"&lt;5",AVERAGE('Weekly Data'!W143:Z143)))</f>
        <v>&lt;5</v>
      </c>
      <c r="I143" s="257" t="str">
        <f>IF(COUNT('Weekly Data'!AA143:AD143)=0,"",IF(AVERAGE('Weekly Data'!AA143:AD143)&lt;4.55,"&lt;5",AVERAGE('Weekly Data'!AA143:AD143)))</f>
        <v>&lt;5</v>
      </c>
      <c r="J143" s="257" t="str">
        <f>IF(COUNT('Weekly Data'!AE143:AI143)=0,"",IF(AVERAGE('Weekly Data'!AE143:AI143)&lt;4.55,"&lt;5",AVERAGE('Weekly Data'!AE143:AI143)))</f>
        <v>&lt;5</v>
      </c>
      <c r="K143" s="257" t="str">
        <f>IF(COUNT('Weekly Data'!AJ143:AM143)=0,"",IF(AVERAGE('Weekly Data'!AJ143:AM143)&lt;4.55,"&lt;5",AVERAGE('Weekly Data'!AJ143:AM143)))</f>
        <v>&lt;5</v>
      </c>
      <c r="L143" s="257" t="str">
        <f>IF(COUNT('Weekly Data'!AN143:AQ143)=0,"",IF(AVERAGE('Weekly Data'!AN143:AQ143)&lt;4.55,"&lt;5",AVERAGE('Weekly Data'!AN143:AQ143)))</f>
        <v>&lt;5</v>
      </c>
      <c r="M143" s="257" t="str">
        <f>IF(COUNT('Weekly Data'!AR143:AV143)=0,"",IF(AVERAGE('Weekly Data'!AR143:AV143)&lt;4.55,"&lt;5",AVERAGE('Weekly Data'!AR143:AV143)))</f>
        <v>&lt;5</v>
      </c>
      <c r="N143" s="257" t="str">
        <f>IF(COUNT('Weekly Data'!AW143:AZ143)=0,"",IF(AVERAGE('Weekly Data'!AW143:AZ143)&lt;4.55,"&lt;5",AVERAGE('Weekly Data'!AW143:AZ143)))</f>
        <v>&lt;5</v>
      </c>
      <c r="O143" s="257" t="str">
        <f>IF(COUNT('Weekly Data'!BA143:BD143)=0,"",IF(AVERAGE('Weekly Data'!BA143:BD143)&lt;4.55,"&lt;5",AVERAGE('Weekly Data'!BA143:BD143)))</f>
        <v>&lt;5</v>
      </c>
      <c r="P143" s="257"/>
      <c r="Q143" s="257" t="str">
        <f>IF(COUNT('Weekly Data'!E143:BD143)=0,"",IF(AVERAGE('Weekly Data'!E143:BD143)&lt;4.55,"&lt;5",AVERAGE('Weekly Data'!E143:BD143)))</f>
        <v>&lt;5</v>
      </c>
      <c r="R143" s="257" t="str">
        <f>IF(COUNT('Weekly Data'!E143:BD143)=0,"",IF(MIN('Weekly Data'!E143:BD143)&lt;4.55,"&lt;5",MIN('Weekly Data'!E143:BD143)))</f>
        <v>&lt;5</v>
      </c>
      <c r="S143" s="257" t="str">
        <f>IF(COUNT('Weekly Data'!E143:BD143)=0,"",IF(MAX('Weekly Data'!E143:BD143)&lt;4.55,"&lt;5",MAX('Weekly Data'!E143:BD143)))</f>
        <v>&lt;5</v>
      </c>
      <c r="T143" s="293"/>
      <c r="U143" s="259">
        <f>COUNT('Weekly Data'!E143:BC143)</f>
        <v>49</v>
      </c>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row>
    <row r="144" spans="1:256">
      <c r="A144" s="1"/>
      <c r="B144" s="258" t="str">
        <f>'Weekly Data'!A144</f>
        <v>Conductivity</v>
      </c>
      <c r="C144" s="257" t="str">
        <f>'Weekly Data'!B144</f>
        <v>µS/cm</v>
      </c>
      <c r="D144" s="257">
        <f>IF(COUNT('Weekly Data'!E144:I144)=0,"",AVERAGE('Weekly Data'!E144:I144))</f>
        <v>719.2</v>
      </c>
      <c r="E144" s="257">
        <f>IF(COUNT('Weekly Data'!J144:M144)=0,"",AVERAGE('Weekly Data'!J144:M144))</f>
        <v>737</v>
      </c>
      <c r="F144" s="257">
        <f>IF(COUNT('Weekly Data'!N144:Q144)=0,"",AVERAGE('Weekly Data'!N144:Q144))</f>
        <v>754.75</v>
      </c>
      <c r="G144" s="257">
        <f>IF(COUNT('Weekly Data'!R144:V144)=0,"",AVERAGE('Weekly Data'!R144:V144))</f>
        <v>699.25</v>
      </c>
      <c r="H144" s="257">
        <f>IF(COUNT('Weekly Data'!W144:Z144)=0,"",AVERAGE('Weekly Data'!W144:Z144))</f>
        <v>601.75</v>
      </c>
      <c r="I144" s="257">
        <f>IF(COUNT('Weekly Data'!AA144:AD144)=0,"",AVERAGE('Weekly Data'!AA144:AD144))</f>
        <v>613.25</v>
      </c>
      <c r="J144" s="257">
        <f>IF(COUNT('Weekly Data'!AE144:AI144)=0,"",AVERAGE('Weekly Data'!AE144:AI144))</f>
        <v>581.6</v>
      </c>
      <c r="K144" s="257">
        <f>IF(COUNT('Weekly Data'!AJ144:AM144)=0,"",AVERAGE('Weekly Data'!AJ144:AM144))</f>
        <v>546.25</v>
      </c>
      <c r="L144" s="257">
        <f>IF(COUNT('Weekly Data'!AN144:AQ144)=0,"",AVERAGE('Weekly Data'!AN144:AQ144))</f>
        <v>548.5</v>
      </c>
      <c r="M144" s="257">
        <f>IF(COUNT('Weekly Data'!AR144:AV144)=0,"",AVERAGE('Weekly Data'!AR144:AV144))</f>
        <v>560</v>
      </c>
      <c r="N144" s="257">
        <f>IF(COUNT('Weekly Data'!AW144:AZ144)=0,"",AVERAGE('Weekly Data'!AW144:AZ144))</f>
        <v>568</v>
      </c>
      <c r="O144" s="257">
        <f>IF(COUNT('Weekly Data'!BA144:BD144)=0,"",AVERAGE('Weekly Data'!BA144:BD144))</f>
        <v>604.66666666666663</v>
      </c>
      <c r="P144" s="257"/>
      <c r="Q144" s="257">
        <f>IF(COUNT('Weekly Data'!E144:BD144)=0,"",AVERAGE('Weekly Data'!E144:BD144))</f>
        <v>625.63265306122446</v>
      </c>
      <c r="R144" s="257">
        <f>IF(COUNT('Weekly Data'!E144:BD144)=0,"",MIN('Weekly Data'!E144:BD144))</f>
        <v>536</v>
      </c>
      <c r="S144" s="257">
        <f>IF(COUNT('Weekly Data'!E144:BD144)=0,"",MAX('Weekly Data'!E144:BD144))</f>
        <v>762</v>
      </c>
      <c r="T144" s="293"/>
      <c r="U144" s="259">
        <f>COUNT('Weekly Data'!E144:BC144)</f>
        <v>49</v>
      </c>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row>
    <row r="145" spans="1:256">
      <c r="A145" s="1"/>
      <c r="B145" s="258" t="str">
        <f>'Weekly Data'!A145</f>
        <v>Diss. Oxygen</v>
      </c>
      <c r="C145" s="257" t="str">
        <f>'Weekly Data'!B145</f>
        <v>mg/L</v>
      </c>
      <c r="D145" s="247">
        <f>IF(COUNT('Weekly Data'!E145:I145)=0,"",AVERAGE('Weekly Data'!E145:I145))</f>
        <v>12.620000000000001</v>
      </c>
      <c r="E145" s="247">
        <f>IF(COUNT('Weekly Data'!J145:M145)=0,"",AVERAGE('Weekly Data'!J145:M145))</f>
        <v>11.9</v>
      </c>
      <c r="F145" s="247">
        <f>IF(COUNT('Weekly Data'!N145:Q145)=0,"",AVERAGE('Weekly Data'!N145:Q145))</f>
        <v>11.675000000000001</v>
      </c>
      <c r="G145" s="247">
        <f>IF(COUNT('Weekly Data'!R145:V145)=0,"",AVERAGE('Weekly Data'!R145:V145))</f>
        <v>12.02</v>
      </c>
      <c r="H145" s="247">
        <f>IF(COUNT('Weekly Data'!W145:Z145)=0,"",AVERAGE('Weekly Data'!W145:Z145))</f>
        <v>10.225</v>
      </c>
      <c r="I145" s="247">
        <f>IF(COUNT('Weekly Data'!AA145:AD145)=0,"",AVERAGE('Weekly Data'!AA145:AD145))</f>
        <v>9.3249999999999993</v>
      </c>
      <c r="J145" s="247">
        <f>IF(COUNT('Weekly Data'!AE145:AI145)=0,"",AVERAGE('Weekly Data'!AE145:AI145))</f>
        <v>8.5599999999999987</v>
      </c>
      <c r="K145" s="247">
        <f>IF(COUNT('Weekly Data'!AJ145:AM145)=0,"",AVERAGE('Weekly Data'!AJ145:AM145))</f>
        <v>8.65</v>
      </c>
      <c r="L145" s="247">
        <f>IF(COUNT('Weekly Data'!AN145:AQ145)=0,"",AVERAGE('Weekly Data'!AN145:AQ145))</f>
        <v>9.6750000000000007</v>
      </c>
      <c r="M145" s="247">
        <f>IF(COUNT('Weekly Data'!AR145:AV145)=0,"",AVERAGE('Weekly Data'!AR145:AV145))</f>
        <v>11.16</v>
      </c>
      <c r="N145" s="247">
        <f>IF(COUNT('Weekly Data'!AW145:AZ145)=0,"",AVERAGE('Weekly Data'!AW145:AZ145))</f>
        <v>12.95</v>
      </c>
      <c r="O145" s="247">
        <f>IF(COUNT('Weekly Data'!BA145:BD145)=0,"",AVERAGE('Weekly Data'!BA145:BD145))</f>
        <v>12.875</v>
      </c>
      <c r="P145" s="247"/>
      <c r="Q145" s="247">
        <f>IF(COUNT('Weekly Data'!E145:BD145)=0,"",AVERAGE('Weekly Data'!E145:BD145))</f>
        <v>10.960784313725489</v>
      </c>
      <c r="R145" s="247">
        <f>IF(COUNT('Weekly Data'!E145:BD145)=0,"",MIN('Weekly Data'!E145:BD145))</f>
        <v>8.1999999999999993</v>
      </c>
      <c r="S145" s="247">
        <f>IF(COUNT('Weekly Data'!E145:BD145)=0,"",MAX('Weekly Data'!E145:BD145))</f>
        <v>13.5</v>
      </c>
      <c r="T145" s="293"/>
      <c r="U145" s="259">
        <f>COUNT('Weekly Data'!E145:BC145)</f>
        <v>50</v>
      </c>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row>
    <row r="146" spans="1:256">
      <c r="A146" s="1"/>
      <c r="B146" s="258" t="str">
        <f>'Weekly Data'!A146</f>
        <v>% Sat. Diss. Oxygen</v>
      </c>
      <c r="C146" s="257" t="str">
        <f>'Weekly Data'!B146</f>
        <v>%</v>
      </c>
      <c r="D146" s="247">
        <f>IF(COUNT('Weekly Data'!E146:I146)=0,"",AVERAGE('Weekly Data'!E146:I146))</f>
        <v>94.040951145839472</v>
      </c>
      <c r="E146" s="247">
        <f>IF(COUNT('Weekly Data'!J146:M146)=0,"",AVERAGE('Weekly Data'!J146:M146))</f>
        <v>89.450550612826632</v>
      </c>
      <c r="F146" s="247">
        <f>IF(COUNT('Weekly Data'!N146:Q146)=0,"",AVERAGE('Weekly Data'!N146:Q146))</f>
        <v>88.758673900174173</v>
      </c>
      <c r="G146" s="247">
        <f>IF(COUNT('Weekly Data'!R146:V146)=0,"",AVERAGE('Weekly Data'!R146:V146))</f>
        <v>97.601878243022725</v>
      </c>
      <c r="H146" s="247">
        <f>IF(COUNT('Weekly Data'!W146:Z146)=0,"",AVERAGE('Weekly Data'!W146:Z146))</f>
        <v>97.814899903473702</v>
      </c>
      <c r="I146" s="247">
        <f>IF(COUNT('Weekly Data'!AA146:AD146)=0,"",AVERAGE('Weekly Data'!AA146:AD146))</f>
        <v>97.640143874677207</v>
      </c>
      <c r="J146" s="247">
        <f>IF(COUNT('Weekly Data'!AE146:AI146)=0,"",AVERAGE('Weekly Data'!AE146:AI146))</f>
        <v>96.30298649364444</v>
      </c>
      <c r="K146" s="247">
        <f>IF(COUNT('Weekly Data'!AJ146:AM146)=0,"",AVERAGE('Weekly Data'!AJ146:AM146))</f>
        <v>97.828488639298257</v>
      </c>
      <c r="L146" s="247">
        <f>IF(COUNT('Weekly Data'!AN146:AQ146)=0,"",AVERAGE('Weekly Data'!AN146:AQ146))</f>
        <v>97.471823375778001</v>
      </c>
      <c r="M146" s="247">
        <f>IF(COUNT('Weekly Data'!AR146:AV146)=0,"",AVERAGE('Weekly Data'!AR146:AV146))</f>
        <v>93.93686601711579</v>
      </c>
      <c r="N146" s="247">
        <f>IF(COUNT('Weekly Data'!AW146:AZ146)=0,"",AVERAGE('Weekly Data'!AW146:AZ146))</f>
        <v>95.108191281207468</v>
      </c>
      <c r="O146" s="247">
        <f>IF(COUNT('Weekly Data'!BA146:BD146)=0,"",AVERAGE('Weekly Data'!BA146:BD146))</f>
        <v>100.69949312440133</v>
      </c>
      <c r="P146" s="247"/>
      <c r="Q146" s="247">
        <f>IF(COUNT('Weekly Data'!E146:BD146)=0,"",AVERAGE('Weekly Data'!E146:BD146))</f>
        <v>95.667684661424161</v>
      </c>
      <c r="R146" s="247">
        <f>IF(COUNT('Weekly Data'!E146:BD146)=0,"",MIN('Weekly Data'!E146:BD146))</f>
        <v>80.792682926829272</v>
      </c>
      <c r="S146" s="247">
        <f>IF(COUNT('Weekly Data'!E146:BD146)=0,"",MAX('Weekly Data'!E146:BD146))</f>
        <v>119.88582302568982</v>
      </c>
      <c r="T146" s="293"/>
      <c r="U146" s="259">
        <f>COUNT('Weekly Data'!E146:BC146)</f>
        <v>50</v>
      </c>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row>
    <row r="147" spans="1:256">
      <c r="A147" s="1"/>
      <c r="B147" s="258" t="str">
        <f>'Weekly Data'!A147</f>
        <v>Odour (Chlorinated)</v>
      </c>
      <c r="C147" s="257" t="str">
        <f>'Weekly Data'!B147</f>
        <v>T.O.N.</v>
      </c>
      <c r="D147" s="257" t="str">
        <f>IF(COUNT('Weekly Data'!E147:I147)=0,"",IF(AVERAGE('Weekly Data'!E147:I147)&lt;0.55,"&lt;1",AVERAGE('Weekly Data'!E147:I147)))</f>
        <v/>
      </c>
      <c r="E147" s="257" t="str">
        <f>IF(COUNT('Weekly Data'!J147:M147)=0,"",IF(AVERAGE('Weekly Data'!J147:M147)&lt;0.55,"&lt;1",AVERAGE('Weekly Data'!J147:M147)))</f>
        <v/>
      </c>
      <c r="F147" s="257" t="str">
        <f>IF(COUNT('Weekly Data'!N147:Q147)=0,"",IF(AVERAGE('Weekly Data'!N147:Q147)&lt;0.55,"&lt;1",AVERAGE('Weekly Data'!N147:Q147)))</f>
        <v/>
      </c>
      <c r="G147" s="257" t="str">
        <f>IF(COUNT('Weekly Data'!R147:V147)=0,"",IF(AVERAGE('Weekly Data'!R147:V147)&lt;0.55,"&lt;1",AVERAGE('Weekly Data'!R147:V147)))</f>
        <v/>
      </c>
      <c r="H147" s="257" t="str">
        <f>IF(COUNT('Weekly Data'!W147:Z147)=0,"",IF(AVERAGE('Weekly Data'!W147:Z147)&lt;0.55,"&lt;1",AVERAGE('Weekly Data'!W147:Z147)))</f>
        <v/>
      </c>
      <c r="I147" s="257" t="str">
        <f>IF(COUNT('Weekly Data'!AA147:AD147)=0,"",IF(AVERAGE('Weekly Data'!AA147:AD147)&lt;0.55,"&lt;1",AVERAGE('Weekly Data'!AA147:AD147)))</f>
        <v/>
      </c>
      <c r="J147" s="257" t="str">
        <f>IF(COUNT('Weekly Data'!AE147:AI147)=0,"",IF(AVERAGE('Weekly Data'!AE147:AI147)&lt;0.55,"&lt;1",AVERAGE('Weekly Data'!AE147:AI147)))</f>
        <v/>
      </c>
      <c r="K147" s="257" t="str">
        <f>IF(COUNT('Weekly Data'!AJ147:AM147)=0,"",IF(AVERAGE('Weekly Data'!AJ147:AM147)&lt;0.55,"&lt;1",AVERAGE('Weekly Data'!AJ147:AM147)))</f>
        <v/>
      </c>
      <c r="L147" s="257" t="str">
        <f>IF(COUNT('Weekly Data'!AN147:AQ147)=0,"",IF(AVERAGE('Weekly Data'!AN147:AQ147)&lt;0.55,"&lt;1",AVERAGE('Weekly Data'!AN147:AQ147)))</f>
        <v/>
      </c>
      <c r="M147" s="257" t="str">
        <f>IF(COUNT('Weekly Data'!AR147:AV147)=0,"",IF(AVERAGE('Weekly Data'!AR147:AV147)&lt;0.55,"&lt;1",AVERAGE('Weekly Data'!AR147:AV147)))</f>
        <v/>
      </c>
      <c r="N147" s="257" t="str">
        <f>IF(COUNT('Weekly Data'!AW147:AZ147)=0,"",IF(AVERAGE('Weekly Data'!AW147:AZ147)&lt;0.55,"&lt;1",AVERAGE('Weekly Data'!AW147:AZ147)))</f>
        <v/>
      </c>
      <c r="O147" s="257" t="str">
        <f>IF(COUNT('Weekly Data'!BA147:BD147)=0,"",IF(AVERAGE('Weekly Data'!BA147:BD147)&lt;0.55,"&lt;1",AVERAGE('Weekly Data'!BA147:BD147)))</f>
        <v/>
      </c>
      <c r="P147" s="257"/>
      <c r="Q147" s="257" t="str">
        <f>IF(COUNT('Weekly Data'!E147:BD147)=0,"",IF(AVERAGE('Weekly Data'!E147:BD147)&lt;0.55,"&lt;1",AVERAGE('Weekly Data'!E147:BD147)))</f>
        <v/>
      </c>
      <c r="R147" s="257" t="str">
        <f>IF(COUNT('Weekly Data'!E147:BD147)=0,"",IF(MIN('Weekly Data'!E147:BD147)&lt;0.55,"&lt;1",MIN('Weekly Data'!E147:BD147)))</f>
        <v/>
      </c>
      <c r="S147" s="257" t="str">
        <f>IF(COUNT('Weekly Data'!E147:BD147)=0,"",IF(MAX('Weekly Data'!E147:BD147)&lt;0.55,"&lt;1",MAX('Weekly Data'!E147:BD147)))</f>
        <v/>
      </c>
      <c r="T147" s="293"/>
      <c r="U147" s="259">
        <f>COUNT('Weekly Data'!E147:BC147)</f>
        <v>0</v>
      </c>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row>
    <row r="148" spans="1:256">
      <c r="A148" s="1"/>
      <c r="B148" s="258" t="str">
        <f>'Weekly Data'!A148</f>
        <v>Odour(Dechlorinated)</v>
      </c>
      <c r="C148" s="257" t="str">
        <f>'Weekly Data'!B148</f>
        <v>T.O.N.</v>
      </c>
      <c r="D148" s="257">
        <f>IF(COUNT('Weekly Data'!E148:I148)=0,"",IF(AVERAGE('Weekly Data'!E148:I148)&lt;0.55,"&lt;1",AVERAGE('Weekly Data'!E148:I148)))</f>
        <v>4.25</v>
      </c>
      <c r="E148" s="257">
        <f>IF(COUNT('Weekly Data'!J148:M148)=0,"",IF(AVERAGE('Weekly Data'!J148:M148)&lt;0.55,"&lt;1",AVERAGE('Weekly Data'!J148:M148)))</f>
        <v>5.5</v>
      </c>
      <c r="F148" s="257">
        <f>IF(COUNT('Weekly Data'!N148:Q148)=0,"",IF(AVERAGE('Weekly Data'!N148:Q148)&lt;0.55,"&lt;1",AVERAGE('Weekly Data'!N148:Q148)))</f>
        <v>8.6666666666666661</v>
      </c>
      <c r="G148" s="257">
        <f>IF(COUNT('Weekly Data'!R148:V148)=0,"",IF(AVERAGE('Weekly Data'!R148:V148)&lt;0.55,"&lt;1",AVERAGE('Weekly Data'!R148:V148)))</f>
        <v>15.6</v>
      </c>
      <c r="H148" s="257">
        <f>IF(COUNT('Weekly Data'!W148:Z148)=0,"",IF(AVERAGE('Weekly Data'!W148:Z148)&lt;0.55,"&lt;1",AVERAGE('Weekly Data'!W148:Z148)))</f>
        <v>10.75</v>
      </c>
      <c r="I148" s="257" t="str">
        <f>IF(COUNT('Weekly Data'!AA148:AD148)=0,"",IF(AVERAGE('Weekly Data'!AA148:AD148)&lt;0.55,"&lt;1",AVERAGE('Weekly Data'!AA148:AD148)))</f>
        <v>&lt;1</v>
      </c>
      <c r="J148" s="257">
        <f>IF(COUNT('Weekly Data'!AE148:AI148)=0,"",IF(AVERAGE('Weekly Data'!AE148:AI148)&lt;0.55,"&lt;1",AVERAGE('Weekly Data'!AE148:AI148)))</f>
        <v>0.8</v>
      </c>
      <c r="K148" s="257">
        <f>IF(COUNT('Weekly Data'!AJ148:AM148)=0,"",IF(AVERAGE('Weekly Data'!AJ148:AM148)&lt;0.55,"&lt;1",AVERAGE('Weekly Data'!AJ148:AM148)))</f>
        <v>2.5</v>
      </c>
      <c r="L148" s="257">
        <f>IF(COUNT('Weekly Data'!AN148:AQ148)=0,"",IF(AVERAGE('Weekly Data'!AN148:AQ148)&lt;0.55,"&lt;1",AVERAGE('Weekly Data'!AN148:AQ148)))</f>
        <v>5.5</v>
      </c>
      <c r="M148" s="257">
        <f>IF(COUNT('Weekly Data'!AR148:AV148)=0,"",IF(AVERAGE('Weekly Data'!AR148:AV148)&lt;0.55,"&lt;1",AVERAGE('Weekly Data'!AR148:AV148)))</f>
        <v>6.4</v>
      </c>
      <c r="N148" s="257">
        <f>IF(COUNT('Weekly Data'!AW148:AZ148)=0,"",IF(AVERAGE('Weekly Data'!AW148:AZ148)&lt;0.55,"&lt;1",AVERAGE('Weekly Data'!AW148:AZ148)))</f>
        <v>6</v>
      </c>
      <c r="O148" s="257">
        <f>IF(COUNT('Weekly Data'!BA148:BD148)=0,"",IF(AVERAGE('Weekly Data'!BA148:BD148)&lt;0.55,"&lt;1",AVERAGE('Weekly Data'!BA148:BD148)))</f>
        <v>14.666666666666666</v>
      </c>
      <c r="P148" s="257"/>
      <c r="Q148" s="257">
        <f>IF(COUNT('Weekly Data'!E148:BD148)=0,"",IF(AVERAGE('Weekly Data'!E148:BD148)&lt;0.55,"&lt;1",AVERAGE('Weekly Data'!E148:BD148)))</f>
        <v>6.6170212765957448</v>
      </c>
      <c r="R148" s="257" t="str">
        <f>IF(COUNT('Weekly Data'!E148:BD148)=0,"",IF(MIN('Weekly Data'!E148:BD148)&lt;0.55,"&lt;1",MIN('Weekly Data'!E148:BD148)))</f>
        <v>&lt;1</v>
      </c>
      <c r="S148" s="257">
        <f>IF(COUNT('Weekly Data'!E148:BD148)=0,"",IF(MAX('Weekly Data'!E148:BD148)&lt;0.55,"&lt;1",MAX('Weekly Data'!E148:BD148)))</f>
        <v>23</v>
      </c>
      <c r="T148" s="293"/>
      <c r="U148" s="259">
        <f>COUNT('Weekly Data'!E148:BC148)</f>
        <v>47</v>
      </c>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49" spans="1:256">
      <c r="A149" s="1"/>
      <c r="B149" s="258" t="str">
        <f>'Weekly Data'!A149</f>
        <v>PreGAC Odour</v>
      </c>
      <c r="C149" s="257" t="str">
        <f>'Weekly Data'!B149</f>
        <v>T.O.N.</v>
      </c>
      <c r="D149" s="257" t="str">
        <f>IF(COUNT('Weekly Data'!E149:I149)=0,"",IF(AVERAGE('Weekly Data'!E149:I149)&lt;0.55,"&lt;1",AVERAGE('Weekly Data'!E149:I149)))</f>
        <v/>
      </c>
      <c r="E149" s="257" t="str">
        <f>IF(COUNT('Weekly Data'!J149:M149)=0,"",IF(AVERAGE('Weekly Data'!J149:M149)&lt;0.55,"&lt;1",AVERAGE('Weekly Data'!J149:M149)))</f>
        <v/>
      </c>
      <c r="F149" s="257" t="str">
        <f>IF(COUNT('Weekly Data'!N149:Q149)=0,"",IF(AVERAGE('Weekly Data'!N149:Q149)&lt;0.55,"&lt;1",AVERAGE('Weekly Data'!N149:Q149)))</f>
        <v/>
      </c>
      <c r="G149" s="257" t="str">
        <f>IF(COUNT('Weekly Data'!R149:V149)=0,"",IF(AVERAGE('Weekly Data'!R149:V149)&lt;0.55,"&lt;1",AVERAGE('Weekly Data'!R149:V149)))</f>
        <v/>
      </c>
      <c r="H149" s="257" t="str">
        <f>IF(COUNT('Weekly Data'!W149:Z149)=0,"",IF(AVERAGE('Weekly Data'!W149:Z149)&lt;0.55,"&lt;1",AVERAGE('Weekly Data'!W149:Z149)))</f>
        <v/>
      </c>
      <c r="I149" s="257">
        <f>IF(COUNT('Weekly Data'!AA149:AD149)=0,"",IF(AVERAGE('Weekly Data'!AA149:AD149)&lt;0.55,"&lt;1",AVERAGE('Weekly Data'!AA149:AD149)))</f>
        <v>70.75</v>
      </c>
      <c r="J149" s="257">
        <f>IF(COUNT('Weekly Data'!AE149:AI149)=0,"",IF(AVERAGE('Weekly Data'!AE149:AI149)&lt;0.55,"&lt;1",AVERAGE('Weekly Data'!AE149:AI149)))</f>
        <v>97.6</v>
      </c>
      <c r="K149" s="257">
        <f>IF(COUNT('Weekly Data'!AJ149:AM149)=0,"",IF(AVERAGE('Weekly Data'!AJ149:AM149)&lt;0.55,"&lt;1",AVERAGE('Weekly Data'!AJ149:AM149)))</f>
        <v>69.75</v>
      </c>
      <c r="L149" s="257">
        <f>IF(COUNT('Weekly Data'!AN149:AQ149)=0,"",IF(AVERAGE('Weekly Data'!AN149:AQ149)&lt;0.55,"&lt;1",AVERAGE('Weekly Data'!AN149:AQ149)))</f>
        <v>65.75</v>
      </c>
      <c r="M149" s="257">
        <f>IF(COUNT('Weekly Data'!AR149:AV149)=0,"",IF(AVERAGE('Weekly Data'!AR149:AV149)&lt;0.55,"&lt;1",AVERAGE('Weekly Data'!AR149:AV149)))</f>
        <v>26</v>
      </c>
      <c r="N149" s="257">
        <f>IF(COUNT('Weekly Data'!AW149:AZ149)=0,"",IF(AVERAGE('Weekly Data'!AW149:AZ149)&lt;0.55,"&lt;1",AVERAGE('Weekly Data'!AW149:AZ149)))</f>
        <v>12.333333333333334</v>
      </c>
      <c r="O149" s="257" t="str">
        <f>IF(COUNT('Weekly Data'!BA149:BD149)=0,"",IF(AVERAGE('Weekly Data'!BA149:BD149)&lt;0.55,"&lt;1",AVERAGE('Weekly Data'!BA149:BD149)))</f>
        <v/>
      </c>
      <c r="P149" s="257"/>
      <c r="Q149" s="257">
        <f>IF(COUNT('Weekly Data'!E149:BD149)=0,"",IF(AVERAGE('Weekly Data'!E149:BD149)&lt;0.55,"&lt;1",AVERAGE('Weekly Data'!E149:BD149)))</f>
        <v>59.2</v>
      </c>
      <c r="R149" s="257">
        <f>IF(COUNT('Weekly Data'!E149:BD149)=0,"",IF(MIN('Weekly Data'!E149:BD149)&lt;0.55,"&lt;1",MIN('Weekly Data'!E149:BD149)))</f>
        <v>11</v>
      </c>
      <c r="S149" s="257">
        <f>IF(COUNT('Weekly Data'!E149:BD149)=0,"",IF(MAX('Weekly Data'!E149:BD149)&lt;0.55,"&lt;1",MAX('Weekly Data'!E149:BD149)))</f>
        <v>133</v>
      </c>
      <c r="T149" s="293"/>
      <c r="U149" s="259">
        <f>COUNT('Weekly Data'!E149:BC149)</f>
        <v>25</v>
      </c>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row>
    <row r="150" spans="1:256" ht="34">
      <c r="A150" s="1"/>
      <c r="B150" s="260" t="str">
        <f>'Weekly Data'!A150</f>
        <v>Odour Removal by Coagulation and Filtration</v>
      </c>
      <c r="C150" s="261" t="str">
        <f>'Weekly Data'!B150</f>
        <v>%</v>
      </c>
      <c r="D150" s="262">
        <f>IF(COUNT('Weekly Data'!E150:I150)=0,"",IF(AVERAGE('Weekly Data'!E150:I150)&lt;0.55,"&lt;1",AVERAGE('Weekly Data'!E150:I150)))</f>
        <v>0.68377976190476186</v>
      </c>
      <c r="E150" s="262">
        <f>IF(COUNT('Weekly Data'!J150:M150)=0,"",IF(AVERAGE('Weekly Data'!J150:M150)&lt;0.55,"&lt;1",AVERAGE('Weekly Data'!J150:M150)))</f>
        <v>0.58333333333333326</v>
      </c>
      <c r="F150" s="262">
        <f>IF(COUNT('Weekly Data'!N150:Q150)=0,"",IF(AVERAGE('Weekly Data'!N150:Q150)&lt;0.55,"&lt;1",AVERAGE('Weekly Data'!N150:Q150)))</f>
        <v>0.57142857142857129</v>
      </c>
      <c r="G150" s="262">
        <f>IF(COUNT('Weekly Data'!R150:V150)=0,"",IF(AVERAGE('Weekly Data'!R150:V150)&lt;0.55,"&lt;1",AVERAGE('Weekly Data'!R150:V150)))</f>
        <v>0.8404931910195067</v>
      </c>
      <c r="H150" s="262">
        <f>IF(COUNT('Weekly Data'!W150:Z150)=0,"",IF(AVERAGE('Weekly Data'!W150:Z150)&lt;0.55,"&lt;1",AVERAGE('Weekly Data'!W150:Z150)))</f>
        <v>0.87817810457516343</v>
      </c>
      <c r="I150" s="262">
        <f>IF(COUNT('Weekly Data'!AA150:AD150)=0,"",IF(AVERAGE('Weekly Data'!AA150:AD150)&lt;0.55,"&lt;1",AVERAGE('Weekly Data'!AA150:AD150)))</f>
        <v>0.63467760180995481</v>
      </c>
      <c r="J150" s="262" t="str">
        <f>IF(COUNT('Weekly Data'!AE150:AI150)=0,"",IF(AVERAGE('Weekly Data'!AE150:AI150)&lt;0.55,"&lt;1",AVERAGE('Weekly Data'!AE150:AI150)))</f>
        <v>&lt;1</v>
      </c>
      <c r="K150" s="262" t="str">
        <f>IF(COUNT('Weekly Data'!AJ150:AM150)=0,"",IF(AVERAGE('Weekly Data'!AJ150:AM150)&lt;0.55,"&lt;1",AVERAGE('Weekly Data'!AJ150:AM150)))</f>
        <v>&lt;1</v>
      </c>
      <c r="L150" s="262" t="str">
        <f>IF(COUNT('Weekly Data'!AN150:AQ150)=0,"",IF(AVERAGE('Weekly Data'!AN150:AQ150)&lt;0.55,"&lt;1",AVERAGE('Weekly Data'!AN150:AQ150)))</f>
        <v>&lt;1</v>
      </c>
      <c r="M150" s="262" t="str">
        <f>IF(COUNT('Weekly Data'!AR150:AV150)=0,"",IF(AVERAGE('Weekly Data'!AR150:AV150)&lt;0.55,"&lt;1",AVERAGE('Weekly Data'!AR150:AV150)))</f>
        <v>&lt;1</v>
      </c>
      <c r="N150" s="262" t="str">
        <f>IF(COUNT('Weekly Data'!AW150:AZ150)=0,"",IF(AVERAGE('Weekly Data'!AW150:AZ150)&lt;0.55,"&lt;1",AVERAGE('Weekly Data'!AW150:AZ150)))</f>
        <v>&lt;1</v>
      </c>
      <c r="O150" s="262" t="str">
        <f>IF(COUNT('Weekly Data'!BA150:BD150)=0,"",IF(AVERAGE('Weekly Data'!BA150:BD150)&lt;0.55,"&lt;1",AVERAGE('Weekly Data'!BA150:BD150)))</f>
        <v>&lt;1</v>
      </c>
      <c r="P150" s="262"/>
      <c r="Q150" s="262" t="str">
        <f>IF(COUNT('Weekly Data'!E150:BD150)=0,"",IF(AVERAGE('Weekly Data'!E150:BD150)&lt;0.55,"&lt;1",AVERAGE('Weekly Data'!E150:BD150)))</f>
        <v>&lt;1</v>
      </c>
      <c r="R150" s="262" t="str">
        <f>IF(COUNT('Weekly Data'!E150:BD150)=0,"",IF(MIN('Weekly Data'!E150:BD150)&lt;0.55,"&lt;1",MIN('Weekly Data'!E150:BD150)))</f>
        <v>&lt;1</v>
      </c>
      <c r="S150" s="262">
        <f>IF(COUNT('Weekly Data'!E150:BD150)=0,"",IF(MAX('Weekly Data'!E150:BD150)&lt;0.55,"&lt;1",MAX('Weekly Data'!E150:BD150)))</f>
        <v>0.94</v>
      </c>
      <c r="T150" s="428"/>
      <c r="U150" s="52">
        <f>COUNT('Weekly Data'!E150:BC150)</f>
        <v>47</v>
      </c>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spans="1:256" ht="17">
      <c r="A151" s="1"/>
      <c r="B151" s="260" t="str">
        <f>'Weekly Data'!A151</f>
        <v>Odour Removal Overall</v>
      </c>
      <c r="C151" s="261" t="str">
        <f>'Weekly Data'!B151</f>
        <v>%</v>
      </c>
      <c r="D151" s="262">
        <f>IF(COUNT('Weekly Data'!E151:I151)=0,"",IF(AVERAGE('Weekly Data'!E151:I151)&lt;0.55,"&lt;1",AVERAGE('Weekly Data'!E151:I151)))</f>
        <v>0.68377976190476186</v>
      </c>
      <c r="E151" s="262">
        <f>IF(COUNT('Weekly Data'!J151:M151)=0,"",IF(AVERAGE('Weekly Data'!J151:M151)&lt;0.55,"&lt;1",AVERAGE('Weekly Data'!J151:M151)))</f>
        <v>0.58333333333333326</v>
      </c>
      <c r="F151" s="262">
        <f>IF(COUNT('Weekly Data'!N151:Q151)=0,"",IF(AVERAGE('Weekly Data'!N151:Q151)&lt;0.55,"&lt;1",AVERAGE('Weekly Data'!N151:Q151)))</f>
        <v>0.57142857142857129</v>
      </c>
      <c r="G151" s="262">
        <f>IF(COUNT('Weekly Data'!R151:V151)=0,"",IF(AVERAGE('Weekly Data'!R151:V151)&lt;0.55,"&lt;1",AVERAGE('Weekly Data'!R151:V151)))</f>
        <v>0.8404931910195067</v>
      </c>
      <c r="H151" s="262">
        <f>IF(COUNT('Weekly Data'!W151:Z151)=0,"",IF(AVERAGE('Weekly Data'!W151:Z151)&lt;0.55,"&lt;1",AVERAGE('Weekly Data'!W151:Z151)))</f>
        <v>0.87817810457516343</v>
      </c>
      <c r="I151" s="262">
        <f>IF(COUNT('Weekly Data'!AA151:AD151)=0,"",IF(AVERAGE('Weekly Data'!AA151:AD151)&lt;0.55,"&lt;1",AVERAGE('Weekly Data'!AA151:AD151)))</f>
        <v>1</v>
      </c>
      <c r="J151" s="262">
        <f>IF(COUNT('Weekly Data'!AE151:AI151)=0,"",IF(AVERAGE('Weekly Data'!AE151:AI151)&lt;0.55,"&lt;1",AVERAGE('Weekly Data'!AE151:AI151)))</f>
        <v>0.99364946236559137</v>
      </c>
      <c r="K151" s="262">
        <f>IF(COUNT('Weekly Data'!AJ151:AM151)=0,"",IF(AVERAGE('Weekly Data'!AJ151:AM151)&lt;0.55,"&lt;1",AVERAGE('Weekly Data'!AJ151:AM151)))</f>
        <v>0.97697838345864663</v>
      </c>
      <c r="L151" s="262">
        <f>IF(COUNT('Weekly Data'!AN151:AQ151)=0,"",IF(AVERAGE('Weekly Data'!AN151:AQ151)&lt;0.55,"&lt;1",AVERAGE('Weekly Data'!AN151:AQ151)))</f>
        <v>0.9387124316939891</v>
      </c>
      <c r="M151" s="262">
        <f>IF(COUNT('Weekly Data'!AR151:AV151)=0,"",IF(AVERAGE('Weekly Data'!AR151:AV151)&lt;0.55,"&lt;1",AVERAGE('Weekly Data'!AR151:AV151)))</f>
        <v>0.81107751937984496</v>
      </c>
      <c r="N151" s="262">
        <f>IF(COUNT('Weekly Data'!AW151:AZ151)=0,"",IF(AVERAGE('Weekly Data'!AW151:AZ151)&lt;0.55,"&lt;1",AVERAGE('Weekly Data'!AW151:AZ151)))</f>
        <v>0.72832687035473409</v>
      </c>
      <c r="O151" s="262" t="str">
        <f>IF(COUNT('Weekly Data'!BA151:BD151)=0,"",IF(AVERAGE('Weekly Data'!BA151:BD151)&lt;0.55,"&lt;1",AVERAGE('Weekly Data'!BA151:BD151)))</f>
        <v>&lt;1</v>
      </c>
      <c r="P151" s="262"/>
      <c r="Q151" s="262">
        <f>IF(COUNT('Weekly Data'!E151:BD151)=0,"",IF(AVERAGE('Weekly Data'!E151:BD151)&lt;0.55,"&lt;1",AVERAGE('Weekly Data'!E151:BD151)))</f>
        <v>0.80751441861592577</v>
      </c>
      <c r="R151" s="262" t="str">
        <f>IF(COUNT('Weekly Data'!E151:BD151)=0,"",IF(MIN('Weekly Data'!E151:BD151)&lt;0.55,"&lt;1",MIN('Weekly Data'!E151:BD151)))</f>
        <v>&lt;1</v>
      </c>
      <c r="S151" s="262">
        <f>IF(COUNT('Weekly Data'!E151:BD151)=0,"",IF(MAX('Weekly Data'!E151:BD151)&lt;0.55,"&lt;1",MAX('Weekly Data'!E151:BD151)))</f>
        <v>1</v>
      </c>
      <c r="T151" s="428"/>
      <c r="U151" s="52">
        <f>COUNT('Weekly Data'!E151:BC151)</f>
        <v>47</v>
      </c>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2" spans="1:256">
      <c r="A152" s="310"/>
      <c r="B152" s="258" t="str">
        <f>'Weekly Data'!A152</f>
        <v>Particles</v>
      </c>
      <c r="C152" s="257" t="str">
        <f>'Weekly Data'!B152</f>
        <v>per 10 ml</v>
      </c>
      <c r="D152" s="257">
        <f>IF(COUNT('Weekly Data'!E152:I152)=0,"",AVERAGE('Weekly Data'!E152:I152))</f>
        <v>100.25</v>
      </c>
      <c r="E152" s="257">
        <f>IF(COUNT('Weekly Data'!J152:M152)=0,"",AVERAGE('Weekly Data'!J152:M152))</f>
        <v>170</v>
      </c>
      <c r="F152" s="257">
        <f>IF(COUNT('Weekly Data'!N152:Q152)=0,"",AVERAGE('Weekly Data'!N152:Q152))</f>
        <v>227</v>
      </c>
      <c r="G152" s="257">
        <f>IF(COUNT('Weekly Data'!R152:V152)=0,"",AVERAGE('Weekly Data'!R152:V152))</f>
        <v>365</v>
      </c>
      <c r="H152" s="257">
        <f>IF(COUNT('Weekly Data'!W152:Z152)=0,"",AVERAGE('Weekly Data'!W152:Z152))</f>
        <v>171.21249999999998</v>
      </c>
      <c r="I152" s="257">
        <f>IF(COUNT('Weekly Data'!AA152:AD152)=0,"",AVERAGE('Weekly Data'!AA152:AD152))</f>
        <v>403.84500000000003</v>
      </c>
      <c r="J152" s="257">
        <f>IF(COUNT('Weekly Data'!AE152:AI152)=0,"",AVERAGE('Weekly Data'!AE152:AI152))</f>
        <v>333</v>
      </c>
      <c r="K152" s="257">
        <f>IF(COUNT('Weekly Data'!AJ152:AM152)=0,"",AVERAGE('Weekly Data'!AJ152:AM152))</f>
        <v>129.25</v>
      </c>
      <c r="L152" s="257">
        <f>IF(COUNT('Weekly Data'!AN152:AQ152)=0,"",AVERAGE('Weekly Data'!AN152:AQ152))</f>
        <v>83.5</v>
      </c>
      <c r="M152" s="257">
        <f>IF(COUNT('Weekly Data'!AR152:AV152)=0,"",AVERAGE('Weekly Data'!AR152:AV152))</f>
        <v>63</v>
      </c>
      <c r="N152" s="257">
        <f>IF(COUNT('Weekly Data'!AW152:AZ152)=0,"",AVERAGE('Weekly Data'!AW152:AZ152))</f>
        <v>54</v>
      </c>
      <c r="O152" s="257">
        <f>IF(COUNT('Weekly Data'!BA152:BD152)=0,"",AVERAGE('Weekly Data'!BA152:BD152))</f>
        <v>117.33333333333333</v>
      </c>
      <c r="P152" s="257"/>
      <c r="Q152" s="257">
        <f>IF(COUNT('Weekly Data'!E152:BD152)=0,"",AVERAGE('Weekly Data'!E152:BD152))</f>
        <v>188.79119047619048</v>
      </c>
      <c r="R152" s="257">
        <f>IF(COUNT('Weekly Data'!E152:BD152)=0,"",MIN('Weekly Data'!E152:BD152))</f>
        <v>35</v>
      </c>
      <c r="S152" s="257">
        <f>IF(COUNT('Weekly Data'!E152:BD152)=0,"",MAX('Weekly Data'!E152:BD152))</f>
        <v>689</v>
      </c>
      <c r="T152" s="303"/>
      <c r="U152" s="259">
        <f>COUNT('Weekly Data'!E152:BC152)</f>
        <v>42</v>
      </c>
      <c r="V152" s="310"/>
      <c r="W152" s="310"/>
      <c r="X152" s="310"/>
      <c r="Y152" s="310"/>
      <c r="Z152" s="310"/>
      <c r="AA152" s="310"/>
      <c r="AB152" s="310"/>
      <c r="AC152" s="310"/>
      <c r="AD152" s="310"/>
      <c r="AE152" s="310"/>
      <c r="AF152" s="310"/>
      <c r="AG152" s="310"/>
      <c r="AH152" s="310"/>
      <c r="AI152" s="310"/>
      <c r="AJ152" s="310"/>
      <c r="AK152" s="310"/>
      <c r="AL152" s="310"/>
      <c r="AM152" s="310"/>
      <c r="AN152" s="310"/>
      <c r="AO152" s="310"/>
      <c r="AP152" s="310"/>
      <c r="AQ152" s="310"/>
      <c r="AR152" s="310"/>
      <c r="AS152" s="310"/>
      <c r="AT152" s="310"/>
      <c r="AU152" s="310"/>
      <c r="AV152" s="310"/>
      <c r="AW152" s="310"/>
      <c r="AX152" s="310"/>
      <c r="AY152" s="310"/>
      <c r="AZ152" s="310"/>
      <c r="BA152" s="310"/>
      <c r="BB152" s="310"/>
      <c r="BC152" s="310"/>
      <c r="BD152" s="310"/>
      <c r="BE152" s="310"/>
      <c r="BF152" s="310"/>
      <c r="BG152" s="31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1"/>
      <c r="B153" s="258" t="str">
        <f>'Weekly Data'!A153</f>
        <v>pH</v>
      </c>
      <c r="C153" s="257" t="str">
        <f>'Weekly Data'!B153</f>
        <v>pH units</v>
      </c>
      <c r="D153" s="263">
        <f>IF(COUNT('Weekly Data'!E153:I153)=0,"",AVERAGE('Weekly Data'!E153:I153))</f>
        <v>7.3579999999999997</v>
      </c>
      <c r="E153" s="263">
        <f>IF(COUNT('Weekly Data'!J153:M153)=0,"",AVERAGE('Weekly Data'!J153:M153))</f>
        <v>7.3</v>
      </c>
      <c r="F153" s="263">
        <f>IF(COUNT('Weekly Data'!N153:Q153)=0,"",AVERAGE('Weekly Data'!N153:Q153))</f>
        <v>7.26</v>
      </c>
      <c r="G153" s="263">
        <f>IF(COUNT('Weekly Data'!R153:V153)=0,"",AVERAGE('Weekly Data'!R153:V153))</f>
        <v>7.35</v>
      </c>
      <c r="H153" s="263">
        <f>IF(COUNT('Weekly Data'!W153:Z153)=0,"",AVERAGE('Weekly Data'!W153:Z153))</f>
        <v>7.3025000000000002</v>
      </c>
      <c r="I153" s="263">
        <f>IF(COUNT('Weekly Data'!AA153:AD153)=0,"",AVERAGE('Weekly Data'!AA153:AD153))</f>
        <v>7.4449999999999994</v>
      </c>
      <c r="J153" s="263">
        <f>IF(COUNT('Weekly Data'!AE153:AI153)=0,"",AVERAGE('Weekly Data'!AE153:AI153))</f>
        <v>7.444</v>
      </c>
      <c r="K153" s="263">
        <f>IF(COUNT('Weekly Data'!AJ153:AM153)=0,"",AVERAGE('Weekly Data'!AJ153:AM153))</f>
        <v>7.2149999999999999</v>
      </c>
      <c r="L153" s="263">
        <f>IF(COUNT('Weekly Data'!AN153:AQ153)=0,"",AVERAGE('Weekly Data'!AN153:AQ153))</f>
        <v>7.2075000000000005</v>
      </c>
      <c r="M153" s="263">
        <f>IF(COUNT('Weekly Data'!AR153:AV153)=0,"",AVERAGE('Weekly Data'!AR153:AV153))</f>
        <v>7.2479999999999993</v>
      </c>
      <c r="N153" s="263">
        <f>IF(COUNT('Weekly Data'!AW153:AZ153)=0,"",AVERAGE('Weekly Data'!AW153:AZ153))</f>
        <v>7.26</v>
      </c>
      <c r="O153" s="263">
        <f>IF(COUNT('Weekly Data'!BA153:BD153)=0,"",AVERAGE('Weekly Data'!BA153:BD153))</f>
        <v>7.2675000000000001</v>
      </c>
      <c r="P153" s="263"/>
      <c r="Q153" s="263">
        <f>IF(COUNT('Weekly Data'!E153:BD153)=0,"",AVERAGE('Weekly Data'!E153:BD153))</f>
        <v>7.3084313725490189</v>
      </c>
      <c r="R153" s="263">
        <f>IF(COUNT('Weekly Data'!E153:BD153)=0,"",MIN('Weekly Data'!E153:BD153))</f>
        <v>7.08</v>
      </c>
      <c r="S153" s="263">
        <f>IF(COUNT('Weekly Data'!E153:BD153)=0,"",MAX('Weekly Data'!E153:BD153))</f>
        <v>7.64</v>
      </c>
      <c r="T153" s="293"/>
      <c r="U153" s="259">
        <f>COUNT('Weekly Data'!E153:BC153)</f>
        <v>50</v>
      </c>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4" spans="1:256">
      <c r="A154" s="1"/>
      <c r="B154" s="258" t="str">
        <f>'Weekly Data'!A154</f>
        <v>Coagulation pH (Channel 1)</v>
      </c>
      <c r="C154" s="257" t="str">
        <f>'Weekly Data'!B154</f>
        <v>pH units</v>
      </c>
      <c r="D154" s="263">
        <f>IF(COUNT('Weekly Data'!E154:I154)=0,"",AVERAGE('Weekly Data'!E154:I154))</f>
        <v>7.1240000000000006</v>
      </c>
      <c r="E154" s="263">
        <f>IF(COUNT('Weekly Data'!J154:M154)=0,"",AVERAGE('Weekly Data'!J154:M154))</f>
        <v>7.05</v>
      </c>
      <c r="F154" s="263">
        <f>IF(COUNT('Weekly Data'!N154:Q154)=0,"",AVERAGE('Weekly Data'!N154:Q154))</f>
        <v>7.0724999999999998</v>
      </c>
      <c r="G154" s="263">
        <f>IF(COUNT('Weekly Data'!R154:V154)=0,"",AVERAGE('Weekly Data'!R154:V154))</f>
        <v>7.04</v>
      </c>
      <c r="H154" s="263">
        <f>IF(COUNT('Weekly Data'!W154:Z154)=0,"",AVERAGE('Weekly Data'!W154:Z154))</f>
        <v>7.0575000000000001</v>
      </c>
      <c r="I154" s="263">
        <f>IF(COUNT('Weekly Data'!AA154:AD154)=0,"",AVERAGE('Weekly Data'!AA154:AD154))</f>
        <v>7.0825000000000005</v>
      </c>
      <c r="J154" s="263">
        <f>IF(COUNT('Weekly Data'!AE154:AI154)=0,"",AVERAGE('Weekly Data'!AE154:AI154))</f>
        <v>7.0240000000000009</v>
      </c>
      <c r="K154" s="263">
        <f>IF(COUNT('Weekly Data'!AJ154:AM154)=0,"",AVERAGE('Weekly Data'!AJ154:AM154))</f>
        <v>6.9425000000000008</v>
      </c>
      <c r="L154" s="263">
        <f>IF(COUNT('Weekly Data'!AN154:AQ154)=0,"",AVERAGE('Weekly Data'!AN154:AQ154))</f>
        <v>6.8800000000000008</v>
      </c>
      <c r="M154" s="263">
        <f>IF(COUNT('Weekly Data'!AR154:AV154)=0,"",AVERAGE('Weekly Data'!AR154:AV154))</f>
        <v>6.9480000000000004</v>
      </c>
      <c r="N154" s="263">
        <f>IF(COUNT('Weekly Data'!AW154:AZ154)=0,"",AVERAGE('Weekly Data'!AW154:AZ154))</f>
        <v>6.99</v>
      </c>
      <c r="O154" s="263">
        <f>IF(COUNT('Weekly Data'!BA154:BD154)=0,"",AVERAGE('Weekly Data'!BA154:BD154))</f>
        <v>7.163333333333334</v>
      </c>
      <c r="P154" s="263"/>
      <c r="Q154" s="263">
        <f>IF(COUNT('Weekly Data'!E154:BD154)=0,"",AVERAGE('Weekly Data'!E154:BD154))</f>
        <v>7.0281632653061221</v>
      </c>
      <c r="R154" s="263">
        <f>IF(COUNT('Weekly Data'!E154:BD154)=0,"",MIN('Weekly Data'!E154:BD154))</f>
        <v>6.78</v>
      </c>
      <c r="S154" s="263">
        <f>IF(COUNT('Weekly Data'!E154:BD154)=0,"",MAX('Weekly Data'!E154:BD154))</f>
        <v>7.25</v>
      </c>
      <c r="T154" s="293"/>
      <c r="U154" s="259">
        <f>COUNT('Weekly Data'!E154:BC154)</f>
        <v>49</v>
      </c>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row>
    <row r="155" spans="1:256">
      <c r="A155" s="1"/>
      <c r="B155" s="258" t="str">
        <f>'Weekly Data'!A155</f>
        <v>SST</v>
      </c>
      <c r="C155" s="257" t="str">
        <f>'Weekly Data'!B155</f>
        <v>mg/L</v>
      </c>
      <c r="D155" s="247">
        <f>IF(COUNT('Weekly Data'!E155:I155)=0,"",IF(AVERAGE('Weekly Data'!E155:I155)&lt;0.055,"&lt;0.1",AVERAGE('Weekly Data'!E155:I155)))</f>
        <v>0.33333333333333331</v>
      </c>
      <c r="E155" s="247">
        <f>IF(COUNT('Weekly Data'!J155:M155)=0,"",IF(AVERAGE('Weekly Data'!J155:M155)&lt;0.055,"&lt;0.1",AVERAGE('Weekly Data'!J155:M155)))</f>
        <v>0.45</v>
      </c>
      <c r="F155" s="247">
        <f>IF(COUNT('Weekly Data'!N155:Q155)=0,"",IF(AVERAGE('Weekly Data'!N155:Q155)&lt;0.055,"&lt;0.1",AVERAGE('Weekly Data'!N155:Q155)))</f>
        <v>0.5</v>
      </c>
      <c r="G155" s="247">
        <f>IF(COUNT('Weekly Data'!R155:V155)=0,"",IF(AVERAGE('Weekly Data'!R155:V155)&lt;0.055,"&lt;0.1",AVERAGE('Weekly Data'!R155:V155)))</f>
        <v>0.3</v>
      </c>
      <c r="H155" s="247">
        <f>IF(COUNT('Weekly Data'!W155:Z155)=0,"",IF(AVERAGE('Weekly Data'!W155:Z155)&lt;0.055,"&lt;0.1",AVERAGE('Weekly Data'!W155:Z155)))</f>
        <v>0.22500000000000001</v>
      </c>
      <c r="I155" s="247">
        <f>IF(COUNT('Weekly Data'!AA155:AD155)=0,"",IF(AVERAGE('Weekly Data'!AA155:AD155)&lt;0.055,"&lt;0.1",AVERAGE('Weekly Data'!AA155:AD155)))</f>
        <v>0.27500000000000002</v>
      </c>
      <c r="J155" s="247">
        <f>IF(COUNT('Weekly Data'!AE155:AI155)=0,"",IF(AVERAGE('Weekly Data'!AE155:AI155)&lt;0.055,"&lt;0.1",AVERAGE('Weekly Data'!AE155:AI155)))</f>
        <v>0.22000000000000003</v>
      </c>
      <c r="K155" s="247">
        <f>IF(COUNT('Weekly Data'!AJ155:AM155)=0,"",IF(AVERAGE('Weekly Data'!AJ155:AM155)&lt;0.055,"&lt;0.1",AVERAGE('Weekly Data'!AJ155:AM155)))</f>
        <v>0.35000000000000003</v>
      </c>
      <c r="L155" s="247">
        <f>IF(COUNT('Weekly Data'!AN155:AQ155)=0,"",IF(AVERAGE('Weekly Data'!AN155:AQ155)&lt;0.055,"&lt;0.1",AVERAGE('Weekly Data'!AN155:AQ155)))</f>
        <v>0.3</v>
      </c>
      <c r="M155" s="247">
        <f>IF(COUNT('Weekly Data'!AR155:AV155)=0,"",IF(AVERAGE('Weekly Data'!AR155:AV155)&lt;0.055,"&lt;0.1",AVERAGE('Weekly Data'!AR155:AV155)))</f>
        <v>0.3</v>
      </c>
      <c r="N155" s="247">
        <f>IF(COUNT('Weekly Data'!AW155:AZ155)=0,"",IF(AVERAGE('Weekly Data'!AW155:AZ155)&lt;0.055,"&lt;0.1",AVERAGE('Weekly Data'!AW155:AZ155)))</f>
        <v>0.32500000000000001</v>
      </c>
      <c r="O155" s="247">
        <f>IF(COUNT('Weekly Data'!BA155:BD155)=0,"",IF(AVERAGE('Weekly Data'!BA155:BD155)&lt;0.055,"&lt;0.1",AVERAGE('Weekly Data'!BA155:BD155)))</f>
        <v>0.53333333333333333</v>
      </c>
      <c r="P155" s="247"/>
      <c r="Q155" s="247">
        <f>IF(COUNT('Weekly Data'!E155:BD155)=0,"",IF(AVERAGE('Weekly Data'!E155:BD155)&lt;0.055,"&lt;0.1",AVERAGE('Weekly Data'!E155:BD155)))</f>
        <v>0.32727272727272738</v>
      </c>
      <c r="R155" s="247" t="str">
        <f>IF(COUNT('Weekly Data'!E155:BD155)=0,"",IF(MIN('Weekly Data'!E155:BD155)&lt;0.055,"&lt;0.1",MIN('Weekly Data'!E155:BD155)))</f>
        <v>&lt;0.1</v>
      </c>
      <c r="S155" s="247">
        <f>IF(COUNT('Weekly Data'!E155:BD155)=0,"",IF(MAX('Weekly Data'!E155:BD155)&lt;0.055,"&lt;0.1",MAX('Weekly Data'!E155:BD155)))</f>
        <v>0.7</v>
      </c>
      <c r="T155" s="293"/>
      <c r="U155" s="259">
        <f>COUNT('Weekly Data'!E155:BC155)</f>
        <v>44</v>
      </c>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row>
    <row r="156" spans="1:256">
      <c r="A156" s="1"/>
      <c r="B156" s="258" t="str">
        <f>'Weekly Data'!A156</f>
        <v>SSV</v>
      </c>
      <c r="C156" s="257" t="str">
        <f>'Weekly Data'!B156</f>
        <v>mg/L</v>
      </c>
      <c r="D156" s="247">
        <f>IF(COUNT('Weekly Data'!E156:I156)=0,"",IF(AVERAGE('Weekly Data'!E156:I156)&lt;0.055,"&lt;0.1",AVERAGE('Weekly Data'!E156:I156)))</f>
        <v>0.16666666666666666</v>
      </c>
      <c r="E156" s="247">
        <f>IF(COUNT('Weekly Data'!J156:M156)=0,"",IF(AVERAGE('Weekly Data'!J156:M156)&lt;0.055,"&lt;0.1",AVERAGE('Weekly Data'!J156:M156)))</f>
        <v>0.25</v>
      </c>
      <c r="F156" s="247">
        <f>IF(COUNT('Weekly Data'!N156:Q156)=0,"",IF(AVERAGE('Weekly Data'!N156:Q156)&lt;0.055,"&lt;0.1",AVERAGE('Weekly Data'!N156:Q156)))</f>
        <v>0.30000000000000004</v>
      </c>
      <c r="G156" s="247">
        <f>IF(COUNT('Weekly Data'!R156:V156)=0,"",IF(AVERAGE('Weekly Data'!R156:V156)&lt;0.055,"&lt;0.1",AVERAGE('Weekly Data'!R156:V156)))</f>
        <v>0.26666666666666666</v>
      </c>
      <c r="H156" s="247">
        <f>IF(COUNT('Weekly Data'!W156:Z156)=0,"",IF(AVERAGE('Weekly Data'!W156:Z156)&lt;0.055,"&lt;0.1",AVERAGE('Weekly Data'!W156:Z156)))</f>
        <v>0.32500000000000001</v>
      </c>
      <c r="I156" s="247">
        <f>IF(COUNT('Weekly Data'!AA156:AD156)=0,"",IF(AVERAGE('Weekly Data'!AA156:AD156)&lt;0.055,"&lt;0.1",AVERAGE('Weekly Data'!AA156:AD156)))</f>
        <v>0.17499999999999999</v>
      </c>
      <c r="J156" s="247">
        <f>IF(COUNT('Weekly Data'!AE156:AI156)=0,"",IF(AVERAGE('Weekly Data'!AE156:AI156)&lt;0.055,"&lt;0.1",AVERAGE('Weekly Data'!AE156:AI156)))</f>
        <v>0.16</v>
      </c>
      <c r="K156" s="247">
        <f>IF(COUNT('Weekly Data'!AJ156:AM156)=0,"",IF(AVERAGE('Weekly Data'!AJ156:AM156)&lt;0.055,"&lt;0.1",AVERAGE('Weekly Data'!AJ156:AM156)))</f>
        <v>0.25</v>
      </c>
      <c r="L156" s="247">
        <f>IF(COUNT('Weekly Data'!AN156:AQ156)=0,"",IF(AVERAGE('Weekly Data'!AN156:AQ156)&lt;0.055,"&lt;0.1",AVERAGE('Weekly Data'!AN156:AQ156)))</f>
        <v>0.2</v>
      </c>
      <c r="M156" s="247">
        <f>IF(COUNT('Weekly Data'!AR156:AV156)=0,"",IF(AVERAGE('Weekly Data'!AR156:AV156)&lt;0.055,"&lt;0.1",AVERAGE('Weekly Data'!AR156:AV156)))</f>
        <v>0.21999999999999997</v>
      </c>
      <c r="N156" s="247">
        <f>IF(COUNT('Weekly Data'!AW156:AZ156)=0,"",IF(AVERAGE('Weekly Data'!AW156:AZ156)&lt;0.055,"&lt;0.1",AVERAGE('Weekly Data'!AW156:AZ156)))</f>
        <v>0.25</v>
      </c>
      <c r="O156" s="247">
        <f>IF(COUNT('Weekly Data'!BA156:BD156)=0,"",IF(AVERAGE('Weekly Data'!BA156:BD156)&lt;0.055,"&lt;0.1",AVERAGE('Weekly Data'!BA156:BD156)))</f>
        <v>0.26666666666666666</v>
      </c>
      <c r="P156" s="247"/>
      <c r="Q156" s="247">
        <f>IF(COUNT('Weekly Data'!E156:BD156)=0,"",IF(AVERAGE('Weekly Data'!E156:BD156)&lt;0.055,"&lt;0.1",AVERAGE('Weekly Data'!E156:BD156)))</f>
        <v>0.23181818181818181</v>
      </c>
      <c r="R156" s="247" t="str">
        <f>IF(COUNT('Weekly Data'!E156:BD156)=0,"",IF(MIN('Weekly Data'!E156:BD156)&lt;0.055,"&lt;0.1",MIN('Weekly Data'!E156:BD156)))</f>
        <v>&lt;0.1</v>
      </c>
      <c r="S156" s="247">
        <f>IF(COUNT('Weekly Data'!E156:BD156)=0,"",IF(MAX('Weekly Data'!E156:BD156)&lt;0.055,"&lt;0.1",MAX('Weekly Data'!E156:BD156)))</f>
        <v>0.7</v>
      </c>
      <c r="T156" s="293"/>
      <c r="U156" s="259">
        <f>COUNT('Weekly Data'!E156:BC156)</f>
        <v>44</v>
      </c>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row>
    <row r="157" spans="1:256">
      <c r="A157" s="1"/>
      <c r="B157" s="258" t="str">
        <f>'Weekly Data'!A157</f>
        <v>SSF</v>
      </c>
      <c r="C157" s="257" t="str">
        <f>'Weekly Data'!B157</f>
        <v>mg/L</v>
      </c>
      <c r="D157" s="247">
        <f>IF(COUNT('Weekly Data'!E157:I157)=0,"",IF(AVERAGE('Weekly Data'!E157:I157)&lt;0.055,"&lt;0.1",AVERAGE('Weekly Data'!E157:I157)))</f>
        <v>0.16666666666666666</v>
      </c>
      <c r="E157" s="247">
        <f>IF(COUNT('Weekly Data'!J157:M157)=0,"",IF(AVERAGE('Weekly Data'!J157:M157)&lt;0.055,"&lt;0.1",AVERAGE('Weekly Data'!J157:M157)))</f>
        <v>0.2</v>
      </c>
      <c r="F157" s="247">
        <f>IF(COUNT('Weekly Data'!N157:Q157)=0,"",IF(AVERAGE('Weekly Data'!N157:Q157)&lt;0.055,"&lt;0.1",AVERAGE('Weekly Data'!N157:Q157)))</f>
        <v>0.19999999999999998</v>
      </c>
      <c r="G157" s="247" t="str">
        <f>IF(COUNT('Weekly Data'!R157:V157)=0,"",IF(AVERAGE('Weekly Data'!R157:V157)&lt;0.055,"&lt;0.1",AVERAGE('Weekly Data'!R157:V157)))</f>
        <v>&lt;0.1</v>
      </c>
      <c r="H157" s="247">
        <f>IF(COUNT('Weekly Data'!W157:Z157)=0,"",IF(AVERAGE('Weekly Data'!W157:Z157)&lt;0.055,"&lt;0.1",AVERAGE('Weekly Data'!W157:Z157)))</f>
        <v>0.125</v>
      </c>
      <c r="I157" s="247">
        <f>IF(COUNT('Weekly Data'!AA157:AD157)=0,"",IF(AVERAGE('Weekly Data'!AA157:AD157)&lt;0.055,"&lt;0.1",AVERAGE('Weekly Data'!AA157:AD157)))</f>
        <v>0.1</v>
      </c>
      <c r="J157" s="247">
        <f>IF(COUNT('Weekly Data'!AE157:AI157)=0,"",IF(AVERAGE('Weekly Data'!AE157:AI157)&lt;0.055,"&lt;0.1",AVERAGE('Weekly Data'!AE157:AI157)))</f>
        <v>4.24</v>
      </c>
      <c r="K157" s="247">
        <f>IF(COUNT('Weekly Data'!AJ157:AM157)=0,"",IF(AVERAGE('Weekly Data'!AJ157:AM157)&lt;0.055,"&lt;0.1",AVERAGE('Weekly Data'!AJ157:AM157)))</f>
        <v>0.1</v>
      </c>
      <c r="L157" s="247">
        <f>IF(COUNT('Weekly Data'!AN157:AQ157)=0,"",IF(AVERAGE('Weekly Data'!AN157:AQ157)&lt;0.055,"&lt;0.1",AVERAGE('Weekly Data'!AN157:AQ157)))</f>
        <v>0.1</v>
      </c>
      <c r="M157" s="247">
        <f>IF(COUNT('Weekly Data'!AR157:AV157)=0,"",IF(AVERAGE('Weekly Data'!AR157:AV157)&lt;0.055,"&lt;0.1",AVERAGE('Weekly Data'!AR157:AV157)))</f>
        <v>0.08</v>
      </c>
      <c r="N157" s="247">
        <f>IF(COUNT('Weekly Data'!AW157:AZ157)=0,"",IF(AVERAGE('Weekly Data'!AW157:AZ157)&lt;0.055,"&lt;0.1",AVERAGE('Weekly Data'!AW157:AZ157)))</f>
        <v>7.5000000000000011E-2</v>
      </c>
      <c r="O157" s="247">
        <f>IF(COUNT('Weekly Data'!BA157:BD157)=0,"",IF(AVERAGE('Weekly Data'!BA157:BD157)&lt;0.055,"&lt;0.1",AVERAGE('Weekly Data'!BA157:BD157)))</f>
        <v>0.26666666666666666</v>
      </c>
      <c r="P157" s="247"/>
      <c r="Q157" s="247">
        <f>IF(COUNT('Weekly Data'!E157:BD157)=0,"",IF(AVERAGE('Weekly Data'!E157:BD157)&lt;0.055,"&lt;0.1",AVERAGE('Weekly Data'!E157:BD157)))</f>
        <v>0.59090909090909127</v>
      </c>
      <c r="R157" s="247" t="str">
        <f>IF(COUNT('Weekly Data'!E157:BD157)=0,"",IF(MIN('Weekly Data'!E157:BD157)&lt;0.055,"&lt;0.1",MIN('Weekly Data'!E157:BD157)))</f>
        <v>&lt;0.1</v>
      </c>
      <c r="S157" s="247">
        <f>IF(COUNT('Weekly Data'!E157:BD157)=0,"",IF(MAX('Weekly Data'!E157:BD157)&lt;0.055,"&lt;0.1",MAX('Weekly Data'!E157:BD157)))</f>
        <v>20.9</v>
      </c>
      <c r="T157" s="293"/>
      <c r="U157" s="259">
        <f>COUNT('Weekly Data'!E157:BC157)</f>
        <v>44</v>
      </c>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spans="1:256">
      <c r="A158" s="1"/>
      <c r="B158" s="258" t="str">
        <f>'Weekly Data'!A158</f>
        <v>Temperature</v>
      </c>
      <c r="C158" s="257" t="str">
        <f>'Weekly Data'!B158</f>
        <v>° C</v>
      </c>
      <c r="D158" s="247">
        <f>IF(COUNT('Weekly Data'!E158:I158)=0,"",AVERAGE('Weekly Data'!E158:I158))</f>
        <v>3.0799999999999996</v>
      </c>
      <c r="E158" s="247">
        <f>IF(COUNT('Weekly Data'!J158:M158)=0,"",AVERAGE('Weekly Data'!J158:M158))</f>
        <v>3.4</v>
      </c>
      <c r="F158" s="247">
        <f>IF(COUNT('Weekly Data'!N158:Q158)=0,"",AVERAGE('Weekly Data'!N158:Q158))</f>
        <v>3.8250000000000002</v>
      </c>
      <c r="G158" s="247">
        <f>IF(COUNT('Weekly Data'!R158:V158)=0,"",AVERAGE('Weekly Data'!R158:V158))</f>
        <v>6.3599999999999994</v>
      </c>
      <c r="H158" s="247">
        <f>IF(COUNT('Weekly Data'!W158:Z158)=0,"",AVERAGE('Weekly Data'!W158:Z158))</f>
        <v>13.3</v>
      </c>
      <c r="I158" s="247">
        <f>IF(COUNT('Weekly Data'!AA158:AD158)=0,"",AVERAGE('Weekly Data'!AA158:AD158))</f>
        <v>17.5</v>
      </c>
      <c r="J158" s="247">
        <f>IF(COUNT('Weekly Data'!AE158:AI158)=0,"",AVERAGE('Weekly Data'!AE158:AI158))</f>
        <v>21.1</v>
      </c>
      <c r="K158" s="247">
        <f>IF(COUNT('Weekly Data'!AJ158:AM158)=0,"",AVERAGE('Weekly Data'!AJ158:AM158))</f>
        <v>21.375</v>
      </c>
      <c r="L158" s="247">
        <f>IF(COUNT('Weekly Data'!AN158:AQ158)=0,"",AVERAGE('Weekly Data'!AN158:AQ158))</f>
        <v>15.675000000000001</v>
      </c>
      <c r="M158" s="247">
        <f>IF(COUNT('Weekly Data'!AR158:AV158)=0,"",AVERAGE('Weekly Data'!AR158:AV158))</f>
        <v>8.0800000000000018</v>
      </c>
      <c r="N158" s="247">
        <f>IF(COUNT('Weekly Data'!AW158:AZ158)=0,"",AVERAGE('Weekly Data'!AW158:AZ158))</f>
        <v>2.5499999999999998</v>
      </c>
      <c r="O158" s="247">
        <f>IF(COUNT('Weekly Data'!BA158:BD158)=0,"",AVERAGE('Weekly Data'!BA158:BD158))</f>
        <v>4.9000000000000004</v>
      </c>
      <c r="P158" s="247"/>
      <c r="Q158" s="247">
        <f>IF(COUNT('Weekly Data'!E158:BD158)=0,"",AVERAGE('Weekly Data'!E158:BD158))</f>
        <v>10.192156862745099</v>
      </c>
      <c r="R158" s="247">
        <f>IF(COUNT('Weekly Data'!E158:BD158)=0,"",MIN('Weekly Data'!E158:BD158))</f>
        <v>0.5</v>
      </c>
      <c r="S158" s="247">
        <f>IF(COUNT('Weekly Data'!E158:BD158)=0,"",MAX('Weekly Data'!E158:BD158))</f>
        <v>23.4</v>
      </c>
      <c r="T158" s="293"/>
      <c r="U158" s="259">
        <f>COUNT('Weekly Data'!E158:BC158)</f>
        <v>50</v>
      </c>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59" spans="1:256">
      <c r="A159" s="313"/>
      <c r="B159" s="264" t="str">
        <f>'Weekly Data'!A159</f>
        <v>Turbidity</v>
      </c>
      <c r="C159" s="263" t="str">
        <f>'Weekly Data'!B159</f>
        <v>NTU</v>
      </c>
      <c r="D159" s="263">
        <f>IF(COUNT('Weekly Data'!E159:I159)=0,"",AVERAGE('Weekly Data'!E159:I159))</f>
        <v>9.4000000000000014E-2</v>
      </c>
      <c r="E159" s="263">
        <f>IF(COUNT('Weekly Data'!J159:M159)=0,"",AVERAGE('Weekly Data'!J159:M159))</f>
        <v>7.3333333333333348E-2</v>
      </c>
      <c r="F159" s="263">
        <f>IF(COUNT('Weekly Data'!N159:Q159)=0,"",AVERAGE('Weekly Data'!N159:Q159))</f>
        <v>0.09</v>
      </c>
      <c r="G159" s="263">
        <f>IF(COUNT('Weekly Data'!R159:V159)=0,"",AVERAGE('Weekly Data'!R159:V159))</f>
        <v>8.2000000000000003E-2</v>
      </c>
      <c r="H159" s="263">
        <f>IF(COUNT('Weekly Data'!W159:Z159)=0,"",AVERAGE('Weekly Data'!W159:Z159))</f>
        <v>7.0000000000000007E-2</v>
      </c>
      <c r="I159" s="263">
        <f>IF(COUNT('Weekly Data'!AA159:AD159)=0,"",AVERAGE('Weekly Data'!AA159:AD159))</f>
        <v>8.4999999999999992E-2</v>
      </c>
      <c r="J159" s="263">
        <f>IF(COUNT('Weekly Data'!AE159:AI159)=0,"",AVERAGE('Weekly Data'!AE159:AI159))</f>
        <v>0.11000000000000001</v>
      </c>
      <c r="K159" s="263">
        <f>IF(COUNT('Weekly Data'!AJ159:AM159)=0,"",AVERAGE('Weekly Data'!AJ159:AM159))</f>
        <v>9.2499999999999999E-2</v>
      </c>
      <c r="L159" s="263">
        <f>IF(COUNT('Weekly Data'!AN159:AQ159)=0,"",AVERAGE('Weekly Data'!AN159:AQ159))</f>
        <v>9.2499999999999999E-2</v>
      </c>
      <c r="M159" s="263">
        <f>IF(COUNT('Weekly Data'!AR159:AV159)=0,"",AVERAGE('Weekly Data'!AR159:AV159))</f>
        <v>8.7999999999999995E-2</v>
      </c>
      <c r="N159" s="263">
        <f>IF(COUNT('Weekly Data'!AW159:AZ159)=0,"",AVERAGE('Weekly Data'!AW159:AZ159))</f>
        <v>8.7499999999999994E-2</v>
      </c>
      <c r="O159" s="263">
        <f>IF(COUNT('Weekly Data'!BA159:BD159)=0,"",AVERAGE('Weekly Data'!BA159:BD159))</f>
        <v>0.14500000000000002</v>
      </c>
      <c r="P159" s="263"/>
      <c r="Q159" s="263">
        <f>IF(COUNT('Weekly Data'!E159:BD159)=0,"",AVERAGE('Weekly Data'!E159:BD159))</f>
        <v>9.2941176470588263E-2</v>
      </c>
      <c r="R159" s="263">
        <f>IF(COUNT('Weekly Data'!E159:BD159)=0,"",MIN('Weekly Data'!E159:BD159))</f>
        <v>0.06</v>
      </c>
      <c r="S159" s="263">
        <f>IF(COUNT('Weekly Data'!E159:BD159)=0,"",MAX('Weekly Data'!E159:BD159))</f>
        <v>0.15</v>
      </c>
      <c r="T159" s="315"/>
      <c r="U159" s="259">
        <f>COUNT('Weekly Data'!E159:BC159)</f>
        <v>50</v>
      </c>
      <c r="V159" s="313"/>
      <c r="W159" s="313"/>
      <c r="X159" s="313"/>
      <c r="Y159" s="313"/>
      <c r="Z159" s="313"/>
      <c r="AA159" s="313"/>
      <c r="AB159" s="313"/>
      <c r="AC159" s="313"/>
      <c r="AD159" s="313"/>
      <c r="AE159" s="313"/>
      <c r="AF159" s="313"/>
      <c r="AG159" s="313"/>
      <c r="AH159" s="313"/>
      <c r="AI159" s="313"/>
      <c r="AJ159" s="313"/>
      <c r="AK159" s="313"/>
      <c r="AL159" s="313"/>
      <c r="AM159" s="313"/>
      <c r="AN159" s="313"/>
      <c r="AO159" s="313"/>
      <c r="AP159" s="313"/>
      <c r="AQ159" s="313"/>
      <c r="AR159" s="313"/>
      <c r="AS159" s="313"/>
      <c r="AT159" s="313"/>
      <c r="AU159" s="313"/>
      <c r="AV159" s="313"/>
      <c r="AW159" s="313"/>
      <c r="AX159" s="313"/>
      <c r="AY159" s="313"/>
      <c r="AZ159" s="313"/>
      <c r="BA159" s="313"/>
      <c r="BB159" s="313"/>
      <c r="BC159" s="313"/>
      <c r="BD159" s="313"/>
      <c r="BE159" s="313"/>
      <c r="BF159" s="313"/>
      <c r="BG159" s="313"/>
      <c r="BH159" s="313"/>
      <c r="BI159" s="313"/>
      <c r="BJ159" s="313"/>
      <c r="BK159" s="313"/>
      <c r="BL159" s="313"/>
      <c r="BM159" s="313"/>
      <c r="BN159" s="313"/>
      <c r="BO159" s="313"/>
      <c r="BP159" s="313"/>
      <c r="BQ159" s="313"/>
      <c r="BR159" s="313"/>
      <c r="BS159" s="313"/>
      <c r="BT159" s="313"/>
      <c r="BU159" s="313"/>
      <c r="BV159" s="313"/>
      <c r="BW159" s="313"/>
      <c r="BX159" s="313"/>
      <c r="BY159" s="313"/>
      <c r="BZ159" s="313"/>
      <c r="CA159" s="313"/>
      <c r="CB159" s="313"/>
      <c r="CC159" s="313"/>
      <c r="CD159" s="313"/>
      <c r="CE159" s="313"/>
      <c r="CF159" s="313"/>
      <c r="CG159" s="313"/>
      <c r="CH159" s="313"/>
      <c r="CI159" s="313"/>
      <c r="CJ159" s="313"/>
      <c r="CK159" s="313"/>
      <c r="CL159" s="313"/>
      <c r="CM159" s="313"/>
      <c r="CN159" s="313"/>
      <c r="CO159" s="313"/>
      <c r="CP159" s="313"/>
      <c r="CQ159" s="313"/>
      <c r="CR159" s="313"/>
      <c r="CS159" s="313"/>
      <c r="CT159" s="313"/>
      <c r="CU159" s="313"/>
      <c r="CV159" s="313"/>
      <c r="CW159" s="313"/>
      <c r="CX159" s="313"/>
      <c r="CY159" s="313"/>
      <c r="CZ159" s="313"/>
      <c r="DA159" s="313"/>
      <c r="DB159" s="313"/>
      <c r="DC159" s="313"/>
      <c r="DD159" s="313"/>
      <c r="DE159" s="313"/>
      <c r="DF159" s="313"/>
      <c r="DG159" s="313"/>
      <c r="DH159" s="313"/>
      <c r="DI159" s="313"/>
      <c r="DJ159" s="313"/>
      <c r="DK159" s="313"/>
      <c r="DL159" s="313"/>
      <c r="DM159" s="313"/>
      <c r="DN159" s="313"/>
      <c r="DO159" s="313"/>
      <c r="DP159" s="313"/>
      <c r="DQ159" s="313"/>
      <c r="DR159" s="313"/>
      <c r="DS159" s="313"/>
      <c r="DT159" s="313"/>
      <c r="DU159" s="313"/>
      <c r="DV159" s="313"/>
      <c r="DW159" s="313"/>
      <c r="DX159" s="313"/>
      <c r="DY159" s="313"/>
      <c r="DZ159" s="313"/>
      <c r="EA159" s="313"/>
      <c r="EB159" s="313"/>
      <c r="EC159" s="313"/>
      <c r="ED159" s="313"/>
      <c r="EE159" s="313"/>
      <c r="EF159" s="313"/>
      <c r="EG159" s="313"/>
      <c r="EH159" s="313"/>
      <c r="EI159" s="313"/>
      <c r="EJ159" s="313"/>
      <c r="EK159" s="313"/>
      <c r="EL159" s="313"/>
      <c r="EM159" s="313"/>
      <c r="EN159" s="313"/>
      <c r="EO159" s="313"/>
      <c r="EP159" s="313"/>
      <c r="EQ159" s="313"/>
      <c r="ER159" s="313"/>
      <c r="ES159" s="313"/>
      <c r="ET159" s="313"/>
      <c r="EU159" s="313"/>
      <c r="EV159" s="313"/>
      <c r="EW159" s="313"/>
      <c r="EX159" s="313"/>
      <c r="EY159" s="313"/>
      <c r="EZ159" s="313"/>
      <c r="FA159" s="313"/>
      <c r="FB159" s="313"/>
      <c r="FC159" s="313"/>
      <c r="FD159" s="313"/>
      <c r="FE159" s="313"/>
      <c r="FF159" s="313"/>
      <c r="FG159" s="313"/>
      <c r="FH159" s="313"/>
      <c r="FI159" s="313"/>
      <c r="FJ159" s="313"/>
      <c r="FK159" s="313"/>
      <c r="FL159" s="313"/>
      <c r="FM159" s="313"/>
      <c r="FN159" s="313"/>
      <c r="FO159" s="313"/>
      <c r="FP159" s="313"/>
      <c r="FQ159" s="313"/>
      <c r="FR159" s="313"/>
      <c r="FS159" s="313"/>
      <c r="FT159" s="313"/>
      <c r="FU159" s="313"/>
      <c r="FV159" s="313"/>
      <c r="FW159" s="313"/>
      <c r="FX159" s="313"/>
      <c r="FY159" s="313"/>
      <c r="FZ159" s="313"/>
      <c r="GA159" s="313"/>
      <c r="GB159" s="313"/>
      <c r="GC159" s="313"/>
      <c r="GD159" s="313"/>
      <c r="GE159" s="313"/>
      <c r="GF159" s="313"/>
      <c r="GG159" s="313"/>
      <c r="GH159" s="313"/>
      <c r="GI159" s="313"/>
      <c r="GJ159" s="313"/>
      <c r="GK159" s="313"/>
      <c r="GL159" s="313"/>
      <c r="GM159" s="313"/>
      <c r="GN159" s="313"/>
      <c r="GO159" s="313"/>
      <c r="GP159" s="313"/>
      <c r="GQ159" s="313"/>
      <c r="GR159" s="313"/>
      <c r="GS159" s="313"/>
      <c r="GT159" s="313"/>
      <c r="GU159" s="313"/>
      <c r="GV159" s="313"/>
      <c r="GW159" s="313"/>
      <c r="GX159" s="313"/>
      <c r="GY159" s="313"/>
      <c r="GZ159" s="313"/>
      <c r="HA159" s="313"/>
      <c r="HB159" s="313"/>
      <c r="HC159" s="313"/>
      <c r="HD159" s="313"/>
      <c r="HE159" s="313"/>
      <c r="HF159" s="313"/>
      <c r="HG159" s="313"/>
      <c r="HH159" s="313"/>
      <c r="HI159" s="313"/>
      <c r="HJ159" s="313"/>
      <c r="HK159" s="313"/>
      <c r="HL159" s="313"/>
      <c r="HM159" s="313"/>
      <c r="HN159" s="313"/>
      <c r="HO159" s="313"/>
      <c r="HP159" s="313"/>
      <c r="HQ159" s="313"/>
      <c r="HR159" s="313"/>
      <c r="HS159" s="313"/>
      <c r="HT159" s="313"/>
      <c r="HU159" s="313"/>
      <c r="HV159" s="313"/>
      <c r="HW159" s="313"/>
      <c r="HX159" s="313"/>
      <c r="HY159" s="313"/>
      <c r="HZ159" s="313"/>
      <c r="IA159" s="313"/>
      <c r="IB159" s="313"/>
      <c r="IC159" s="313"/>
      <c r="ID159" s="313"/>
      <c r="IE159" s="313"/>
      <c r="IF159" s="313"/>
      <c r="IG159" s="313"/>
      <c r="IH159" s="313"/>
      <c r="II159" s="313"/>
      <c r="IJ159" s="313"/>
      <c r="IK159" s="313"/>
      <c r="IL159" s="313"/>
      <c r="IM159" s="313"/>
      <c r="IN159" s="313"/>
      <c r="IO159" s="313"/>
      <c r="IP159" s="313"/>
      <c r="IQ159" s="313"/>
      <c r="IR159" s="313"/>
      <c r="IS159" s="313"/>
      <c r="IT159" s="313"/>
      <c r="IU159" s="313"/>
      <c r="IV159" s="313"/>
    </row>
    <row r="160" spans="1:256">
      <c r="A160" s="1"/>
      <c r="B160" s="258" t="str">
        <f>'Weekly Data'!A160</f>
        <v>Dissolved Solids</v>
      </c>
      <c r="C160" s="257" t="str">
        <f>'Weekly Data'!B160</f>
        <v>mg/L(calc)</v>
      </c>
      <c r="D160" s="257">
        <f>IF(COUNT('Weekly Data'!E160:I160)=0,"",AVERAGE('Weekly Data'!E160:I160))</f>
        <v>559.01</v>
      </c>
      <c r="E160" s="257" t="e">
        <f>IF(COUNT('Weekly Data'!J160:M160)=0,"",AVERAGE('Weekly Data'!J160:M160))</f>
        <v>#VALUE!</v>
      </c>
      <c r="F160" s="257">
        <f>IF(COUNT('Weekly Data'!N160:Q160)=0,"",AVERAGE('Weekly Data'!N160:Q160))</f>
        <v>586.07500000000005</v>
      </c>
      <c r="G160" s="257">
        <f>IF(COUNT('Weekly Data'!R160:V160)=0,"",AVERAGE('Weekly Data'!R160:V160))</f>
        <v>543.54000000000008</v>
      </c>
      <c r="H160" s="257">
        <f>IF(COUNT('Weekly Data'!W160:Z160)=0,"",AVERAGE('Weekly Data'!W160:Z160))</f>
        <v>454.16</v>
      </c>
      <c r="I160" s="257">
        <f>IF(COUNT('Weekly Data'!AA160:AD160)=0,"",AVERAGE('Weekly Data'!AA160:AD160))</f>
        <v>464.60500000000002</v>
      </c>
      <c r="J160" s="257">
        <f>IF(COUNT('Weekly Data'!AE160:AI160)=0,"",AVERAGE('Weekly Data'!AE160:AI160))</f>
        <v>323.3075</v>
      </c>
      <c r="K160" s="257">
        <f>IF(COUNT('Weekly Data'!AJ160:AM160)=0,"",AVERAGE('Weekly Data'!AJ160:AM160))</f>
        <v>401.14250000000004</v>
      </c>
      <c r="L160" s="257">
        <f>IF(COUNT('Weekly Data'!AN160:AQ160)=0,"",AVERAGE('Weekly Data'!AN160:AQ160))</f>
        <v>404.35249999999996</v>
      </c>
      <c r="M160" s="257">
        <f>IF(COUNT('Weekly Data'!AR160:AV160)=0,"",AVERAGE('Weekly Data'!AR160:AV160))</f>
        <v>414.26799999999992</v>
      </c>
      <c r="N160" s="257">
        <f>IF(COUNT('Weekly Data'!AW160:AZ160)=0,"",AVERAGE('Weekly Data'!AW160:AZ160))</f>
        <v>425.46499999999997</v>
      </c>
      <c r="O160" s="257" t="e">
        <f>IF(COUNT('Weekly Data'!BA160:BD160)=0,"",AVERAGE('Weekly Data'!BA160:BD160))</f>
        <v>#VALUE!</v>
      </c>
      <c r="P160" s="257"/>
      <c r="Q160" s="257" t="e">
        <f>IF(COUNT('Weekly Data'!E160:BD160)=0,"",AVERAGE('Weekly Data'!E160:BD160))</f>
        <v>#VALUE!</v>
      </c>
      <c r="R160" s="257" t="e">
        <f>IF(COUNT('Weekly Data'!E160:BD160)=0,"",MIN('Weekly Data'!E160:BD160))</f>
        <v>#VALUE!</v>
      </c>
      <c r="S160" s="257" t="e">
        <f>IF(COUNT('Weekly Data'!E160:BD160)=0,"",MAX('Weekly Data'!E160:BD160))</f>
        <v>#VALUE!</v>
      </c>
      <c r="T160" s="293"/>
      <c r="U160" s="259"/>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row r="161" spans="1:256">
      <c r="A161" s="1"/>
      <c r="B161" s="258" t="str">
        <f>'Weekly Data'!A161</f>
        <v>Particle Log Removal</v>
      </c>
      <c r="C161" s="257" t="str">
        <f>'Weekly Data'!B161</f>
        <v>(calc)</v>
      </c>
      <c r="D161" s="263">
        <f>IF(COUNT('Weekly Data'!E161:I161)=0,"",AVERAGE('Weekly Data'!E161:I161))</f>
        <v>2.0235231464382779</v>
      </c>
      <c r="E161" s="263">
        <f>IF(COUNT('Weekly Data'!J161:M161)=0,"",AVERAGE('Weekly Data'!J161:M161))</f>
        <v>1.9118779617759891</v>
      </c>
      <c r="F161" s="263">
        <f>IF(COUNT('Weekly Data'!N161:Q161)=0,"",AVERAGE('Weekly Data'!N161:Q161))</f>
        <v>2.1979324078656179</v>
      </c>
      <c r="G161" s="263">
        <f>IF(COUNT('Weekly Data'!R161:V161)=0,"",AVERAGE('Weekly Data'!R161:V161))</f>
        <v>2.2377525356235934</v>
      </c>
      <c r="H161" s="263">
        <f>IF(COUNT('Weekly Data'!W161:Z161)=0,"",AVERAGE('Weekly Data'!W161:Z161))</f>
        <v>2.535911236790946</v>
      </c>
      <c r="I161" s="263">
        <f>IF(COUNT('Weekly Data'!AA161:AD161)=0,"",AVERAGE('Weekly Data'!AA161:AD161))</f>
        <v>2.1208325799723595</v>
      </c>
      <c r="J161" s="263">
        <f>IF(COUNT('Weekly Data'!AE161:AI161)=0,"",AVERAGE('Weekly Data'!AE161:AI161))</f>
        <v>2.22364314892106</v>
      </c>
      <c r="K161" s="263">
        <f>IF(COUNT('Weekly Data'!AJ161:AM161)=0,"",AVERAGE('Weekly Data'!AJ161:AM161))</f>
        <v>2.5157561460161855</v>
      </c>
      <c r="L161" s="263">
        <f>IF(COUNT('Weekly Data'!AN161:AQ161)=0,"",AVERAGE('Weekly Data'!AN161:AQ161))</f>
        <v>2.6846026730046892</v>
      </c>
      <c r="M161" s="263">
        <f>IF(COUNT('Weekly Data'!AR161:AV161)=0,"",AVERAGE('Weekly Data'!AR161:AV161))</f>
        <v>2.8680458137360625</v>
      </c>
      <c r="N161" s="263">
        <f>IF(COUNT('Weekly Data'!AW161:AZ161)=0,"",AVERAGE('Weekly Data'!AW161:AZ161))</f>
        <v>2.895024269577545</v>
      </c>
      <c r="O161" s="263">
        <f>IF(COUNT('Weekly Data'!BA161:BD161)=0,"",AVERAGE('Weekly Data'!BA161:BD161))</f>
        <v>2.1050060038946756</v>
      </c>
      <c r="P161" s="263"/>
      <c r="Q161" s="263">
        <f>IF(COUNT('Weekly Data'!E161:BD161)=0,"",AVERAGE('Weekly Data'!E161:BD161))</f>
        <v>2.3888553747880867</v>
      </c>
      <c r="R161" s="263">
        <f>IF(COUNT('Weekly Data'!E161:BD161)=0,"",MIN('Weekly Data'!E161:BD161))</f>
        <v>1.8704520642193427</v>
      </c>
      <c r="S161" s="263">
        <f>IF(COUNT('Weekly Data'!E161:BD161)=0,"",MAX('Weekly Data'!E161:BD161))</f>
        <v>3.1280113325759746</v>
      </c>
      <c r="T161" s="293"/>
      <c r="U161" s="259"/>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row>
    <row r="162" spans="1:256">
      <c r="A162" s="1"/>
      <c r="B162" s="258" t="str">
        <f>'Weekly Data'!A162</f>
        <v>Turbidity Log Removal</v>
      </c>
      <c r="C162" s="257" t="str">
        <f>'Weekly Data'!B162</f>
        <v>(calc)</v>
      </c>
      <c r="D162" s="263">
        <f>IF(COUNT('Weekly Data'!E162:I162)=0,"",AVERAGE('Weekly Data'!E162:I162))</f>
        <v>1.3650007833993769</v>
      </c>
      <c r="E162" s="263">
        <f>IF(COUNT('Weekly Data'!J162:M162)=0,"",AVERAGE('Weekly Data'!J162:M162))</f>
        <v>1.4671994300064564</v>
      </c>
      <c r="F162" s="263">
        <f>IF(COUNT('Weekly Data'!N162:Q162)=0,"",AVERAGE('Weekly Data'!N162:Q162))</f>
        <v>1.3575136698950627</v>
      </c>
      <c r="G162" s="263">
        <f>IF(COUNT('Weekly Data'!R162:V162)=0,"",AVERAGE('Weekly Data'!R162:V162))</f>
        <v>1.765559244118073</v>
      </c>
      <c r="H162" s="263">
        <f>IF(COUNT('Weekly Data'!W162:Z162)=0,"",AVERAGE('Weekly Data'!W162:Z162))</f>
        <v>2.0423086404940793</v>
      </c>
      <c r="I162" s="263">
        <f>IF(COUNT('Weekly Data'!AA162:AD162)=0,"",AVERAGE('Weekly Data'!AA162:AD162))</f>
        <v>2.1630573010309391</v>
      </c>
      <c r="J162" s="263">
        <f>IF(COUNT('Weekly Data'!AE162:AI162)=0,"",AVERAGE('Weekly Data'!AE162:AI162))</f>
        <v>1.9842987403101495</v>
      </c>
      <c r="K162" s="263">
        <f>IF(COUNT('Weekly Data'!AJ162:AM162)=0,"",AVERAGE('Weekly Data'!AJ162:AM162))</f>
        <v>2.0692387356149897</v>
      </c>
      <c r="L162" s="263">
        <f>IF(COUNT('Weekly Data'!AN162:AQ162)=0,"",AVERAGE('Weekly Data'!AN162:AQ162))</f>
        <v>1.9378926346331506</v>
      </c>
      <c r="M162" s="263">
        <f>IF(COUNT('Weekly Data'!AR162:AV162)=0,"",AVERAGE('Weekly Data'!AR162:AV162))</f>
        <v>2.00244718260923</v>
      </c>
      <c r="N162" s="263">
        <f>IF(COUNT('Weekly Data'!AW162:AZ162)=0,"",AVERAGE('Weekly Data'!AW162:AZ162))</f>
        <v>1.9459512656774223</v>
      </c>
      <c r="O162" s="263">
        <f>IF(COUNT('Weekly Data'!BA162:BD162)=0,"",AVERAGE('Weekly Data'!BA162:BD162))</f>
        <v>1.3255837035569906</v>
      </c>
      <c r="P162" s="263"/>
      <c r="Q162" s="263">
        <f>IF(COUNT('Weekly Data'!E162:BD162)=0,"",AVERAGE('Weekly Data'!E162:BD162))</f>
        <v>1.7912610165845892</v>
      </c>
      <c r="R162" s="263">
        <f>IF(COUNT('Weekly Data'!E162:BD162)=0,"",MIN('Weekly Data'!E162:BD162))</f>
        <v>1.0887265639538553</v>
      </c>
      <c r="S162" s="263">
        <f>IF(COUNT('Weekly Data'!E162:BD162)=0,"",MAX('Weekly Data'!E162:BD162))</f>
        <v>2.3267908578084029</v>
      </c>
      <c r="T162" s="293"/>
      <c r="U162" s="259"/>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row>
    <row r="163" spans="1:256">
      <c r="A163" s="1"/>
      <c r="B163" s="258" t="str">
        <f>'Weekly Data'!A163</f>
        <v>Langelier Index (RTW)</v>
      </c>
      <c r="C163" s="257" t="str">
        <f>'Weekly Data'!B163</f>
        <v xml:space="preserve">pH units (calc)  </v>
      </c>
      <c r="D163" s="263">
        <f>IF(COUNT('Weekly Data'!E163:I163)=0,"",AVERAGE('Weekly Data'!E163:I163))</f>
        <v>-0.3390365124861705</v>
      </c>
      <c r="E163" s="263">
        <f>IF(COUNT('Weekly Data'!J163:M163)=0,"",AVERAGE('Weekly Data'!J163:M163))</f>
        <v>-0.45819564789065437</v>
      </c>
      <c r="F163" s="263">
        <f>IF(COUNT('Weekly Data'!N163:Q163)=0,"",AVERAGE('Weekly Data'!N163:Q163))</f>
        <v>-0.39664215974092798</v>
      </c>
      <c r="G163" s="263">
        <f>IF(COUNT('Weekly Data'!R163:V163)=0,"",AVERAGE('Weekly Data'!R163:V163))</f>
        <v>-0.33104159394420984</v>
      </c>
      <c r="H163" s="263">
        <f>IF(COUNT('Weekly Data'!W163:Z163)=0,"",AVERAGE('Weekly Data'!W163:Z163))</f>
        <v>-0.4155654987583195</v>
      </c>
      <c r="I163" s="263">
        <f>IF(COUNT('Weekly Data'!AA163:AD163)=0,"",AVERAGE('Weekly Data'!AA163:AD163))</f>
        <v>-0.2072202221211934</v>
      </c>
      <c r="J163" s="263">
        <f>IF(COUNT('Weekly Data'!AE163:AI163)=0,"",AVERAGE('Weekly Data'!AE163:AI163))</f>
        <v>-0.27330219480270523</v>
      </c>
      <c r="K163" s="263">
        <f>IF(COUNT('Weekly Data'!AJ163:AM163)=0,"",AVERAGE('Weekly Data'!AJ163:AM163))</f>
        <v>-0.5764731969823893</v>
      </c>
      <c r="L163" s="263">
        <f>IF(COUNT('Weekly Data'!AN163:AQ163)=0,"",AVERAGE('Weekly Data'!AN163:AQ163))</f>
        <v>-0.67274764747036486</v>
      </c>
      <c r="M163" s="263">
        <f>IF(COUNT('Weekly Data'!AR163:AV163)=0,"",AVERAGE('Weekly Data'!AR163:AV163))</f>
        <v>-0.68416504697629565</v>
      </c>
      <c r="N163" s="263">
        <f>IF(COUNT('Weekly Data'!AW163:AZ163)=0,"",AVERAGE('Weekly Data'!AW163:AZ163))</f>
        <v>-0.67619994489521895</v>
      </c>
      <c r="O163" s="263">
        <f>IF(COUNT('Weekly Data'!BA163:BD163)=0,"",AVERAGE('Weekly Data'!BA163:BD163))</f>
        <v>-0.53775995561251388</v>
      </c>
      <c r="P163" s="263"/>
      <c r="Q163" s="263">
        <f>IF(COUNT('Weekly Data'!E163:BD163)=0,"",AVERAGE('Weekly Data'!E163:BD163))</f>
        <v>-0.46456284843086254</v>
      </c>
      <c r="R163" s="263">
        <f>IF(COUNT('Weekly Data'!E163:BD163)=0,"",MIN('Weekly Data'!E163:BD163))</f>
        <v>-0.86579435459181031</v>
      </c>
      <c r="S163" s="263">
        <f>IF(COUNT('Weekly Data'!E163:BD163)=0,"",MAX('Weekly Data'!E163:BD163))</f>
        <v>-5.6593171137598652E-2</v>
      </c>
      <c r="T163" s="293"/>
      <c r="U163" s="259"/>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row>
    <row r="164" spans="1:256">
      <c r="A164" s="1"/>
      <c r="B164" s="258"/>
      <c r="C164" s="257"/>
      <c r="D164" s="246"/>
      <c r="E164" s="246"/>
      <c r="F164" s="246"/>
      <c r="G164" s="246"/>
      <c r="H164" s="246"/>
      <c r="I164" s="246"/>
      <c r="J164" s="246"/>
      <c r="K164" s="246"/>
      <c r="L164" s="246"/>
      <c r="M164" s="246"/>
      <c r="N164" s="246"/>
      <c r="O164" s="246"/>
      <c r="P164" s="246"/>
      <c r="Q164" s="246"/>
      <c r="R164" s="246"/>
      <c r="S164" s="246"/>
      <c r="T164" s="293"/>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row>
    <row r="165" spans="1:256">
      <c r="A165" s="1"/>
      <c r="B165" s="245" t="str">
        <f>'Weekly Data'!A165</f>
        <v>MAJOR CONSTITUENTS</v>
      </c>
      <c r="C165" s="257"/>
      <c r="D165" s="246"/>
      <c r="E165" s="246"/>
      <c r="F165" s="246"/>
      <c r="G165" s="246"/>
      <c r="H165" s="257"/>
      <c r="I165" s="246"/>
      <c r="J165" s="246"/>
      <c r="K165" s="257"/>
      <c r="L165" s="257"/>
      <c r="M165" s="246"/>
      <c r="N165" s="246"/>
      <c r="O165" s="246"/>
      <c r="P165" s="246"/>
      <c r="Q165" s="247"/>
      <c r="R165" s="247"/>
      <c r="S165" s="247"/>
      <c r="T165" s="293"/>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row>
    <row r="166" spans="1:256">
      <c r="A166" s="1"/>
      <c r="B166" s="258"/>
      <c r="C166" s="257"/>
      <c r="D166" s="246"/>
      <c r="E166" s="246"/>
      <c r="F166" s="246"/>
      <c r="G166" s="246"/>
      <c r="H166" s="257"/>
      <c r="I166" s="246"/>
      <c r="J166" s="246"/>
      <c r="K166" s="257"/>
      <c r="L166" s="257"/>
      <c r="M166" s="246"/>
      <c r="N166" s="246"/>
      <c r="O166" s="246"/>
      <c r="P166" s="246"/>
      <c r="Q166" s="247"/>
      <c r="R166" s="247"/>
      <c r="S166" s="247"/>
      <c r="T166" s="293"/>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row>
    <row r="167" spans="1:256">
      <c r="A167" s="1"/>
      <c r="B167" s="258" t="str">
        <f>'Weekly Data'!A167</f>
        <v>Alkalinity(p)</v>
      </c>
      <c r="C167" s="257" t="str">
        <f>'Weekly Data'!B167</f>
        <v>mg/L CaCO3</v>
      </c>
      <c r="D167" s="257" t="str">
        <f>IF(COUNT('Weekly Data'!E167:I167)=0,"",IF(AVERAGE('Weekly Data'!E167:I167)&lt;0.55,"&lt;1",AVERAGE('Weekly Data'!E167:I167)))</f>
        <v>&lt;1</v>
      </c>
      <c r="E167" s="257" t="str">
        <f>IF(COUNT('Weekly Data'!J167:M167)=0,"",IF(AVERAGE('Weekly Data'!J167:M167)&lt;0.55,"&lt;1",AVERAGE('Weekly Data'!J167:M167)))</f>
        <v>&lt;1</v>
      </c>
      <c r="F167" s="257" t="str">
        <f>IF(COUNT('Weekly Data'!N167:Q167)=0,"",IF(AVERAGE('Weekly Data'!N167:Q167)&lt;0.55,"&lt;1",AVERAGE('Weekly Data'!N167:Q167)))</f>
        <v>&lt;1</v>
      </c>
      <c r="G167" s="257" t="str">
        <f>IF(COUNT('Weekly Data'!R167:V167)=0,"",IF(AVERAGE('Weekly Data'!R167:V167)&lt;0.55,"&lt;1",AVERAGE('Weekly Data'!R167:V167)))</f>
        <v>&lt;1</v>
      </c>
      <c r="H167" s="257" t="str">
        <f>IF(COUNT('Weekly Data'!W167:Z167)=0,"",IF(AVERAGE('Weekly Data'!W167:Z167)&lt;0.55,"&lt;1",AVERAGE('Weekly Data'!W167:Z167)))</f>
        <v>&lt;1</v>
      </c>
      <c r="I167" s="257" t="str">
        <f>IF(COUNT('Weekly Data'!AA167:AD167)=0,"",IF(AVERAGE('Weekly Data'!AA167:AD167)&lt;0.55,"&lt;1",AVERAGE('Weekly Data'!AA167:AD167)))</f>
        <v>&lt;1</v>
      </c>
      <c r="J167" s="257" t="str">
        <f>IF(COUNT('Weekly Data'!AE167:AI167)=0,"",IF(AVERAGE('Weekly Data'!AE167:AI167)&lt;0.55,"&lt;1",AVERAGE('Weekly Data'!AE167:AI167)))</f>
        <v>&lt;1</v>
      </c>
      <c r="K167" s="257" t="str">
        <f>IF(COUNT('Weekly Data'!AJ167:AM167)=0,"",IF(AVERAGE('Weekly Data'!AJ167:AM167)&lt;0.55,"&lt;1",AVERAGE('Weekly Data'!AJ167:AM167)))</f>
        <v>&lt;1</v>
      </c>
      <c r="L167" s="257" t="str">
        <f>IF(COUNT('Weekly Data'!AN167:AQ167)=0,"",IF(AVERAGE('Weekly Data'!AN167:AQ167)&lt;0.55,"&lt;1",AVERAGE('Weekly Data'!AN167:AQ167)))</f>
        <v>&lt;1</v>
      </c>
      <c r="M167" s="257" t="str">
        <f>IF(COUNT('Weekly Data'!AR167:AV167)=0,"",IF(AVERAGE('Weekly Data'!AR167:AV167)&lt;0.55,"&lt;1",AVERAGE('Weekly Data'!AR167:AV167)))</f>
        <v>&lt;1</v>
      </c>
      <c r="N167" s="257" t="str">
        <f>IF(COUNT('Weekly Data'!AW167:AZ167)=0,"",IF(AVERAGE('Weekly Data'!AW167:AZ167)&lt;0.55,"&lt;1",AVERAGE('Weekly Data'!AW167:AZ167)))</f>
        <v>&lt;1</v>
      </c>
      <c r="O167" s="257" t="str">
        <f>IF(COUNT('Weekly Data'!BA167:BD167)=0,"",IF(AVERAGE('Weekly Data'!BA167:BD167)&lt;0.55,"&lt;1",AVERAGE('Weekly Data'!BA167:BD167)))</f>
        <v>&lt;1</v>
      </c>
      <c r="P167" s="257"/>
      <c r="Q167" s="257" t="str">
        <f>IF(COUNT('Weekly Data'!E167:BD167)=0,"",IF(AVERAGE('Weekly Data'!E167:BD167)&lt;0.55,"&lt;1",AVERAGE('Weekly Data'!E167:BD167)))</f>
        <v>&lt;1</v>
      </c>
      <c r="R167" s="257" t="str">
        <f>IF(COUNT('Weekly Data'!E167:BD167)=0,"",IF(MIN('Weekly Data'!E167:BD167)&lt;0.55,"&lt;1",MIN('Weekly Data'!E167:BD167)))</f>
        <v>&lt;1</v>
      </c>
      <c r="S167" s="257" t="str">
        <f>IF(COUNT('Weekly Data'!E167:BD167)=0,"",IF(MAX('Weekly Data'!E167:BD167)&lt;0.55,"&lt;1",MAX('Weekly Data'!E167:BD167)))</f>
        <v>&lt;1</v>
      </c>
      <c r="T167" s="293"/>
      <c r="U167" s="259">
        <f>COUNT('Weekly Data'!E167:BC167)</f>
        <v>50</v>
      </c>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row>
    <row r="168" spans="1:256">
      <c r="A168" s="1"/>
      <c r="B168" s="258" t="str">
        <f>'Weekly Data'!A168</f>
        <v>Alkalinity(total)</v>
      </c>
      <c r="C168" s="257" t="str">
        <f>'Weekly Data'!B168</f>
        <v>mg/L CaCO3</v>
      </c>
      <c r="D168" s="257">
        <f>IF(COUNT('Weekly Data'!E168:I168)=0,"",AVERAGE('Weekly Data'!E168:I168))</f>
        <v>170</v>
      </c>
      <c r="E168" s="257">
        <f>IF(COUNT('Weekly Data'!J168:M168)=0,"",AVERAGE('Weekly Data'!J168:M168))</f>
        <v>174</v>
      </c>
      <c r="F168" s="257">
        <f>IF(COUNT('Weekly Data'!N168:Q168)=0,"",AVERAGE('Weekly Data'!N168:Q168))</f>
        <v>180.75</v>
      </c>
      <c r="G168" s="257">
        <f>IF(COUNT('Weekly Data'!R168:V168)=0,"",AVERAGE('Weekly Data'!R168:V168))</f>
        <v>162.4</v>
      </c>
      <c r="H168" s="257">
        <f>IF(COUNT('Weekly Data'!W168:Z168)=0,"",AVERAGE('Weekly Data'!W168:Z168))</f>
        <v>132.75</v>
      </c>
      <c r="I168" s="257">
        <f>IF(COUNT('Weekly Data'!AA168:AD168)=0,"",AVERAGE('Weekly Data'!AA168:AD168))</f>
        <v>132.5</v>
      </c>
      <c r="J168" s="257">
        <f>IF(COUNT('Weekly Data'!AE168:AI168)=0,"",AVERAGE('Weekly Data'!AE168:AI168))</f>
        <v>114.6</v>
      </c>
      <c r="K168" s="257">
        <f>IF(COUNT('Weekly Data'!AJ168:AM168)=0,"",AVERAGE('Weekly Data'!AJ168:AM168))</f>
        <v>99.25</v>
      </c>
      <c r="L168" s="257">
        <f>IF(COUNT('Weekly Data'!AN168:AQ168)=0,"",AVERAGE('Weekly Data'!AN168:AQ168))</f>
        <v>100</v>
      </c>
      <c r="M168" s="257">
        <f>IF(COUNT('Weekly Data'!AR168:AV168)=0,"",AVERAGE('Weekly Data'!AR168:AV168))</f>
        <v>109.2</v>
      </c>
      <c r="N168" s="257">
        <f>IF(COUNT('Weekly Data'!AW168:AZ168)=0,"",AVERAGE('Weekly Data'!AW168:AZ168))</f>
        <v>126.25</v>
      </c>
      <c r="O168" s="257">
        <f>IF(COUNT('Weekly Data'!BA168:BD168)=0,"",AVERAGE('Weekly Data'!BA168:BD168))</f>
        <v>145.66666666666666</v>
      </c>
      <c r="P168" s="257"/>
      <c r="Q168" s="257">
        <f>IF(COUNT('Weekly Data'!E168:BD168)=0,"",AVERAGE('Weekly Data'!E168:BD168))</f>
        <v>136.52000000000001</v>
      </c>
      <c r="R168" s="257">
        <f>IF(COUNT('Weekly Data'!E168:BD168)=0,"",MIN('Weekly Data'!E168:BD168))</f>
        <v>94</v>
      </c>
      <c r="S168" s="257">
        <f>IF(COUNT('Weekly Data'!E168:BD168)=0,"",MAX('Weekly Data'!E168:BD168))</f>
        <v>182</v>
      </c>
      <c r="T168" s="293"/>
      <c r="U168" s="259">
        <f>COUNT('Weekly Data'!E168:BC168)</f>
        <v>50</v>
      </c>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row>
    <row r="169" spans="1:256">
      <c r="A169" s="1"/>
      <c r="B169" s="258" t="str">
        <f>'Weekly Data'!A169</f>
        <v>Bicarbonate</v>
      </c>
      <c r="C169" s="257" t="str">
        <f>'Weekly Data'!B169</f>
        <v>mg/L</v>
      </c>
      <c r="D169" s="257">
        <f>IF(COUNT('Weekly Data'!E169:I169)=0,"",AVERAGE('Weekly Data'!E169:I169))</f>
        <v>207.2</v>
      </c>
      <c r="E169" s="257">
        <f>IF(COUNT('Weekly Data'!J169:M169)=0,"",AVERAGE('Weekly Data'!J169:M169))</f>
        <v>212</v>
      </c>
      <c r="F169" s="257">
        <f>IF(COUNT('Weekly Data'!N169:Q169)=0,"",AVERAGE('Weekly Data'!N169:Q169))</f>
        <v>220.25</v>
      </c>
      <c r="G169" s="257">
        <f>IF(COUNT('Weekly Data'!R169:V169)=0,"",AVERAGE('Weekly Data'!R169:V169))</f>
        <v>198</v>
      </c>
      <c r="H169" s="257">
        <f>IF(COUNT('Weekly Data'!W169:Z169)=0,"",AVERAGE('Weekly Data'!W169:Z169))</f>
        <v>162</v>
      </c>
      <c r="I169" s="257">
        <f>IF(COUNT('Weekly Data'!AA169:AD169)=0,"",AVERAGE('Weekly Data'!AA169:AD169))</f>
        <v>161.25</v>
      </c>
      <c r="J169" s="257">
        <f>IF(COUNT('Weekly Data'!AE169:AI169)=0,"",AVERAGE('Weekly Data'!AE169:AI169))</f>
        <v>139.4</v>
      </c>
      <c r="K169" s="257">
        <f>IF(COUNT('Weekly Data'!AJ169:AM169)=0,"",AVERAGE('Weekly Data'!AJ169:AM169))</f>
        <v>120.75</v>
      </c>
      <c r="L169" s="257">
        <f>IF(COUNT('Weekly Data'!AN169:AQ169)=0,"",AVERAGE('Weekly Data'!AN169:AQ169))</f>
        <v>121.75</v>
      </c>
      <c r="M169" s="257">
        <f>IF(COUNT('Weekly Data'!AR169:AV169)=0,"",AVERAGE('Weekly Data'!AR169:AV169))</f>
        <v>133</v>
      </c>
      <c r="N169" s="257">
        <f>IF(COUNT('Weekly Data'!AW169:AZ169)=0,"",AVERAGE('Weekly Data'!AW169:AZ169))</f>
        <v>153.75</v>
      </c>
      <c r="O169" s="257">
        <f>IF(COUNT('Weekly Data'!BA169:BD169)=0,"",AVERAGE('Weekly Data'!BA169:BD169))</f>
        <v>177.66666666666666</v>
      </c>
      <c r="P169" s="257"/>
      <c r="Q169" s="257">
        <f>IF(COUNT('Weekly Data'!E169:BD169)=0,"",AVERAGE('Weekly Data'!E169:BD169))</f>
        <v>166.32</v>
      </c>
      <c r="R169" s="257">
        <f>IF(COUNT('Weekly Data'!E169:BD169)=0,"",MIN('Weekly Data'!E169:BD169))</f>
        <v>114</v>
      </c>
      <c r="S169" s="257">
        <f>IF(COUNT('Weekly Data'!E169:BD169)=0,"",MAX('Weekly Data'!E169:BD169))</f>
        <v>222</v>
      </c>
      <c r="T169" s="293"/>
      <c r="U169" s="259">
        <f>COUNT('Weekly Data'!E169:BC169)</f>
        <v>50</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row>
    <row r="170" spans="1:256">
      <c r="A170" s="1"/>
      <c r="B170" s="258" t="str">
        <f>'Weekly Data'!A170</f>
        <v>Carbonate</v>
      </c>
      <c r="C170" s="257" t="str">
        <f>'Weekly Data'!B170</f>
        <v>mg/L</v>
      </c>
      <c r="D170" s="257" t="str">
        <f>IF(COUNT('Weekly Data'!E170:I170)=0,"",IF(AVERAGE('Weekly Data'!E170:I170)&lt;0.55,"&lt;1",AVERAGE('Weekly Data'!E170:I170)))</f>
        <v>&lt;1</v>
      </c>
      <c r="E170" s="257" t="str">
        <f>IF(COUNT('Weekly Data'!J170:M170)=0,"",IF(AVERAGE('Weekly Data'!J170:M170)&lt;0.55,"&lt;1",AVERAGE('Weekly Data'!J170:M170)))</f>
        <v>&lt;1</v>
      </c>
      <c r="F170" s="257" t="str">
        <f>IF(COUNT('Weekly Data'!N170:Q170)=0,"",IF(AVERAGE('Weekly Data'!N170:Q170)&lt;0.55,"&lt;1",AVERAGE('Weekly Data'!N170:Q170)))</f>
        <v>&lt;1</v>
      </c>
      <c r="G170" s="257" t="str">
        <f>IF(COUNT('Weekly Data'!R170:V170)=0,"",IF(AVERAGE('Weekly Data'!R170:V170)&lt;0.55,"&lt;1",AVERAGE('Weekly Data'!R170:V170)))</f>
        <v>&lt;1</v>
      </c>
      <c r="H170" s="257" t="str">
        <f>IF(COUNT('Weekly Data'!W170:Z170)=0,"",IF(AVERAGE('Weekly Data'!W170:Z170)&lt;0.55,"&lt;1",AVERAGE('Weekly Data'!W170:Z170)))</f>
        <v>&lt;1</v>
      </c>
      <c r="I170" s="257" t="str">
        <f>IF(COUNT('Weekly Data'!AA170:AD170)=0,"",IF(AVERAGE('Weekly Data'!AA170:AD170)&lt;0.55,"&lt;1",AVERAGE('Weekly Data'!AA170:AD170)))</f>
        <v>&lt;1</v>
      </c>
      <c r="J170" s="257" t="str">
        <f>IF(COUNT('Weekly Data'!AE170:AI170)=0,"",IF(AVERAGE('Weekly Data'!AE170:AI170)&lt;0.55,"&lt;1",AVERAGE('Weekly Data'!AE170:AI170)))</f>
        <v>&lt;1</v>
      </c>
      <c r="K170" s="257" t="str">
        <f>IF(COUNT('Weekly Data'!AJ170:AM170)=0,"",IF(AVERAGE('Weekly Data'!AJ170:AM170)&lt;0.55,"&lt;1",AVERAGE('Weekly Data'!AJ170:AM170)))</f>
        <v>&lt;1</v>
      </c>
      <c r="L170" s="257" t="str">
        <f>IF(COUNT('Weekly Data'!AN170:AQ170)=0,"",IF(AVERAGE('Weekly Data'!AN170:AQ170)&lt;0.55,"&lt;1",AVERAGE('Weekly Data'!AN170:AQ170)))</f>
        <v>&lt;1</v>
      </c>
      <c r="M170" s="257" t="str">
        <f>IF(COUNT('Weekly Data'!AR170:AV170)=0,"",IF(AVERAGE('Weekly Data'!AR170:AV170)&lt;0.55,"&lt;1",AVERAGE('Weekly Data'!AR170:AV170)))</f>
        <v>&lt;1</v>
      </c>
      <c r="N170" s="257" t="str">
        <f>IF(COUNT('Weekly Data'!AW170:AZ170)=0,"",IF(AVERAGE('Weekly Data'!AW170:AZ170)&lt;0.55,"&lt;1",AVERAGE('Weekly Data'!AW170:AZ170)))</f>
        <v>&lt;1</v>
      </c>
      <c r="O170" s="257" t="str">
        <f>IF(COUNT('Weekly Data'!BA170:BD170)=0,"",IF(AVERAGE('Weekly Data'!BA170:BD170)&lt;0.55,"&lt;1",AVERAGE('Weekly Data'!BA170:BD170)))</f>
        <v>&lt;1</v>
      </c>
      <c r="P170" s="257"/>
      <c r="Q170" s="257" t="str">
        <f>IF(COUNT('Weekly Data'!E170:BD170)=0,"",IF(AVERAGE('Weekly Data'!E170:BD170)&lt;0.55,"&lt;1",AVERAGE('Weekly Data'!E170:BD170)))</f>
        <v>&lt;1</v>
      </c>
      <c r="R170" s="257" t="str">
        <f>IF(COUNT('Weekly Data'!E170:BD170)=0,"",IF(MIN('Weekly Data'!E170:BD170)&lt;0.55,"&lt;1",MIN('Weekly Data'!E170:BD170)))</f>
        <v>&lt;1</v>
      </c>
      <c r="S170" s="257" t="str">
        <f>IF(COUNT('Weekly Data'!E170:BD170)=0,"",IF(MAX('Weekly Data'!E170:BD170)&lt;0.55,"&lt;1",MAX('Weekly Data'!E170:BD170)))</f>
        <v>&lt;1</v>
      </c>
      <c r="T170" s="293"/>
      <c r="U170" s="259">
        <f>COUNT('Weekly Data'!E170:BC170)</f>
        <v>50</v>
      </c>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row>
    <row r="171" spans="1:256">
      <c r="A171" s="1"/>
      <c r="B171" s="258" t="str">
        <f>'Weekly Data'!A171</f>
        <v>Calcium</v>
      </c>
      <c r="C171" s="257" t="str">
        <f>'Weekly Data'!B171</f>
        <v>mg/L</v>
      </c>
      <c r="D171" s="257">
        <f>IF(COUNT('Weekly Data'!E171:I171)=0,"",AVERAGE('Weekly Data'!E171:I171))</f>
        <v>60.75</v>
      </c>
      <c r="E171" s="257">
        <f>IF(COUNT('Weekly Data'!J171:M171)=0,"",AVERAGE('Weekly Data'!J171:M171))</f>
        <v>62.5</v>
      </c>
      <c r="F171" s="257">
        <f>IF(COUNT('Weekly Data'!N171:Q171)=0,"",AVERAGE('Weekly Data'!N171:Q171))</f>
        <v>65.25</v>
      </c>
      <c r="G171" s="257">
        <f>IF(COUNT('Weekly Data'!R171:V171)=0,"",AVERAGE('Weekly Data'!R171:V171))</f>
        <v>61.8</v>
      </c>
      <c r="H171" s="257">
        <f>IF(COUNT('Weekly Data'!W171:Z171)=0,"",AVERAGE('Weekly Data'!W171:Z171))</f>
        <v>51.5</v>
      </c>
      <c r="I171" s="257">
        <f>IF(COUNT('Weekly Data'!AA171:AD171)=0,"",AVERAGE('Weekly Data'!AA171:AD171))</f>
        <v>52.25</v>
      </c>
      <c r="J171" s="257">
        <f>IF(COUNT('Weekly Data'!AE171:AI171)=0,"",AVERAGE('Weekly Data'!AE171:AI171))</f>
        <v>45</v>
      </c>
      <c r="K171" s="257">
        <f>IF(COUNT('Weekly Data'!AJ171:AM171)=0,"",AVERAGE('Weekly Data'!AJ171:AM171))</f>
        <v>43</v>
      </c>
      <c r="L171" s="257">
        <f>IF(COUNT('Weekly Data'!AN171:AQ171)=0,"",AVERAGE('Weekly Data'!AN171:AQ171))</f>
        <v>42.25</v>
      </c>
      <c r="M171" s="257">
        <f>IF(COUNT('Weekly Data'!AR171:AV171)=0,"",AVERAGE('Weekly Data'!AR171:AV171))</f>
        <v>45.4</v>
      </c>
      <c r="N171" s="257">
        <f>IF(COUNT('Weekly Data'!AW171:AZ171)=0,"",AVERAGE('Weekly Data'!AW171:AZ171))</f>
        <v>48.25</v>
      </c>
      <c r="O171" s="257">
        <f>IF(COUNT('Weekly Data'!BA171:BD171)=0,"",AVERAGE('Weekly Data'!BA171:BD171))</f>
        <v>52.333333333333336</v>
      </c>
      <c r="P171" s="257"/>
      <c r="Q171" s="257">
        <f>IF(COUNT('Weekly Data'!E171:BD171)=0,"",AVERAGE('Weekly Data'!E171:BD171))</f>
        <v>52</v>
      </c>
      <c r="R171" s="257">
        <f>IF(COUNT('Weekly Data'!E171:BD171)=0,"",MIN('Weekly Data'!E171:BD171))</f>
        <v>42</v>
      </c>
      <c r="S171" s="257">
        <f>IF(COUNT('Weekly Data'!E171:BD171)=0,"",MAX('Weekly Data'!E171:BD171))</f>
        <v>66</v>
      </c>
      <c r="T171" s="293"/>
      <c r="U171" s="259">
        <f>COUNT('Weekly Data'!E171:BC171)</f>
        <v>48</v>
      </c>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row>
    <row r="172" spans="1:256">
      <c r="A172" s="1"/>
      <c r="B172" s="258" t="str">
        <f>'Weekly Data'!A172</f>
        <v>Magnesium</v>
      </c>
      <c r="C172" s="257" t="str">
        <f>'Weekly Data'!B172</f>
        <v>mg/L</v>
      </c>
      <c r="D172" s="257">
        <f>IF(COUNT('Weekly Data'!E172:I172)=0,"",AVERAGE('Weekly Data'!E172:I172))</f>
        <v>26.75</v>
      </c>
      <c r="E172" s="257">
        <f>IF(COUNT('Weekly Data'!J172:M172)=0,"",AVERAGE('Weekly Data'!J172:M172))</f>
        <v>27</v>
      </c>
      <c r="F172" s="257">
        <f>IF(COUNT('Weekly Data'!N172:Q172)=0,"",AVERAGE('Weekly Data'!N172:Q172))</f>
        <v>27.25</v>
      </c>
      <c r="G172" s="257">
        <f>IF(COUNT('Weekly Data'!R172:V172)=0,"",AVERAGE('Weekly Data'!R172:V172))</f>
        <v>25.4</v>
      </c>
      <c r="H172" s="257">
        <f>IF(COUNT('Weekly Data'!W172:Z172)=0,"",AVERAGE('Weekly Data'!W172:Z172))</f>
        <v>20.25</v>
      </c>
      <c r="I172" s="257">
        <f>IF(COUNT('Weekly Data'!AA172:AD172)=0,"",AVERAGE('Weekly Data'!AA172:AD172))</f>
        <v>20.5</v>
      </c>
      <c r="J172" s="257">
        <f>IF(COUNT('Weekly Data'!AE172:AI172)=0,"",AVERAGE('Weekly Data'!AE172:AI172))</f>
        <v>20.399999999999999</v>
      </c>
      <c r="K172" s="257">
        <f>IF(COUNT('Weekly Data'!AJ172:AM172)=0,"",AVERAGE('Weekly Data'!AJ172:AM172))</f>
        <v>19.25</v>
      </c>
      <c r="L172" s="257">
        <f>IF(COUNT('Weekly Data'!AN172:AQ172)=0,"",AVERAGE('Weekly Data'!AN172:AQ172))</f>
        <v>20</v>
      </c>
      <c r="M172" s="257">
        <f>IF(COUNT('Weekly Data'!AR172:AV172)=0,"",AVERAGE('Weekly Data'!AR172:AV172))</f>
        <v>20</v>
      </c>
      <c r="N172" s="257">
        <f>IF(COUNT('Weekly Data'!AW172:AZ172)=0,"",AVERAGE('Weekly Data'!AW172:AZ172))</f>
        <v>20</v>
      </c>
      <c r="O172" s="257">
        <f>IF(COUNT('Weekly Data'!BA172:BD172)=0,"",AVERAGE('Weekly Data'!BA172:BD172))</f>
        <v>21.666666666666668</v>
      </c>
      <c r="P172" s="257"/>
      <c r="Q172" s="257">
        <f>IF(COUNT('Weekly Data'!E172:BD172)=0,"",AVERAGE('Weekly Data'!E172:BD172))</f>
        <v>22.166666666666668</v>
      </c>
      <c r="R172" s="257">
        <f>IF(COUNT('Weekly Data'!E172:BD172)=0,"",MIN('Weekly Data'!E172:BD172))</f>
        <v>17</v>
      </c>
      <c r="S172" s="257">
        <f>IF(COUNT('Weekly Data'!E172:BD172)=0,"",MAX('Weekly Data'!E172:BD172))</f>
        <v>28</v>
      </c>
      <c r="T172" s="293"/>
      <c r="U172" s="259">
        <f>COUNT('Weekly Data'!E172:BC172)</f>
        <v>48</v>
      </c>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row>
    <row r="173" spans="1:256">
      <c r="A173" s="1"/>
      <c r="B173" s="258" t="str">
        <f>'Weekly Data'!A173</f>
        <v>Hardness (total)</v>
      </c>
      <c r="C173" s="257" t="str">
        <f>'Weekly Data'!B173</f>
        <v>mg/L CaCO3</v>
      </c>
      <c r="D173" s="257">
        <f>IF(COUNT('Weekly Data'!E173:I173)=0,"",AVERAGE('Weekly Data'!E173:I173))</f>
        <v>261.75</v>
      </c>
      <c r="E173" s="257">
        <f>IF(COUNT('Weekly Data'!J173:M173)=0,"",AVERAGE('Weekly Data'!J173:M173))</f>
        <v>268</v>
      </c>
      <c r="F173" s="257">
        <f>IF(COUNT('Weekly Data'!N173:Q173)=0,"",AVERAGE('Weekly Data'!N173:Q173))</f>
        <v>276</v>
      </c>
      <c r="G173" s="257">
        <f>IF(COUNT('Weekly Data'!R173:V173)=0,"",AVERAGE('Weekly Data'!R173:V173))</f>
        <v>258.60000000000002</v>
      </c>
      <c r="H173" s="257">
        <f>IF(COUNT('Weekly Data'!W173:Z173)=0,"",AVERAGE('Weekly Data'!W173:Z173))</f>
        <v>212</v>
      </c>
      <c r="I173" s="257">
        <f>IF(COUNT('Weekly Data'!AA173:AD173)=0,"",AVERAGE('Weekly Data'!AA173:AD173))</f>
        <v>213.75</v>
      </c>
      <c r="J173" s="257">
        <f>IF(COUNT('Weekly Data'!AE173:AI173)=0,"",AVERAGE('Weekly Data'!AE173:AI173))</f>
        <v>197.2</v>
      </c>
      <c r="K173" s="257">
        <f>IF(COUNT('Weekly Data'!AJ173:AM173)=0,"",AVERAGE('Weekly Data'!AJ173:AM173))</f>
        <v>186.25</v>
      </c>
      <c r="L173" s="257">
        <f>IF(COUNT('Weekly Data'!AN173:AQ173)=0,"",AVERAGE('Weekly Data'!AN173:AQ173))</f>
        <v>187.5</v>
      </c>
      <c r="M173" s="257">
        <f>IF(COUNT('Weekly Data'!AR173:AV173)=0,"",AVERAGE('Weekly Data'!AR173:AV173))</f>
        <v>195.8</v>
      </c>
      <c r="N173" s="257">
        <f>IF(COUNT('Weekly Data'!AW173:AZ173)=0,"",AVERAGE('Weekly Data'!AW173:AZ173))</f>
        <v>202</v>
      </c>
      <c r="O173" s="257">
        <f>IF(COUNT('Weekly Data'!BA173:BD173)=0,"",AVERAGE('Weekly Data'!BA173:BD173))</f>
        <v>221</v>
      </c>
      <c r="P173" s="257"/>
      <c r="Q173" s="257">
        <f>IF(COUNT('Weekly Data'!E173:BD173)=0,"",AVERAGE('Weekly Data'!E173:BD173))</f>
        <v>221.125</v>
      </c>
      <c r="R173" s="257">
        <f>IF(COUNT('Weekly Data'!E173:BD173)=0,"",MIN('Weekly Data'!E173:BD173))</f>
        <v>185</v>
      </c>
      <c r="S173" s="257">
        <f>IF(COUNT('Weekly Data'!E173:BD173)=0,"",MAX('Weekly Data'!E173:BD173))</f>
        <v>279</v>
      </c>
      <c r="T173" s="293"/>
      <c r="U173" s="259">
        <f>COUNT('Weekly Data'!E173:BC173)</f>
        <v>48</v>
      </c>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row>
    <row r="174" spans="1:256">
      <c r="A174" s="1"/>
      <c r="B174" s="258" t="str">
        <f>'Weekly Data'!A174</f>
        <v>Sodium</v>
      </c>
      <c r="C174" s="257" t="str">
        <f>'Weekly Data'!B174</f>
        <v>mg/L</v>
      </c>
      <c r="D174" s="257">
        <f>IF(COUNT('Weekly Data'!E174:I174)=0,"",AVERAGE('Weekly Data'!E174:I174))</f>
        <v>53.75</v>
      </c>
      <c r="E174" s="257">
        <f>IF(COUNT('Weekly Data'!J174:M174)=0,"",AVERAGE('Weekly Data'!J174:M174))</f>
        <v>54</v>
      </c>
      <c r="F174" s="257">
        <f>IF(COUNT('Weekly Data'!N174:Q174)=0,"",AVERAGE('Weekly Data'!N174:Q174))</f>
        <v>54.75</v>
      </c>
      <c r="G174" s="257">
        <f>IF(COUNT('Weekly Data'!R174:V174)=0,"",AVERAGE('Weekly Data'!R174:V174))</f>
        <v>51.4</v>
      </c>
      <c r="H174" s="257">
        <f>IF(COUNT('Weekly Data'!W174:Z174)=0,"",AVERAGE('Weekly Data'!W174:Z174))</f>
        <v>43.75</v>
      </c>
      <c r="I174" s="257">
        <f>IF(COUNT('Weekly Data'!AA174:AD174)=0,"",AVERAGE('Weekly Data'!AA174:AD174))</f>
        <v>45.5</v>
      </c>
      <c r="J174" s="257">
        <f>IF(COUNT('Weekly Data'!AE174:AI174)=0,"",AVERAGE('Weekly Data'!AE174:AI174))</f>
        <v>43.75</v>
      </c>
      <c r="K174" s="257">
        <f>IF(COUNT('Weekly Data'!AJ174:AM174)=0,"",AVERAGE('Weekly Data'!AJ174:AM174))</f>
        <v>40.75</v>
      </c>
      <c r="L174" s="257">
        <f>IF(COUNT('Weekly Data'!AN174:AQ174)=0,"",AVERAGE('Weekly Data'!AN174:AQ174))</f>
        <v>39.75</v>
      </c>
      <c r="M174" s="257">
        <f>IF(COUNT('Weekly Data'!AR174:AV174)=0,"",AVERAGE('Weekly Data'!AR174:AV174))</f>
        <v>38.6</v>
      </c>
      <c r="N174" s="257">
        <f>IF(COUNT('Weekly Data'!AW174:AZ174)=0,"",AVERAGE('Weekly Data'!AW174:AZ174))</f>
        <v>38.5</v>
      </c>
      <c r="O174" s="257">
        <f>IF(COUNT('Weekly Data'!BA174:BD174)=0,"",AVERAGE('Weekly Data'!BA174:BD174))</f>
        <v>41</v>
      </c>
      <c r="P174" s="257"/>
      <c r="Q174" s="257">
        <f>IF(COUNT('Weekly Data'!E174:BD174)=0,"",AVERAGE('Weekly Data'!E174:BD174))</f>
        <v>45.170212765957444</v>
      </c>
      <c r="R174" s="257">
        <f>IF(COUNT('Weekly Data'!E174:BD174)=0,"",MIN('Weekly Data'!E174:BD174))</f>
        <v>38</v>
      </c>
      <c r="S174" s="257">
        <f>IF(COUNT('Weekly Data'!E174:BD174)=0,"",MAX('Weekly Data'!E174:BD174))</f>
        <v>56</v>
      </c>
      <c r="T174" s="293"/>
      <c r="U174" s="259">
        <f>COUNT('Weekly Data'!E174:BC174)</f>
        <v>47</v>
      </c>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row>
    <row r="175" spans="1:256">
      <c r="A175" s="1"/>
      <c r="B175" s="258" t="str">
        <f>'Weekly Data'!A175</f>
        <v>Potassium</v>
      </c>
      <c r="C175" s="257" t="str">
        <f>'Weekly Data'!B175</f>
        <v>mg/L</v>
      </c>
      <c r="D175" s="247">
        <f>IF(COUNT('Weekly Data'!E175:I175)=0,"",AVERAGE('Weekly Data'!E175:I175))</f>
        <v>6.35</v>
      </c>
      <c r="E175" s="247">
        <f>IF(COUNT('Weekly Data'!J175:M175)=0,"",AVERAGE('Weekly Data'!J175:M175))</f>
        <v>6.9499999999999993</v>
      </c>
      <c r="F175" s="247">
        <f>IF(COUNT('Weekly Data'!N175:Q175)=0,"",AVERAGE('Weekly Data'!N175:Q175))</f>
        <v>5.5250000000000004</v>
      </c>
      <c r="G175" s="247">
        <f>IF(COUNT('Weekly Data'!R175:V175)=0,"",AVERAGE('Weekly Data'!R175:V175))</f>
        <v>5.26</v>
      </c>
      <c r="H175" s="247">
        <f>IF(COUNT('Weekly Data'!W175:Z175)=0,"",AVERAGE('Weekly Data'!W175:Z175))</f>
        <v>4.7750000000000004</v>
      </c>
      <c r="I175" s="247">
        <f>IF(COUNT('Weekly Data'!AA175:AD175)=0,"",AVERAGE('Weekly Data'!AA175:AD175))</f>
        <v>5.0750000000000002</v>
      </c>
      <c r="J175" s="247">
        <f>IF(COUNT('Weekly Data'!AE175:AI175)=0,"",AVERAGE('Weekly Data'!AE175:AI175))</f>
        <v>4.9249999999999998</v>
      </c>
      <c r="K175" s="247">
        <f>IF(COUNT('Weekly Data'!AJ175:AM175)=0,"",AVERAGE('Weekly Data'!AJ175:AM175))</f>
        <v>4.5999999999999996</v>
      </c>
      <c r="L175" s="247">
        <f>IF(COUNT('Weekly Data'!AN175:AQ175)=0,"",AVERAGE('Weekly Data'!AN175:AQ175))</f>
        <v>4.4000000000000004</v>
      </c>
      <c r="M175" s="247">
        <f>IF(COUNT('Weekly Data'!AR175:AV175)=0,"",AVERAGE('Weekly Data'!AR175:AV175))</f>
        <v>4.18</v>
      </c>
      <c r="N175" s="247">
        <f>IF(COUNT('Weekly Data'!AW175:AZ175)=0,"",AVERAGE('Weekly Data'!AW175:AZ175))</f>
        <v>4</v>
      </c>
      <c r="O175" s="247">
        <f>IF(COUNT('Weekly Data'!BA175:BD175)=0,"",AVERAGE('Weekly Data'!BA175:BD175))</f>
        <v>4.166666666666667</v>
      </c>
      <c r="P175" s="247"/>
      <c r="Q175" s="247">
        <f>IF(COUNT('Weekly Data'!E175:BD175)=0,"",AVERAGE('Weekly Data'!E175:BD175))</f>
        <v>4.9404255319148938</v>
      </c>
      <c r="R175" s="247">
        <f>IF(COUNT('Weekly Data'!E175:BD175)=0,"",MIN('Weekly Data'!E175:BD175))</f>
        <v>4</v>
      </c>
      <c r="S175" s="247">
        <f>IF(COUNT('Weekly Data'!E175:BD175)=0,"",MAX('Weekly Data'!E175:BD175))</f>
        <v>7.6</v>
      </c>
      <c r="T175" s="293"/>
      <c r="U175" s="259">
        <f>COUNT('Weekly Data'!E175:BC175)</f>
        <v>47</v>
      </c>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row>
    <row r="176" spans="1:256">
      <c r="A176" s="1"/>
      <c r="B176" s="258" t="str">
        <f>'Weekly Data'!A176</f>
        <v>Sulphate</v>
      </c>
      <c r="C176" s="257" t="str">
        <f>'Weekly Data'!B176</f>
        <v>mg/L</v>
      </c>
      <c r="D176" s="257">
        <f>IF(COUNT('Weekly Data'!E176:I176)=0,"",AVERAGE('Weekly Data'!E176:I176))</f>
        <v>177.75</v>
      </c>
      <c r="E176" s="257">
        <f>IF(COUNT('Weekly Data'!J176:M176)=0,"",AVERAGE('Weekly Data'!J176:M176))</f>
        <v>182.5</v>
      </c>
      <c r="F176" s="257">
        <f>IF(COUNT('Weekly Data'!N176:Q176)=0,"",AVERAGE('Weekly Data'!N176:Q176))</f>
        <v>186.25</v>
      </c>
      <c r="G176" s="257">
        <f>IF(COUNT('Weekly Data'!R176:V176)=0,"",AVERAGE('Weekly Data'!R176:V176))</f>
        <v>176</v>
      </c>
      <c r="H176" s="257">
        <f>IF(COUNT('Weekly Data'!W176:Z176)=0,"",AVERAGE('Weekly Data'!W176:Z176))</f>
        <v>151.75</v>
      </c>
      <c r="I176" s="257">
        <f>IF(COUNT('Weekly Data'!AA176:AD176)=0,"",AVERAGE('Weekly Data'!AA176:AD176))</f>
        <v>157.75</v>
      </c>
      <c r="J176" s="257">
        <f>IF(COUNT('Weekly Data'!AE176:AI176)=0,"",AVERAGE('Weekly Data'!AE176:AI176))</f>
        <v>152</v>
      </c>
      <c r="K176" s="257">
        <f>IF(COUNT('Weekly Data'!AJ176:AM176)=0,"",AVERAGE('Weekly Data'!AJ176:AM176))</f>
        <v>147</v>
      </c>
      <c r="L176" s="257">
        <f>IF(COUNT('Weekly Data'!AN176:AQ176)=0,"",AVERAGE('Weekly Data'!AN176:AQ176))</f>
        <v>149</v>
      </c>
      <c r="M176" s="257">
        <f>IF(COUNT('Weekly Data'!AR176:AV176)=0,"",AVERAGE('Weekly Data'!AR176:AV176))</f>
        <v>147.6</v>
      </c>
      <c r="N176" s="257">
        <f>IF(COUNT('Weekly Data'!AW176:AZ176)=0,"",AVERAGE('Weekly Data'!AW176:AZ176))</f>
        <v>137.25</v>
      </c>
      <c r="O176" s="257">
        <f>IF(COUNT('Weekly Data'!BA176:BD176)=0,"",AVERAGE('Weekly Data'!BA176:BD176))</f>
        <v>141</v>
      </c>
      <c r="P176" s="257"/>
      <c r="Q176" s="257">
        <f>IF(COUNT('Weekly Data'!E176:BD176)=0,"",AVERAGE('Weekly Data'!E176:BD176))</f>
        <v>158.31914893617022</v>
      </c>
      <c r="R176" s="257">
        <f>IF(COUNT('Weekly Data'!E176:BD176)=0,"",MIN('Weekly Data'!E176:BD176))</f>
        <v>132</v>
      </c>
      <c r="S176" s="257">
        <f>IF(COUNT('Weekly Data'!E176:BD176)=0,"",MAX('Weekly Data'!E176:BD176))</f>
        <v>188</v>
      </c>
      <c r="T176" s="293"/>
      <c r="U176" s="259">
        <f>COUNT('Weekly Data'!E176:BC176)</f>
        <v>47</v>
      </c>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row>
    <row r="177" spans="1:256">
      <c r="A177" s="1"/>
      <c r="B177" s="258" t="str">
        <f>'Weekly Data'!A177</f>
        <v>Chloride</v>
      </c>
      <c r="C177" s="257" t="str">
        <f>'Weekly Data'!B177</f>
        <v>mg/L</v>
      </c>
      <c r="D177" s="247">
        <f>IF(COUNT('Weekly Data'!E177:I177)=0,"",AVERAGE('Weekly Data'!E177:I177))</f>
        <v>17.350000000000001</v>
      </c>
      <c r="E177" s="247">
        <f>IF(COUNT('Weekly Data'!J177:M177)=0,"",AVERAGE('Weekly Data'!J177:M177))</f>
        <v>17.75</v>
      </c>
      <c r="F177" s="247">
        <f>IF(COUNT('Weekly Data'!N177:Q177)=0,"",AVERAGE('Weekly Data'!N177:Q177))</f>
        <v>17.774999999999999</v>
      </c>
      <c r="G177" s="247">
        <f>IF(COUNT('Weekly Data'!R177:V177)=0,"",AVERAGE('Weekly Data'!R177:V177))</f>
        <v>18.04</v>
      </c>
      <c r="H177" s="247">
        <f>IF(COUNT('Weekly Data'!W177:Z177)=0,"",AVERAGE('Weekly Data'!W177:Z177))</f>
        <v>14.6</v>
      </c>
      <c r="I177" s="247">
        <f>IF(COUNT('Weekly Data'!AA177:AD177)=0,"",AVERAGE('Weekly Data'!AA177:AD177))</f>
        <v>15.525</v>
      </c>
      <c r="J177" s="247">
        <f>IF(COUNT('Weekly Data'!AE177:AI177)=0,"",AVERAGE('Weekly Data'!AE177:AI177))</f>
        <v>16.75</v>
      </c>
      <c r="K177" s="247">
        <f>IF(COUNT('Weekly Data'!AJ177:AM177)=0,"",AVERAGE('Weekly Data'!AJ177:AM177))</f>
        <v>15.675000000000001</v>
      </c>
      <c r="L177" s="247">
        <f>IF(COUNT('Weekly Data'!AN177:AQ177)=0,"",AVERAGE('Weekly Data'!AN177:AQ177))</f>
        <v>15.875</v>
      </c>
      <c r="M177" s="247">
        <f>IF(COUNT('Weekly Data'!AR177:AV177)=0,"",AVERAGE('Weekly Data'!AR177:AV177))</f>
        <v>14.76</v>
      </c>
      <c r="N177" s="247">
        <f>IF(COUNT('Weekly Data'!AW177:AZ177)=0,"",AVERAGE('Weekly Data'!AW177:AZ177))</f>
        <v>13.65</v>
      </c>
      <c r="O177" s="247">
        <f>IF(COUNT('Weekly Data'!BA177:BD177)=0,"",AVERAGE('Weekly Data'!BA177:BD177))</f>
        <v>14.1</v>
      </c>
      <c r="P177" s="247"/>
      <c r="Q177" s="247">
        <f>IF(COUNT('Weekly Data'!E177:BD177)=0,"",AVERAGE('Weekly Data'!E177:BD177))</f>
        <v>15.97021276595745</v>
      </c>
      <c r="R177" s="247">
        <f>IF(COUNT('Weekly Data'!E177:BD177)=0,"",MIN('Weekly Data'!E177:BD177))</f>
        <v>13.4</v>
      </c>
      <c r="S177" s="247">
        <f>IF(COUNT('Weekly Data'!E177:BD177)=0,"",MAX('Weekly Data'!E177:BD177))</f>
        <v>19</v>
      </c>
      <c r="T177" s="293"/>
      <c r="U177" s="259">
        <f>COUNT('Weekly Data'!E177:BC177)</f>
        <v>47</v>
      </c>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row>
    <row r="178" spans="1:256">
      <c r="A178" s="1"/>
      <c r="B178" s="258"/>
      <c r="C178" s="257"/>
      <c r="D178" s="246"/>
      <c r="E178" s="246"/>
      <c r="F178" s="246"/>
      <c r="G178" s="246"/>
      <c r="H178" s="257"/>
      <c r="I178" s="246"/>
      <c r="J178" s="246"/>
      <c r="K178" s="246"/>
      <c r="L178" s="257"/>
      <c r="M178" s="246"/>
      <c r="N178" s="246"/>
      <c r="O178" s="246"/>
      <c r="P178" s="246"/>
      <c r="Q178" s="247"/>
      <c r="R178" s="247"/>
      <c r="S178" s="247"/>
      <c r="T178" s="293"/>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row>
    <row r="179" spans="1:256">
      <c r="A179" s="1"/>
      <c r="B179" s="245" t="str">
        <f>'Weekly Data'!A179</f>
        <v>TRACE CONSTITUENTS</v>
      </c>
      <c r="C179" s="257"/>
      <c r="D179" s="246"/>
      <c r="E179" s="246"/>
      <c r="F179" s="246"/>
      <c r="G179" s="246"/>
      <c r="H179" s="257"/>
      <c r="I179" s="246"/>
      <c r="J179" s="246"/>
      <c r="K179" s="246"/>
      <c r="L179" s="257"/>
      <c r="M179" s="246"/>
      <c r="N179" s="246"/>
      <c r="O179" s="246"/>
      <c r="P179" s="246"/>
      <c r="Q179" s="247"/>
      <c r="R179" s="247"/>
      <c r="S179" s="247"/>
      <c r="T179" s="293"/>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row>
    <row r="180" spans="1:256">
      <c r="A180" s="1"/>
      <c r="B180" s="258"/>
      <c r="C180" s="257"/>
      <c r="D180" s="246"/>
      <c r="E180" s="246"/>
      <c r="F180" s="246"/>
      <c r="G180" s="246"/>
      <c r="H180" s="246"/>
      <c r="I180" s="246"/>
      <c r="J180" s="246"/>
      <c r="K180" s="246"/>
      <c r="L180" s="246"/>
      <c r="M180" s="246"/>
      <c r="N180" s="246"/>
      <c r="O180" s="246"/>
      <c r="P180" s="246"/>
      <c r="Q180" s="246"/>
      <c r="R180" s="246"/>
      <c r="S180" s="246"/>
      <c r="T180" s="293"/>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row>
    <row r="181" spans="1:256">
      <c r="A181" s="1"/>
      <c r="B181" s="245" t="s">
        <v>125</v>
      </c>
      <c r="C181" s="257"/>
      <c r="D181" s="246"/>
      <c r="E181" s="246"/>
      <c r="F181" s="246"/>
      <c r="G181" s="246"/>
      <c r="H181" s="246"/>
      <c r="I181" s="246"/>
      <c r="J181" s="246"/>
      <c r="K181" s="246"/>
      <c r="L181" s="246"/>
      <c r="M181" s="246"/>
      <c r="N181" s="246"/>
      <c r="O181" s="246"/>
      <c r="P181" s="246"/>
      <c r="Q181" s="246"/>
      <c r="R181" s="246"/>
      <c r="S181" s="246"/>
      <c r="T181" s="293"/>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row>
    <row r="182" spans="1:256">
      <c r="A182" s="1"/>
      <c r="B182" s="258" t="str">
        <f>'Weekly Data'!A182</f>
        <v>Aluminum (dissolved 0.45µ)</v>
      </c>
      <c r="C182" s="257" t="str">
        <f>'Weekly Data'!B182</f>
        <v>µg/L Chart</v>
      </c>
      <c r="D182" s="257">
        <f>IF(COUNT('Weekly Data'!E182:I182)=0,"",IF(AVERAGE('Weekly Data'!E182:I182)&lt;5.5,"&lt;6",AVERAGE('Weekly Data'!E182:I182)))</f>
        <v>48</v>
      </c>
      <c r="E182" s="257">
        <f>IF(COUNT('Weekly Data'!J182:M182)=0,"",IF(AVERAGE('Weekly Data'!J182:M182)&lt;5.5,"&lt;6",AVERAGE('Weekly Data'!J182:M182)))</f>
        <v>86.5</v>
      </c>
      <c r="F182" s="257">
        <f>IF(COUNT('Weekly Data'!N182:Q182)=0,"",IF(AVERAGE('Weekly Data'!N182:Q182)&lt;5.5,"&lt;6",AVERAGE('Weekly Data'!N182:Q182)))</f>
        <v>49.25</v>
      </c>
      <c r="G182" s="257">
        <f>IF(COUNT('Weekly Data'!R182:V182)=0,"",IF(AVERAGE('Weekly Data'!R182:V182)&lt;5.5,"&lt;6",AVERAGE('Weekly Data'!R182:V182)))</f>
        <v>24.75</v>
      </c>
      <c r="H182" s="257">
        <f>IF(COUNT('Weekly Data'!W182:Z182)=0,"",IF(AVERAGE('Weekly Data'!W182:Z182)&lt;5.5,"&lt;6",AVERAGE('Weekly Data'!W182:Z182)))</f>
        <v>24</v>
      </c>
      <c r="I182" s="257">
        <f>IF(COUNT('Weekly Data'!AA182:AD182)=0,"",IF(AVERAGE('Weekly Data'!AA182:AD182)&lt;5.5,"&lt;6",AVERAGE('Weekly Data'!AA182:AD182)))</f>
        <v>27.75</v>
      </c>
      <c r="J182" s="257">
        <f>IF(COUNT('Weekly Data'!AE182:AI182)=0,"",IF(AVERAGE('Weekly Data'!AE182:AI182)&lt;5.5,"&lt;6",AVERAGE('Weekly Data'!AE182:AI182)))</f>
        <v>31.25</v>
      </c>
      <c r="K182" s="257">
        <f>IF(COUNT('Weekly Data'!AJ182:AM182)=0,"",IF(AVERAGE('Weekly Data'!AJ182:AM182)&lt;5.5,"&lt;6",AVERAGE('Weekly Data'!AJ182:AM182)))</f>
        <v>11.5</v>
      </c>
      <c r="L182" s="257">
        <f>IF(COUNT('Weekly Data'!AN182:AQ182)=0,"",IF(AVERAGE('Weekly Data'!AN182:AQ182)&lt;5.5,"&lt;6",AVERAGE('Weekly Data'!AN182:AQ182)))</f>
        <v>6.75</v>
      </c>
      <c r="M182" s="257">
        <f>IF(COUNT('Weekly Data'!AR182:AV182)=0,"",IF(AVERAGE('Weekly Data'!AR182:AV182)&lt;5.5,"&lt;6",AVERAGE('Weekly Data'!AR182:AV182)))</f>
        <v>6.4</v>
      </c>
      <c r="N182" s="257">
        <f>IF(COUNT('Weekly Data'!AW182:AZ182)=0,"",IF(AVERAGE('Weekly Data'!AW182:AZ182)&lt;5.5,"&lt;6",AVERAGE('Weekly Data'!AW182:AZ182)))</f>
        <v>18.75</v>
      </c>
      <c r="O182" s="257">
        <f>IF(COUNT('Weekly Data'!BA182:BD182)=0,"",IF(AVERAGE('Weekly Data'!BA182:BD182)&lt;5.5,"&lt;6",AVERAGE('Weekly Data'!BA182:BD182)))</f>
        <v>57</v>
      </c>
      <c r="P182" s="257"/>
      <c r="Q182" s="257">
        <f>IF(COUNT('Weekly Data'!E182:BD182)=0,"",IF(AVERAGE('Weekly Data'!E182:BD182)&lt;5.5,"&lt;6",AVERAGE('Weekly Data'!E182:BD182)))</f>
        <v>29.617021276595743</v>
      </c>
      <c r="R182" s="257" t="str">
        <f>IF(COUNT('Weekly Data'!E182:BD182)=0,"",IF(MIN('Weekly Data'!E182:BD182)&lt;5.5,"&lt;6",MIN('Weekly Data'!E182:BD182)))</f>
        <v>&lt;6</v>
      </c>
      <c r="S182" s="257">
        <f>IF(COUNT('Weekly Data'!E182:BD182)=0,"",IF(MAX('Weekly Data'!E182:BD182)&lt;5.5,"&lt;6",MAX('Weekly Data'!E182:BD182)))</f>
        <v>114</v>
      </c>
      <c r="T182" s="293"/>
      <c r="U182" s="259">
        <f>COUNT('Weekly Data'!E182:BC182)</f>
        <v>47</v>
      </c>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row>
    <row r="183" spans="1:256">
      <c r="A183" s="1"/>
      <c r="B183" s="258" t="str">
        <f>'Weekly Data'!A183</f>
        <v>Aluminum (total)</v>
      </c>
      <c r="C183" s="257" t="str">
        <f>'Weekly Data'!B183</f>
        <v>µg/L Chart</v>
      </c>
      <c r="D183" s="257">
        <f>IF(COUNT('Weekly Data'!E183:I183)=0,"",IF(AVERAGE('Weekly Data'!E183:I183)&lt;5.5,"&lt;6",AVERAGE('Weekly Data'!E183:I183)))</f>
        <v>97.4</v>
      </c>
      <c r="E183" s="257">
        <f>IF(COUNT('Weekly Data'!J183:M183)=0,"",IF(AVERAGE('Weekly Data'!J183:M183)&lt;5.5,"&lt;6",AVERAGE('Weekly Data'!J183:M183)))</f>
        <v>100</v>
      </c>
      <c r="F183" s="257">
        <f>IF(COUNT('Weekly Data'!N183:Q183)=0,"",IF(AVERAGE('Weekly Data'!N183:Q183)&lt;5.5,"&lt;6",AVERAGE('Weekly Data'!N183:Q183)))</f>
        <v>74.5</v>
      </c>
      <c r="G183" s="257">
        <f>IF(COUNT('Weekly Data'!R183:V183)=0,"",IF(AVERAGE('Weekly Data'!R183:V183)&lt;5.5,"&lt;6",AVERAGE('Weekly Data'!R183:V183)))</f>
        <v>40.25</v>
      </c>
      <c r="H183" s="257">
        <f>IF(COUNT('Weekly Data'!W183:Z183)=0,"",IF(AVERAGE('Weekly Data'!W183:Z183)&lt;5.5,"&lt;6",AVERAGE('Weekly Data'!W183:Z183)))</f>
        <v>27.75</v>
      </c>
      <c r="I183" s="257">
        <f>IF(COUNT('Weekly Data'!AA183:AD183)=0,"",IF(AVERAGE('Weekly Data'!AA183:AD183)&lt;5.5,"&lt;6",AVERAGE('Weekly Data'!AA183:AD183)))</f>
        <v>35.25</v>
      </c>
      <c r="J183" s="257">
        <f>IF(COUNT('Weekly Data'!AE183:AI183)=0,"",IF(AVERAGE('Weekly Data'!AE183:AI183)&lt;5.5,"&lt;6",AVERAGE('Weekly Data'!AE183:AI183)))</f>
        <v>38</v>
      </c>
      <c r="K183" s="257">
        <f>IF(COUNT('Weekly Data'!AJ183:AM183)=0,"",IF(AVERAGE('Weekly Data'!AJ183:AM183)&lt;5.5,"&lt;6",AVERAGE('Weekly Data'!AJ183:AM183)))</f>
        <v>14</v>
      </c>
      <c r="L183" s="257">
        <f>IF(COUNT('Weekly Data'!AN183:AQ183)=0,"",IF(AVERAGE('Weekly Data'!AN183:AQ183)&lt;5.5,"&lt;6",AVERAGE('Weekly Data'!AN183:AQ183)))</f>
        <v>11</v>
      </c>
      <c r="M183" s="257">
        <f>IF(COUNT('Weekly Data'!AR183:AV183)=0,"",IF(AVERAGE('Weekly Data'!AR183:AV183)&lt;5.5,"&lt;6",AVERAGE('Weekly Data'!AR183:AV183)))</f>
        <v>10.199999999999999</v>
      </c>
      <c r="N183" s="257">
        <f>IF(COUNT('Weekly Data'!AW183:AZ183)=0,"",IF(AVERAGE('Weekly Data'!AW183:AZ183)&lt;5.5,"&lt;6",AVERAGE('Weekly Data'!AW183:AZ183)))</f>
        <v>35.75</v>
      </c>
      <c r="O183" s="257">
        <f>IF(COUNT('Weekly Data'!BA183:BD183)=0,"",IF(AVERAGE('Weekly Data'!BA183:BD183)&lt;5.5,"&lt;6",AVERAGE('Weekly Data'!BA183:BD183)))</f>
        <v>115.5</v>
      </c>
      <c r="P183" s="257"/>
      <c r="Q183" s="257">
        <f>IF(COUNT('Weekly Data'!E183:BD183)=0,"",IF(AVERAGE('Weekly Data'!E183:BD183)&lt;5.5,"&lt;6",AVERAGE('Weekly Data'!E183:BD183)))</f>
        <v>46.936170212765958</v>
      </c>
      <c r="R183" s="257">
        <f>IF(COUNT('Weekly Data'!E183:BD183)=0,"",IF(MIN('Weekly Data'!E183:BD183)&lt;5.5,"&lt;6",MIN('Weekly Data'!E183:BD183)))</f>
        <v>6</v>
      </c>
      <c r="S183" s="257">
        <f>IF(COUNT('Weekly Data'!E183:BD183)=0,"",IF(MAX('Weekly Data'!E183:BD183)&lt;5.5,"&lt;6",MAX('Weekly Data'!E183:BD183)))</f>
        <v>167</v>
      </c>
      <c r="T183" s="293"/>
      <c r="U183" s="259">
        <f>COUNT('Weekly Data'!E183:BC183)</f>
        <v>46</v>
      </c>
      <c r="V183" s="265" t="s">
        <v>342</v>
      </c>
      <c r="W183" s="265" t="s">
        <v>343</v>
      </c>
      <c r="X183" s="265" t="s">
        <v>344</v>
      </c>
      <c r="Y183" s="265" t="s">
        <v>345</v>
      </c>
      <c r="Z183" s="265" t="s">
        <v>346</v>
      </c>
      <c r="AA183" s="265" t="s">
        <v>347</v>
      </c>
      <c r="AB183" s="265" t="s">
        <v>348</v>
      </c>
      <c r="AC183" s="265" t="s">
        <v>349</v>
      </c>
      <c r="AD183" s="265" t="s">
        <v>350</v>
      </c>
      <c r="AE183" s="265" t="s">
        <v>351</v>
      </c>
      <c r="AF183" s="265" t="s">
        <v>352</v>
      </c>
      <c r="AG183" s="265" t="s">
        <v>353</v>
      </c>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row>
    <row r="184" spans="1:256">
      <c r="A184" s="1"/>
      <c r="B184" s="258" t="str">
        <f>'Weekly Data'!A184</f>
        <v>Aluminum (total 12 mo avg)</v>
      </c>
      <c r="C184" s="257" t="str">
        <f>'Weekly Data'!B184</f>
        <v>µg/L</v>
      </c>
      <c r="D184" s="257">
        <f>IF(D183=0,"",AVERAGE(D183,W184:AG184))</f>
        <v>58.868055555555564</v>
      </c>
      <c r="E184" s="257">
        <f>IF(E183=0,"",AVERAGE(D183:E183,X184:AG184))</f>
        <v>54.409722222222229</v>
      </c>
      <c r="F184" s="257">
        <f>IF(F183=0,"",AVERAGE(D183:F183,Y184:AG184))</f>
        <v>53.076388888888893</v>
      </c>
      <c r="G184" s="257">
        <f>IF(G183=0,"",AVERAGE(D183:G183,Z184:AG184))</f>
        <v>53.805555555555564</v>
      </c>
      <c r="H184" s="257">
        <f>IF(H183=0,"",AVERAGE(D183:H183,AA184:AG184))</f>
        <v>53.784722222222229</v>
      </c>
      <c r="I184" s="257">
        <f>IF(I183=0,"",AVERAGE(D183:I183,AB184:AG184))</f>
        <v>55.472222222222229</v>
      </c>
      <c r="J184" s="257">
        <f>IF(J183=0,"",AVERAGE(D183:J183,AC184:AG184))</f>
        <v>56.555555555555564</v>
      </c>
      <c r="K184" s="257">
        <f>IF(K183=0,"",AVERAGE(D183:K183,AD184:AG184))</f>
        <v>56.555555555555564</v>
      </c>
      <c r="L184" s="257">
        <f>IF(L183=0,"",AVERAGE(D183:L183,AE184:AG184))</f>
        <v>56.5</v>
      </c>
      <c r="M184" s="257">
        <f>IF(M183=0,"",AVERAGE(D183:M183,AF184:AG184))</f>
        <v>55.716666666666661</v>
      </c>
      <c r="N184" s="257">
        <f>IF(N183=0,"",AVERAGE(D183:N183,AG184))</f>
        <v>47.42499999999999</v>
      </c>
      <c r="O184" s="257">
        <f>IF(O183=0,"",AVERAGE(D183:O183))</f>
        <v>49.966666666666661</v>
      </c>
      <c r="P184" s="257"/>
      <c r="Q184" s="257"/>
      <c r="R184" s="257"/>
      <c r="S184" s="257"/>
      <c r="T184" s="293"/>
      <c r="U184" s="259">
        <f>COUNT('Weekly Data'!E184:BC184)</f>
        <v>0</v>
      </c>
      <c r="V184" s="257">
        <v>143.80000000000001</v>
      </c>
      <c r="W184" s="257">
        <v>153.5</v>
      </c>
      <c r="X184" s="257">
        <v>90.5</v>
      </c>
      <c r="Y184" s="257">
        <v>31.5</v>
      </c>
      <c r="Z184" s="257">
        <v>28</v>
      </c>
      <c r="AA184" s="257">
        <v>15</v>
      </c>
      <c r="AB184" s="257">
        <v>25</v>
      </c>
      <c r="AC184" s="257">
        <v>14</v>
      </c>
      <c r="AD184" s="257">
        <v>11.666666666666666</v>
      </c>
      <c r="AE184" s="257">
        <v>19.600000000000001</v>
      </c>
      <c r="AF184" s="257">
        <v>135.25</v>
      </c>
      <c r="AG184" s="257">
        <v>85</v>
      </c>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row>
    <row r="185" spans="1:256">
      <c r="A185" s="1"/>
      <c r="B185" s="258" t="str">
        <f>'Weekly Data'!A185</f>
        <v>Aluminum (particulate)</v>
      </c>
      <c r="C185" s="257" t="str">
        <f>'Weekly Data'!B185</f>
        <v>µg/L (Calc)</v>
      </c>
      <c r="D185" s="257">
        <f>IF(COUNT('Weekly Data'!E185:I185)=0,"",IF(AVERAGE('Weekly Data'!E185:I185)&lt;5.5,"&lt;6",AVERAGE('Weekly Data'!E185:I185)))</f>
        <v>49.4</v>
      </c>
      <c r="E185" s="257">
        <f>IF(COUNT('Weekly Data'!J185:M185)=0,"",IF(AVERAGE('Weekly Data'!J185:M185)&lt;5.5,"&lt;6",AVERAGE('Weekly Data'!J185:M185)))</f>
        <v>41</v>
      </c>
      <c r="F185" s="257">
        <f>IF(COUNT('Weekly Data'!N185:Q185)=0,"",IF(AVERAGE('Weekly Data'!N185:Q185)&lt;5.5,"&lt;6",AVERAGE('Weekly Data'!N185:Q185)))</f>
        <v>25.25</v>
      </c>
      <c r="G185" s="257">
        <f>IF(COUNT('Weekly Data'!R185:V185)=0,"",IF(AVERAGE('Weekly Data'!R185:V185)&lt;5.5,"&lt;6",AVERAGE('Weekly Data'!R185:V185)))</f>
        <v>15.5</v>
      </c>
      <c r="H185" s="257" t="str">
        <f>IF(COUNT('Weekly Data'!W185:Z185)=0,"",IF(AVERAGE('Weekly Data'!W185:Z185)&lt;5.5,"&lt;6",AVERAGE('Weekly Data'!W185:Z185)))</f>
        <v>&lt;6</v>
      </c>
      <c r="I185" s="257">
        <f>IF(COUNT('Weekly Data'!AA185:AD185)=0,"",IF(AVERAGE('Weekly Data'!AA185:AD185)&lt;5.5,"&lt;6",AVERAGE('Weekly Data'!AA185:AD185)))</f>
        <v>7.5</v>
      </c>
      <c r="J185" s="257">
        <f>IF(COUNT('Weekly Data'!AE185:AI185)=0,"",IF(AVERAGE('Weekly Data'!AE185:AI185)&lt;5.5,"&lt;6",AVERAGE('Weekly Data'!AE185:AI185)))</f>
        <v>6.75</v>
      </c>
      <c r="K185" s="257" t="str">
        <f>IF(COUNT('Weekly Data'!AJ185:AM185)=0,"",IF(AVERAGE('Weekly Data'!AJ185:AM185)&lt;5.5,"&lt;6",AVERAGE('Weekly Data'!AJ185:AM185)))</f>
        <v>&lt;6</v>
      </c>
      <c r="L185" s="257" t="str">
        <f>IF(COUNT('Weekly Data'!AN185:AQ185)=0,"",IF(AVERAGE('Weekly Data'!AN185:AQ185)&lt;5.5,"&lt;6",AVERAGE('Weekly Data'!AN185:AQ185)))</f>
        <v>&lt;6</v>
      </c>
      <c r="M185" s="257" t="str">
        <f>IF(COUNT('Weekly Data'!AR185:AV185)=0,"",IF(AVERAGE('Weekly Data'!AR185:AV185)&lt;5.5,"&lt;6",AVERAGE('Weekly Data'!AR185:AV185)))</f>
        <v>&lt;6</v>
      </c>
      <c r="N185" s="257">
        <f>IF(COUNT('Weekly Data'!AW185:AZ185)=0,"",IF(AVERAGE('Weekly Data'!AW185:AZ185)&lt;5.5,"&lt;6",AVERAGE('Weekly Data'!AW185:AZ185)))</f>
        <v>17</v>
      </c>
      <c r="O185" s="257">
        <f>IF(COUNT('Weekly Data'!BA185:BD185)=0,"",IF(AVERAGE('Weekly Data'!BA185:BD185)&lt;5.5,"&lt;6",AVERAGE('Weekly Data'!BA185:BD185)))</f>
        <v>77.666666666666671</v>
      </c>
      <c r="P185" s="257"/>
      <c r="Q185" s="257">
        <f>IF(COUNT('Weekly Data'!E185:BD185)=0,"",IF(AVERAGE('Weekly Data'!E185:BD185)&lt;5.5,"&lt;6",AVERAGE('Weekly Data'!E185:BD185)))</f>
        <v>18.913043478260871</v>
      </c>
      <c r="R185" s="257" t="str">
        <f>IF(COUNT('Weekly Data'!E185:BD185)=0,"",IF(MIN('Weekly Data'!E185:BD185)&lt;5.5,"&lt;6",MIN('Weekly Data'!E185:BD185)))</f>
        <v>&lt;6</v>
      </c>
      <c r="S185" s="257">
        <f>IF(COUNT('Weekly Data'!E185:BD185)=0,"",IF(MAX('Weekly Data'!E185:BD185)&lt;5.5,"&lt;6",MAX('Weekly Data'!E185:BD185)))</f>
        <v>106</v>
      </c>
      <c r="T185" s="293"/>
      <c r="U185" s="259">
        <f>COUNT('Weekly Data'!E185:BC185)</f>
        <v>46</v>
      </c>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row>
    <row r="186" spans="1:256">
      <c r="A186" s="1"/>
      <c r="B186" s="245" t="str">
        <f>'Weekly Data'!A186</f>
        <v>Mixed Media Filter 1</v>
      </c>
      <c r="C186" s="257"/>
      <c r="D186" s="257"/>
      <c r="E186" s="257"/>
      <c r="F186" s="257"/>
      <c r="G186" s="257"/>
      <c r="H186" s="257"/>
      <c r="I186" s="257"/>
      <c r="J186" s="257"/>
      <c r="K186" s="257"/>
      <c r="L186" s="257"/>
      <c r="M186" s="257"/>
      <c r="N186" s="257"/>
      <c r="O186" s="257"/>
      <c r="P186" s="257"/>
      <c r="Q186" s="257"/>
      <c r="R186" s="257"/>
      <c r="S186" s="257"/>
      <c r="T186" s="293"/>
      <c r="U186" s="259">
        <f>COUNT('Weekly Data'!E186:BC186)</f>
        <v>0</v>
      </c>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row>
    <row r="187" spans="1:256">
      <c r="A187" s="1"/>
      <c r="B187" s="258" t="str">
        <f>'Weekly Data'!A187</f>
        <v>Aluminum (total)</v>
      </c>
      <c r="C187" s="257" t="str">
        <f>'Weekly Data'!B187</f>
        <v>µg/L</v>
      </c>
      <c r="D187" s="257">
        <f>IF(COUNT('Weekly Data'!E187:I187)=0,"",IF(AVERAGE('Weekly Data'!E187:I187)&lt;5.5,"&lt;6",AVERAGE('Weekly Data'!E187:I187)))</f>
        <v>135</v>
      </c>
      <c r="E187" s="257">
        <f>IF(COUNT('Weekly Data'!J187:M187)=0,"",IF(AVERAGE('Weekly Data'!J187:M187)&lt;5.5,"&lt;6",AVERAGE('Weekly Data'!J187:M187)))</f>
        <v>133</v>
      </c>
      <c r="F187" s="257">
        <f>IF(COUNT('Weekly Data'!N187:Q187)=0,"",IF(AVERAGE('Weekly Data'!N187:Q187)&lt;5.5,"&lt;6",AVERAGE('Weekly Data'!N187:Q187)))</f>
        <v>98.333333333333329</v>
      </c>
      <c r="G187" s="257" t="str">
        <f>IF(COUNT('Weekly Data'!R187:V187)=0,"",IF(AVERAGE('Weekly Data'!R187:V187)&lt;5.5,"&lt;6",AVERAGE('Weekly Data'!R187:V187)))</f>
        <v/>
      </c>
      <c r="H187" s="257">
        <f>IF(COUNT('Weekly Data'!W187:Z187)=0,"",IF(AVERAGE('Weekly Data'!W187:Z187)&lt;5.5,"&lt;6",AVERAGE('Weekly Data'!W187:Z187)))</f>
        <v>43.5</v>
      </c>
      <c r="I187" s="257">
        <f>IF(COUNT('Weekly Data'!AA187:AD187)=0,"",IF(AVERAGE('Weekly Data'!AA187:AD187)&lt;5.5,"&lt;6",AVERAGE('Weekly Data'!AA187:AD187)))</f>
        <v>42</v>
      </c>
      <c r="J187" s="257">
        <f>IF(COUNT('Weekly Data'!AE187:AI187)=0,"",IF(AVERAGE('Weekly Data'!AE187:AI187)&lt;5.5,"&lt;6",AVERAGE('Weekly Data'!AE187:AI187)))</f>
        <v>60.5</v>
      </c>
      <c r="K187" s="257">
        <f>IF(COUNT('Weekly Data'!AJ187:AM187)=0,"",IF(AVERAGE('Weekly Data'!AJ187:AM187)&lt;5.5,"&lt;6",AVERAGE('Weekly Data'!AJ187:AM187)))</f>
        <v>41.666666666666664</v>
      </c>
      <c r="L187" s="257">
        <f>IF(COUNT('Weekly Data'!AN187:AQ187)=0,"",IF(AVERAGE('Weekly Data'!AN187:AQ187)&lt;5.5,"&lt;6",AVERAGE('Weekly Data'!AN187:AQ187)))</f>
        <v>26</v>
      </c>
      <c r="M187" s="257">
        <f>IF(COUNT('Weekly Data'!AR187:AV187)=0,"",IF(AVERAGE('Weekly Data'!AR187:AV187)&lt;5.5,"&lt;6",AVERAGE('Weekly Data'!AR187:AV187)))</f>
        <v>61</v>
      </c>
      <c r="N187" s="257">
        <f>IF(COUNT('Weekly Data'!AW187:AZ187)=0,"",IF(AVERAGE('Weekly Data'!AW187:AZ187)&lt;5.5,"&lt;6",AVERAGE('Weekly Data'!AW187:AZ187)))</f>
        <v>74.25</v>
      </c>
      <c r="O187" s="257">
        <f>IF(COUNT('Weekly Data'!BA187:BD187)=0,"",IF(AVERAGE('Weekly Data'!BA187:BD187)&lt;5.5,"&lt;6",AVERAGE('Weekly Data'!BA187:BD187)))</f>
        <v>145</v>
      </c>
      <c r="P187" s="257"/>
      <c r="Q187" s="257">
        <f>IF(COUNT('Weekly Data'!E187:BD187)=0,"",IF(AVERAGE('Weekly Data'!E187:BD187)&lt;5.5,"&lt;6",AVERAGE('Weekly Data'!E187:BD187)))</f>
        <v>77.794871794871796</v>
      </c>
      <c r="R187" s="257">
        <f>IF(COUNT('Weekly Data'!E187:BD187)=0,"",IF(MIN('Weekly Data'!E187:BD187)&lt;5.5,"&lt;6",MIN('Weekly Data'!E187:BD187)))</f>
        <v>26</v>
      </c>
      <c r="S187" s="257">
        <f>IF(COUNT('Weekly Data'!E187:BD187)=0,"",IF(MAX('Weekly Data'!E187:BD187)&lt;5.5,"&lt;6",MAX('Weekly Data'!E187:BD187)))</f>
        <v>207</v>
      </c>
      <c r="T187" s="293"/>
      <c r="U187" s="259">
        <f>COUNT('Weekly Data'!E187:BC187)</f>
        <v>39</v>
      </c>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row>
    <row r="188" spans="1:256">
      <c r="A188" s="1"/>
      <c r="B188" s="245" t="str">
        <f>'Weekly Data'!A188</f>
        <v>Mixed Media Filter 12</v>
      </c>
      <c r="C188" s="257"/>
      <c r="D188" s="257"/>
      <c r="E188" s="257"/>
      <c r="F188" s="257"/>
      <c r="G188" s="257"/>
      <c r="H188" s="257"/>
      <c r="I188" s="257"/>
      <c r="J188" s="257"/>
      <c r="K188" s="257"/>
      <c r="L188" s="257"/>
      <c r="M188" s="257"/>
      <c r="N188" s="257"/>
      <c r="O188" s="257"/>
      <c r="P188" s="257"/>
      <c r="Q188" s="257"/>
      <c r="R188" s="257"/>
      <c r="S188" s="257"/>
      <c r="T188" s="293"/>
      <c r="U188" s="259">
        <f>COUNT('Weekly Data'!E188:BC188)</f>
        <v>0</v>
      </c>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row>
    <row r="189" spans="1:256">
      <c r="A189" s="1"/>
      <c r="B189" s="258" t="str">
        <f>'Weekly Data'!A189</f>
        <v>Aluminum (total)</v>
      </c>
      <c r="C189" s="257" t="str">
        <f>'Weekly Data'!B189</f>
        <v>µg/L</v>
      </c>
      <c r="D189" s="257">
        <f>IF(COUNT('Weekly Data'!E189:I189)=0,"",IF(AVERAGE('Weekly Data'!E189:I189)&lt;5.5,"&lt;6",AVERAGE('Weekly Data'!E189:I189)))</f>
        <v>82.8</v>
      </c>
      <c r="E189" s="257">
        <f>IF(COUNT('Weekly Data'!J189:M189)=0,"",IF(AVERAGE('Weekly Data'!J189:M189)&lt;5.5,"&lt;6",AVERAGE('Weekly Data'!J189:M189)))</f>
        <v>83.5</v>
      </c>
      <c r="F189" s="257">
        <f>IF(COUNT('Weekly Data'!N189:Q189)=0,"",IF(AVERAGE('Weekly Data'!N189:Q189)&lt;5.5,"&lt;6",AVERAGE('Weekly Data'!N189:Q189)))</f>
        <v>62</v>
      </c>
      <c r="G189" s="257">
        <f>IF(COUNT('Weekly Data'!R189:V189)=0,"",IF(AVERAGE('Weekly Data'!R189:V189)&lt;5.5,"&lt;6",AVERAGE('Weekly Data'!R189:V189)))</f>
        <v>24.333333333333332</v>
      </c>
      <c r="H189" s="257">
        <f>IF(COUNT('Weekly Data'!W189:Z189)=0,"",IF(AVERAGE('Weekly Data'!W189:Z189)&lt;5.5,"&lt;6",AVERAGE('Weekly Data'!W189:Z189)))</f>
        <v>23.5</v>
      </c>
      <c r="I189" s="257">
        <f>IF(COUNT('Weekly Data'!AA189:AD189)=0,"",IF(AVERAGE('Weekly Data'!AA189:AD189)&lt;5.5,"&lt;6",AVERAGE('Weekly Data'!AA189:AD189)))</f>
        <v>30.333333333333332</v>
      </c>
      <c r="J189" s="257">
        <f>IF(COUNT('Weekly Data'!AE189:AI189)=0,"",IF(AVERAGE('Weekly Data'!AE189:AI189)&lt;5.5,"&lt;6",AVERAGE('Weekly Data'!AE189:AI189)))</f>
        <v>72</v>
      </c>
      <c r="K189" s="257">
        <f>IF(COUNT('Weekly Data'!AJ189:AM189)=0,"",IF(AVERAGE('Weekly Data'!AJ189:AM189)&lt;5.5,"&lt;6",AVERAGE('Weekly Data'!AJ189:AM189)))</f>
        <v>31.25</v>
      </c>
      <c r="L189" s="257">
        <f>IF(COUNT('Weekly Data'!AN189:AQ189)=0,"",IF(AVERAGE('Weekly Data'!AN189:AQ189)&lt;5.5,"&lt;6",AVERAGE('Weekly Data'!AN189:AQ189)))</f>
        <v>24.75</v>
      </c>
      <c r="M189" s="257">
        <f>IF(COUNT('Weekly Data'!AR189:AV189)=0,"",IF(AVERAGE('Weekly Data'!AR189:AV189)&lt;5.5,"&lt;6",AVERAGE('Weekly Data'!AR189:AV189)))</f>
        <v>36.200000000000003</v>
      </c>
      <c r="N189" s="257">
        <f>IF(COUNT('Weekly Data'!AW189:AZ189)=0,"",IF(AVERAGE('Weekly Data'!AW189:AZ189)&lt;5.5,"&lt;6",AVERAGE('Weekly Data'!AW189:AZ189)))</f>
        <v>51.75</v>
      </c>
      <c r="O189" s="257">
        <f>IF(COUNT('Weekly Data'!BA189:BD189)=0,"",IF(AVERAGE('Weekly Data'!BA189:BD189)&lt;5.5,"&lt;6",AVERAGE('Weekly Data'!BA189:BD189)))</f>
        <v>66</v>
      </c>
      <c r="P189" s="257"/>
      <c r="Q189" s="257">
        <f>IF(COUNT('Weekly Data'!E189:BD189)=0,"",IF(AVERAGE('Weekly Data'!E189:BD189)&lt;5.5,"&lt;6",AVERAGE('Weekly Data'!E189:BD189)))</f>
        <v>48.555555555555557</v>
      </c>
      <c r="R189" s="257">
        <f>IF(COUNT('Weekly Data'!E189:BD189)=0,"",IF(MIN('Weekly Data'!E189:BD189)&lt;5.5,"&lt;6",MIN('Weekly Data'!E189:BD189)))</f>
        <v>11</v>
      </c>
      <c r="S189" s="257">
        <f>IF(COUNT('Weekly Data'!E189:BD189)=0,"",IF(MAX('Weekly Data'!E189:BD189)&lt;5.5,"&lt;6",MAX('Weekly Data'!E189:BD189)))</f>
        <v>143</v>
      </c>
      <c r="T189" s="293"/>
      <c r="U189" s="259">
        <f>COUNT('Weekly Data'!E189:BC189)</f>
        <v>45</v>
      </c>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row>
    <row r="190" spans="1:256">
      <c r="A190" s="1"/>
      <c r="B190" s="245" t="s">
        <v>354</v>
      </c>
      <c r="C190" s="257"/>
      <c r="D190" s="257"/>
      <c r="E190" s="257"/>
      <c r="F190" s="257"/>
      <c r="G190" s="257"/>
      <c r="H190" s="257"/>
      <c r="I190" s="257"/>
      <c r="J190" s="257"/>
      <c r="K190" s="257"/>
      <c r="L190" s="257"/>
      <c r="M190" s="257"/>
      <c r="N190" s="257"/>
      <c r="O190" s="257"/>
      <c r="P190" s="257"/>
      <c r="Q190" s="257"/>
      <c r="R190" s="257"/>
      <c r="S190" s="257"/>
      <c r="T190" s="293"/>
      <c r="U190" s="259">
        <f>COUNT('Weekly Data'!E190:BC190)</f>
        <v>0</v>
      </c>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row>
    <row r="191" spans="1:256">
      <c r="A191" s="1"/>
      <c r="B191" s="258" t="str">
        <f>'Weekly Data'!A191</f>
        <v>Aluminum (dissolved)</v>
      </c>
      <c r="C191" s="257" t="str">
        <f>'Weekly Data'!B191</f>
        <v>µg/L</v>
      </c>
      <c r="D191" s="257" t="str">
        <f>IF(COUNT('Weekly Data'!E191:I191)=0,"",IF(AVERAGE('Weekly Data'!E191:I191)&lt;5.5,"&lt;6",AVERAGE('Weekly Data'!E191:I191)))</f>
        <v/>
      </c>
      <c r="E191" s="257" t="str">
        <f>IF(COUNT('Weekly Data'!J191:M191)=0,"",IF(AVERAGE('Weekly Data'!J191:M191)&lt;5.5,"&lt;6",AVERAGE('Weekly Data'!J191:M191)))</f>
        <v/>
      </c>
      <c r="F191" s="257" t="str">
        <f>IF(COUNT('Weekly Data'!N191:Q191)=0,"",IF(AVERAGE('Weekly Data'!N191:Q191)&lt;5.5,"&lt;6",AVERAGE('Weekly Data'!N191:Q191)))</f>
        <v/>
      </c>
      <c r="G191" s="257" t="str">
        <f>IF(COUNT('Weekly Data'!R191:V191)=0,"",IF(AVERAGE('Weekly Data'!R191:V191)&lt;5.5,"&lt;6",AVERAGE('Weekly Data'!R191:V191)))</f>
        <v/>
      </c>
      <c r="H191" s="257" t="str">
        <f>IF(COUNT('Weekly Data'!W191:Z191)=0,"",IF(AVERAGE('Weekly Data'!W191:Z191)&lt;5.5,"&lt;6",AVERAGE('Weekly Data'!W191:Z191)))</f>
        <v/>
      </c>
      <c r="I191" s="257">
        <f>IF(COUNT('Weekly Data'!AA191:AD191)=0,"",IF(AVERAGE('Weekly Data'!AA191:AD191)&lt;5.5,"&lt;6",AVERAGE('Weekly Data'!AA191:AD191)))</f>
        <v>38.5</v>
      </c>
      <c r="J191" s="257">
        <f>IF(COUNT('Weekly Data'!AE191:AI191)=0,"",IF(AVERAGE('Weekly Data'!AE191:AI191)&lt;5.5,"&lt;6",AVERAGE('Weekly Data'!AE191:AI191)))</f>
        <v>57</v>
      </c>
      <c r="K191" s="257">
        <f>IF(COUNT('Weekly Data'!AJ191:AM191)=0,"",IF(AVERAGE('Weekly Data'!AJ191:AM191)&lt;5.5,"&lt;6",AVERAGE('Weekly Data'!AJ191:AM191)))</f>
        <v>25.5</v>
      </c>
      <c r="L191" s="257">
        <f>IF(COUNT('Weekly Data'!AN191:AQ191)=0,"",IF(AVERAGE('Weekly Data'!AN191:AQ191)&lt;5.5,"&lt;6",AVERAGE('Weekly Data'!AN191:AQ191)))</f>
        <v>19.25</v>
      </c>
      <c r="M191" s="257">
        <f>IF(COUNT('Weekly Data'!AR191:AV191)=0,"",IF(AVERAGE('Weekly Data'!AR191:AV191)&lt;5.5,"&lt;6",AVERAGE('Weekly Data'!AR191:AV191)))</f>
        <v>29.2</v>
      </c>
      <c r="N191" s="257">
        <f>IF(COUNT('Weekly Data'!AW191:AZ191)=0,"",IF(AVERAGE('Weekly Data'!AW191:AZ191)&lt;5.5,"&lt;6",AVERAGE('Weekly Data'!AW191:AZ191)))</f>
        <v>41</v>
      </c>
      <c r="O191" s="257" t="str">
        <f>IF(COUNT('Weekly Data'!BA191:BD191)=0,"",IF(AVERAGE('Weekly Data'!BA191:BD191)&lt;5.5,"&lt;6",AVERAGE('Weekly Data'!BA191:BD191)))</f>
        <v/>
      </c>
      <c r="P191" s="257"/>
      <c r="Q191" s="257">
        <f>IF(COUNT('Weekly Data'!E191:BD191)=0,"",IF(AVERAGE('Weekly Data'!E191:BD191)&lt;5.5,"&lt;6",AVERAGE('Weekly Data'!E191:BD191)))</f>
        <v>34.583333333333336</v>
      </c>
      <c r="R191" s="257">
        <f>IF(COUNT('Weekly Data'!E191:BD191)=0,"",IF(MIN('Weekly Data'!E191:BD191)&lt;5.5,"&lt;6",MIN('Weekly Data'!E191:BD191)))</f>
        <v>18</v>
      </c>
      <c r="S191" s="257">
        <f>IF(COUNT('Weekly Data'!E191:BD191)=0,"",IF(MAX('Weekly Data'!E191:BD191)&lt;5.5,"&lt;6",MAX('Weekly Data'!E191:BD191)))</f>
        <v>120</v>
      </c>
      <c r="T191" s="293"/>
      <c r="U191" s="259">
        <f>COUNT('Weekly Data'!E191:BC191)</f>
        <v>24</v>
      </c>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row>
    <row r="192" spans="1:256">
      <c r="A192" s="1"/>
      <c r="B192" s="258" t="str">
        <f>'Weekly Data'!A192</f>
        <v>Aluminum (total)</v>
      </c>
      <c r="C192" s="257" t="str">
        <f>'Weekly Data'!B192</f>
        <v>µg/L Chart</v>
      </c>
      <c r="D192" s="257" t="str">
        <f>IF(COUNT('Weekly Data'!E192:I192)=0,"",IF(AVERAGE('Weekly Data'!E192:I192)&lt;5.5,"&lt;6",AVERAGE('Weekly Data'!E192:I192)))</f>
        <v/>
      </c>
      <c r="E192" s="257" t="str">
        <f>IF(COUNT('Weekly Data'!J192:M192)=0,"",IF(AVERAGE('Weekly Data'!J192:M192)&lt;5.5,"&lt;6",AVERAGE('Weekly Data'!J192:M192)))</f>
        <v/>
      </c>
      <c r="F192" s="257" t="str">
        <f>IF(COUNT('Weekly Data'!N192:Q192)=0,"",IF(AVERAGE('Weekly Data'!N192:Q192)&lt;5.5,"&lt;6",AVERAGE('Weekly Data'!N192:Q192)))</f>
        <v/>
      </c>
      <c r="G192" s="257" t="str">
        <f>IF(COUNT('Weekly Data'!R192:V192)=0,"",IF(AVERAGE('Weekly Data'!R192:V192)&lt;5.5,"&lt;6",AVERAGE('Weekly Data'!R192:V192)))</f>
        <v/>
      </c>
      <c r="H192" s="257" t="str">
        <f>IF(COUNT('Weekly Data'!W192:Z192)=0,"",IF(AVERAGE('Weekly Data'!W192:Z192)&lt;5.5,"&lt;6",AVERAGE('Weekly Data'!W192:Z192)))</f>
        <v/>
      </c>
      <c r="I192" s="257">
        <f>IF(COUNT('Weekly Data'!AA192:AD192)=0,"",IF(AVERAGE('Weekly Data'!AA192:AD192)&lt;5.5,"&lt;6",AVERAGE('Weekly Data'!AA192:AD192)))</f>
        <v>41.75</v>
      </c>
      <c r="J192" s="257">
        <f>IF(COUNT('Weekly Data'!AE192:AI192)=0,"",IF(AVERAGE('Weekly Data'!AE192:AI192)&lt;5.5,"&lt;6",AVERAGE('Weekly Data'!AE192:AI192)))</f>
        <v>64</v>
      </c>
      <c r="K192" s="257">
        <f>IF(COUNT('Weekly Data'!AJ192:AM192)=0,"",IF(AVERAGE('Weekly Data'!AJ192:AM192)&lt;5.5,"&lt;6",AVERAGE('Weekly Data'!AJ192:AM192)))</f>
        <v>31.25</v>
      </c>
      <c r="L192" s="257">
        <f>IF(COUNT('Weekly Data'!AN192:AQ192)=0,"",IF(AVERAGE('Weekly Data'!AN192:AQ192)&lt;5.5,"&lt;6",AVERAGE('Weekly Data'!AN192:AQ192)))</f>
        <v>26.5</v>
      </c>
      <c r="M192" s="257">
        <f>IF(COUNT('Weekly Data'!AR192:AV192)=0,"",IF(AVERAGE('Weekly Data'!AR192:AV192)&lt;5.5,"&lt;6",AVERAGE('Weekly Data'!AR192:AV192)))</f>
        <v>54</v>
      </c>
      <c r="N192" s="257">
        <f>IF(COUNT('Weekly Data'!AW192:AZ192)=0,"",IF(AVERAGE('Weekly Data'!AW192:AZ192)&lt;5.5,"&lt;6",AVERAGE('Weekly Data'!AW192:AZ192)))</f>
        <v>58.666666666666664</v>
      </c>
      <c r="O192" s="257" t="str">
        <f>IF(COUNT('Weekly Data'!BA192:BD192)=0,"",IF(AVERAGE('Weekly Data'!BA192:BD192)&lt;5.5,"&lt;6",AVERAGE('Weekly Data'!BA192:BD192)))</f>
        <v/>
      </c>
      <c r="P192" s="257"/>
      <c r="Q192" s="257">
        <f>IF(COUNT('Weekly Data'!E192:BD192)=0,"",IF(AVERAGE('Weekly Data'!E192:BD192)&lt;5.5,"&lt;6",AVERAGE('Weekly Data'!E192:BD192)))</f>
        <v>45.833333333333336</v>
      </c>
      <c r="R192" s="257">
        <f>IF(COUNT('Weekly Data'!E192:BD192)=0,"",IF(MIN('Weekly Data'!E192:BD192)&lt;5.5,"&lt;6",MIN('Weekly Data'!E192:BD192)))</f>
        <v>22</v>
      </c>
      <c r="S192" s="257">
        <f>IF(COUNT('Weekly Data'!E192:BD192)=0,"",IF(MAX('Weekly Data'!E192:BD192)&lt;5.5,"&lt;6",MAX('Weekly Data'!E192:BD192)))</f>
        <v>131</v>
      </c>
      <c r="T192" s="293"/>
      <c r="U192" s="259">
        <f>COUNT('Weekly Data'!E192:BC192)</f>
        <v>24</v>
      </c>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row>
    <row r="193" spans="1:256">
      <c r="A193" s="1"/>
      <c r="B193" s="258"/>
      <c r="C193" s="257"/>
      <c r="D193" s="257"/>
      <c r="E193" s="257"/>
      <c r="F193" s="257"/>
      <c r="G193" s="257"/>
      <c r="H193" s="257"/>
      <c r="I193" s="257"/>
      <c r="J193" s="257"/>
      <c r="K193" s="257"/>
      <c r="L193" s="257"/>
      <c r="M193" s="257"/>
      <c r="N193" s="257"/>
      <c r="O193" s="257"/>
      <c r="P193" s="257"/>
      <c r="Q193" s="257"/>
      <c r="R193" s="257"/>
      <c r="S193" s="257"/>
      <c r="T193" s="293"/>
      <c r="U193" s="259">
        <f>COUNT('Weekly Data'!E193:BC193)</f>
        <v>46</v>
      </c>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row>
    <row r="194" spans="1:256">
      <c r="A194" s="1"/>
      <c r="B194" s="258" t="str">
        <f>'Weekly Data'!A194</f>
        <v>Ammonia N</v>
      </c>
      <c r="C194" s="257" t="str">
        <f>'Weekly Data'!B194</f>
        <v>mg/L N</v>
      </c>
      <c r="D194" s="263" t="str">
        <f>IF(COUNT('Weekly Data'!E194:I194)=0,"",IF(AVERAGE('Weekly Data'!E194:I194)&lt;0.035,"&lt;0.04",AVERAGE('Weekly Data'!E194:I194)))</f>
        <v>&lt;0.04</v>
      </c>
      <c r="E194" s="263" t="str">
        <f>IF(COUNT('Weekly Data'!J194:M194)=0,"",IF(AVERAGE('Weekly Data'!J194:M194)&lt;0.035,"&lt;0.04",AVERAGE('Weekly Data'!J194:M194)))</f>
        <v>&lt;0.04</v>
      </c>
      <c r="F194" s="263" t="str">
        <f>IF(COUNT('Weekly Data'!N194:Q194)=0,"",IF(AVERAGE('Weekly Data'!N194:Q194)&lt;0.035,"&lt;0.04",AVERAGE('Weekly Data'!N194:Q194)))</f>
        <v>&lt;0.04</v>
      </c>
      <c r="G194" s="263" t="str">
        <f>IF(COUNT('Weekly Data'!R194:V194)=0,"",IF(AVERAGE('Weekly Data'!R194:V194)&lt;0.035,"&lt;0.04",AVERAGE('Weekly Data'!R194:V194)))</f>
        <v>&lt;0.04</v>
      </c>
      <c r="H194" s="263">
        <f>IF(COUNT('Weekly Data'!W194:Z194)=0,"",IF(AVERAGE('Weekly Data'!W194:Z194)&lt;0.035,"&lt;0.04",AVERAGE('Weekly Data'!W194:Z194)))</f>
        <v>0.04</v>
      </c>
      <c r="I194" s="263" t="str">
        <f>IF(COUNT('Weekly Data'!AA194:AD194)=0,"",IF(AVERAGE('Weekly Data'!AA194:AD194)&lt;0.035,"&lt;0.04",AVERAGE('Weekly Data'!AA194:AD194)))</f>
        <v>&lt;0.04</v>
      </c>
      <c r="J194" s="263">
        <f>IF(COUNT('Weekly Data'!AE194:AI194)=0,"",IF(AVERAGE('Weekly Data'!AE194:AI194)&lt;0.035,"&lt;0.04",AVERAGE('Weekly Data'!AE194:AI194)))</f>
        <v>5.7999999999999996E-2</v>
      </c>
      <c r="K194" s="263">
        <f>IF(COUNT('Weekly Data'!AJ194:AM194)=0,"",IF(AVERAGE('Weekly Data'!AJ194:AM194)&lt;0.035,"&lt;0.04",AVERAGE('Weekly Data'!AJ194:AM194)))</f>
        <v>3.7499999999999999E-2</v>
      </c>
      <c r="L194" s="263">
        <f>IF(COUNT('Weekly Data'!AN194:AQ194)=0,"",IF(AVERAGE('Weekly Data'!AN194:AQ194)&lt;0.035,"&lt;0.04",AVERAGE('Weekly Data'!AN194:AQ194)))</f>
        <v>5.7500000000000002E-2</v>
      </c>
      <c r="M194" s="263">
        <f>IF(COUNT('Weekly Data'!AR194:AV194)=0,"",IF(AVERAGE('Weekly Data'!AR194:AV194)&lt;0.035,"&lt;0.04",AVERAGE('Weekly Data'!AR194:AV194)))</f>
        <v>8.2000000000000003E-2</v>
      </c>
      <c r="N194" s="263">
        <f>IF(COUNT('Weekly Data'!AW194:AZ194)=0,"",IF(AVERAGE('Weekly Data'!AW194:AZ194)&lt;0.035,"&lt;0.04",AVERAGE('Weekly Data'!AW194:AZ194)))</f>
        <v>6.7500000000000004E-2</v>
      </c>
      <c r="O194" s="263">
        <f>IF(COUNT('Weekly Data'!BA194:BD194)=0,"",IF(AVERAGE('Weekly Data'!BA194:BD194)&lt;0.035,"&lt;0.04",AVERAGE('Weekly Data'!BA194:BD194)))</f>
        <v>5.3333333333333337E-2</v>
      </c>
      <c r="P194" s="263"/>
      <c r="Q194" s="263">
        <f>IF(COUNT('Weekly Data'!E194:BD194)=0,"",IF(AVERAGE('Weekly Data'!E194:BD194)&lt;0.035,"&lt;0.04",AVERAGE('Weekly Data'!E194:BD194)))</f>
        <v>4.395348837209305E-2</v>
      </c>
      <c r="R194" s="263" t="str">
        <f>IF(COUNT('Weekly Data'!E194:BD194)=0,"",IF(MIN('Weekly Data'!E194:BD194)&lt;0.035,"&lt;0.04",MIN('Weekly Data'!E194:BD194)))</f>
        <v>&lt;0.04</v>
      </c>
      <c r="S194" s="263">
        <f>IF(COUNT('Weekly Data'!E194:BD194)=0,"",IF(MAX('Weekly Data'!E194:BD194)&lt;0.035,"&lt;0.04",MAX('Weekly Data'!E194:BD194)))</f>
        <v>0.13</v>
      </c>
      <c r="T194" s="293"/>
      <c r="U194" s="259">
        <f>COUNT('Weekly Data'!E194:BC194)</f>
        <v>43</v>
      </c>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row>
    <row r="195" spans="1:256">
      <c r="A195" s="1"/>
      <c r="B195" s="258" t="str">
        <f>'Weekly Data'!A195</f>
        <v>Bromide</v>
      </c>
      <c r="C195" s="257" t="str">
        <f>'Weekly Data'!B195</f>
        <v>mg/L</v>
      </c>
      <c r="D195" s="263" t="str">
        <f>IF(COUNT('Weekly Data'!E195:I195)=0,"",IF(AVERAGE('Weekly Data'!E195:I195)&lt;0.055,"&lt;0.06",AVERAGE('Weekly Data'!E195:I195)))</f>
        <v>&lt;0.06</v>
      </c>
      <c r="E195" s="263" t="str">
        <f>IF(COUNT('Weekly Data'!J195:M195)=0,"",IF(AVERAGE('Weekly Data'!J195:M195)&lt;0.055,"&lt;0.06",AVERAGE('Weekly Data'!J195:M195)))</f>
        <v>&lt;0.06</v>
      </c>
      <c r="F195" s="263" t="str">
        <f>IF(COUNT('Weekly Data'!N195:Q195)=0,"",IF(AVERAGE('Weekly Data'!N195:Q195)&lt;0.055,"&lt;0.06",AVERAGE('Weekly Data'!N195:Q195)))</f>
        <v>&lt;0.06</v>
      </c>
      <c r="G195" s="263" t="str">
        <f>IF(COUNT('Weekly Data'!R195:V195)=0,"",IF(AVERAGE('Weekly Data'!R195:V195)&lt;0.055,"&lt;0.06",AVERAGE('Weekly Data'!R195:V195)))</f>
        <v>&lt;0.06</v>
      </c>
      <c r="H195" s="263" t="str">
        <f>IF(COUNT('Weekly Data'!W195:Z195)=0,"",IF(AVERAGE('Weekly Data'!W195:Z195)&lt;0.055,"&lt;0.06",AVERAGE('Weekly Data'!W195:Z195)))</f>
        <v>&lt;0.06</v>
      </c>
      <c r="I195" s="263" t="str">
        <f>IF(COUNT('Weekly Data'!AA195:AD195)=0,"",IF(AVERAGE('Weekly Data'!AA195:AD195)&lt;0.055,"&lt;0.06",AVERAGE('Weekly Data'!AA195:AD195)))</f>
        <v>&lt;0.06</v>
      </c>
      <c r="J195" s="263" t="str">
        <f>IF(COUNT('Weekly Data'!AE195:AI195)=0,"",IF(AVERAGE('Weekly Data'!AE195:AI195)&lt;0.055,"&lt;0.06",AVERAGE('Weekly Data'!AE195:AI195)))</f>
        <v>&lt;0.06</v>
      </c>
      <c r="K195" s="263" t="str">
        <f>IF(COUNT('Weekly Data'!AJ195:AM195)=0,"",IF(AVERAGE('Weekly Data'!AJ195:AM195)&lt;0.055,"&lt;0.06",AVERAGE('Weekly Data'!AJ195:AM195)))</f>
        <v>&lt;0.06</v>
      </c>
      <c r="L195" s="263" t="str">
        <f>IF(COUNT('Weekly Data'!AN195:AQ195)=0,"",IF(AVERAGE('Weekly Data'!AN195:AQ195)&lt;0.055,"&lt;0.06",AVERAGE('Weekly Data'!AN195:AQ195)))</f>
        <v>&lt;0.06</v>
      </c>
      <c r="M195" s="263" t="str">
        <f>IF(COUNT('Weekly Data'!AR195:AV195)=0,"",IF(AVERAGE('Weekly Data'!AR195:AV195)&lt;0.055,"&lt;0.06",AVERAGE('Weekly Data'!AR195:AV195)))</f>
        <v>&lt;0.06</v>
      </c>
      <c r="N195" s="263" t="str">
        <f>IF(COUNT('Weekly Data'!AW195:AZ195)=0,"",IF(AVERAGE('Weekly Data'!AW195:AZ195)&lt;0.055,"&lt;0.06",AVERAGE('Weekly Data'!AW195:AZ195)))</f>
        <v>&lt;0.06</v>
      </c>
      <c r="O195" s="263" t="str">
        <f>IF(COUNT('Weekly Data'!BA195:BD195)=0,"",IF(AVERAGE('Weekly Data'!BA195:BD195)&lt;0.055,"&lt;0.06",AVERAGE('Weekly Data'!BA195:BD195)))</f>
        <v>&lt;0.06</v>
      </c>
      <c r="P195" s="263"/>
      <c r="Q195" s="263" t="str">
        <f>IF(COUNT('Weekly Data'!E195:BD195)=0,"",IF(AVERAGE('Weekly Data'!E195:BD195)&lt;0.055,"&lt;0.06",AVERAGE('Weekly Data'!E195:BD195)))</f>
        <v>&lt;0.06</v>
      </c>
      <c r="R195" s="263" t="str">
        <f>IF(COUNT('Weekly Data'!E195:BD195)=0,"",IF(MIN('Weekly Data'!E195:BD195)&lt;0.055,"&lt;0.06",MIN('Weekly Data'!E195:BD195)))</f>
        <v>&lt;0.06</v>
      </c>
      <c r="S195" s="263" t="str">
        <f>IF(COUNT('Weekly Data'!E195:BD195)=0,"",IF(MAX('Weekly Data'!E195:BD195)&lt;0.055,"&lt;0.06",MAX('Weekly Data'!E195:BD195)))</f>
        <v>&lt;0.06</v>
      </c>
      <c r="T195" s="293"/>
      <c r="U195" s="259">
        <f>COUNT('Weekly Data'!E195:BC195)</f>
        <v>47</v>
      </c>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row>
    <row r="196" spans="1:256">
      <c r="A196" s="1"/>
      <c r="B196" s="258" t="str">
        <f>'Weekly Data'!A196</f>
        <v>Fluoride</v>
      </c>
      <c r="C196" s="257" t="str">
        <f>'Weekly Data'!B196</f>
        <v>mg/L</v>
      </c>
      <c r="D196" s="263">
        <f>IF(COUNT('Weekly Data'!E196:I196)=0,"",AVERAGE('Weekly Data'!E196:I196))</f>
        <v>0.13400000000000001</v>
      </c>
      <c r="E196" s="263">
        <f>IF(COUNT('Weekly Data'!J196:M196)=0,"",AVERAGE('Weekly Data'!J196:M196))</f>
        <v>0.13666666666666669</v>
      </c>
      <c r="F196" s="263">
        <f>IF(COUNT('Weekly Data'!N196:Q196)=0,"",AVERAGE('Weekly Data'!N196:Q196))</f>
        <v>0.14000000000000001</v>
      </c>
      <c r="G196" s="263">
        <f>IF(COUNT('Weekly Data'!R196:V196)=0,"",AVERAGE('Weekly Data'!R196:V196))</f>
        <v>0.12</v>
      </c>
      <c r="H196" s="263">
        <f>IF(COUNT('Weekly Data'!W196:Z196)=0,"",AVERAGE('Weekly Data'!W196:Z196))</f>
        <v>0.11499999999999999</v>
      </c>
      <c r="I196" s="263">
        <f>IF(COUNT('Weekly Data'!AA196:AD196)=0,"",AVERAGE('Weekly Data'!AA196:AD196))</f>
        <v>0.1275</v>
      </c>
      <c r="J196" s="263">
        <f>IF(COUNT('Weekly Data'!AE196:AI196)=0,"",AVERAGE('Weekly Data'!AE196:AI196))</f>
        <v>0.13400000000000001</v>
      </c>
      <c r="K196" s="263">
        <f>IF(COUNT('Weekly Data'!AJ196:AM196)=0,"",AVERAGE('Weekly Data'!AJ196:AM196))</f>
        <v>0.1225</v>
      </c>
      <c r="L196" s="263">
        <f>IF(COUNT('Weekly Data'!AN196:AQ196)=0,"",AVERAGE('Weekly Data'!AN196:AQ196))</f>
        <v>0.125</v>
      </c>
      <c r="M196" s="263">
        <f>IF(COUNT('Weekly Data'!AR196:AV196)=0,"",AVERAGE('Weekly Data'!AR196:AV196))</f>
        <v>0.13</v>
      </c>
      <c r="N196" s="263">
        <f>IF(COUNT('Weekly Data'!AW196:AZ196)=0,"",AVERAGE('Weekly Data'!AW196:AZ196))</f>
        <v>0.125</v>
      </c>
      <c r="O196" s="263">
        <f>IF(COUNT('Weekly Data'!BA196:BD196)=0,"",AVERAGE('Weekly Data'!BA196:BD196))</f>
        <v>0.14333333333333334</v>
      </c>
      <c r="P196" s="263"/>
      <c r="Q196" s="263">
        <f>IF(COUNT('Weekly Data'!E196:BD196)=0,"",AVERAGE('Weekly Data'!E196:BD196))</f>
        <v>0.12900000000000003</v>
      </c>
      <c r="R196" s="263">
        <f>IF(COUNT('Weekly Data'!E196:BD196)=0,"",MIN('Weekly Data'!E196:BD196))</f>
        <v>0.1</v>
      </c>
      <c r="S196" s="263">
        <f>IF(COUNT('Weekly Data'!E196:BD196)=0,"",MAX('Weekly Data'!E196:BD196))</f>
        <v>0.15</v>
      </c>
      <c r="T196" s="293"/>
      <c r="U196" s="259">
        <f>COUNT('Weekly Data'!E196:BC196)</f>
        <v>50</v>
      </c>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row>
    <row r="197" spans="1:256">
      <c r="A197" s="1"/>
      <c r="B197" s="258" t="str">
        <f>'Weekly Data'!A197</f>
        <v>Fluoride (actual MJ dose)</v>
      </c>
      <c r="C197" s="257" t="str">
        <f>'Weekly Data'!B197</f>
        <v>mg/L (wk avg)</v>
      </c>
      <c r="D197" s="263">
        <f>IF(COUNT('Weekly Data'!E197:I197)=0,"",AVERAGE('Weekly Data'!E197:I197))</f>
        <v>0.97000000000000008</v>
      </c>
      <c r="E197" s="263">
        <f>IF(COUNT('Weekly Data'!J197:M197)=0,"",AVERAGE('Weekly Data'!J197:M197))</f>
        <v>0.96666666666666679</v>
      </c>
      <c r="F197" s="263">
        <f>IF(COUNT('Weekly Data'!N197:Q197)=0,"",AVERAGE('Weekly Data'!N197:Q197))</f>
        <v>0.98</v>
      </c>
      <c r="G197" s="263">
        <f>IF(COUNT('Weekly Data'!R197:V197)=0,"",AVERAGE('Weekly Data'!R197:V197))</f>
        <v>0.97200000000000009</v>
      </c>
      <c r="H197" s="263">
        <f>IF(COUNT('Weekly Data'!W197:Z197)=0,"",AVERAGE('Weekly Data'!W197:Z197))</f>
        <v>1.0674999999999999</v>
      </c>
      <c r="I197" s="263">
        <f>IF(COUNT('Weekly Data'!AA197:AD197)=0,"",AVERAGE('Weekly Data'!AA197:AD197))</f>
        <v>1.1225000000000001</v>
      </c>
      <c r="J197" s="263">
        <f>IF(COUNT('Weekly Data'!AE197:AI197)=0,"",AVERAGE('Weekly Data'!AE197:AI197))</f>
        <v>0.98399999999999999</v>
      </c>
      <c r="K197" s="263">
        <f>IF(COUNT('Weekly Data'!AJ197:AM197)=0,"",AVERAGE('Weekly Data'!AJ197:AM197))</f>
        <v>1.0425</v>
      </c>
      <c r="L197" s="263">
        <f>IF(COUNT('Weekly Data'!AN197:AQ197)=0,"",AVERAGE('Weekly Data'!AN197:AQ197))</f>
        <v>1.0074999999999998</v>
      </c>
      <c r="M197" s="263">
        <f>IF(COUNT('Weekly Data'!AR197:AV197)=0,"",AVERAGE('Weekly Data'!AR197:AV197))</f>
        <v>1.012</v>
      </c>
      <c r="N197" s="263">
        <f>IF(COUNT('Weekly Data'!AW197:AZ197)=0,"",AVERAGE('Weekly Data'!AW197:AZ197))</f>
        <v>1.0475000000000001</v>
      </c>
      <c r="O197" s="263">
        <f>IF(COUNT('Weekly Data'!BA197:BD197)=0,"",AVERAGE('Weekly Data'!BA197:BD197))</f>
        <v>1.0649999999999999</v>
      </c>
      <c r="P197" s="263"/>
      <c r="Q197" s="263">
        <f>IF(COUNT('Weekly Data'!E197:BD197)=0,"",AVERAGE('Weekly Data'!E197:BD197))</f>
        <v>1.0180392156862745</v>
      </c>
      <c r="R197" s="263">
        <f>IF(COUNT('Weekly Data'!E197:BD197)=0,"",MIN('Weekly Data'!E197:BD197))</f>
        <v>0.78</v>
      </c>
      <c r="S197" s="263">
        <f>IF(COUNT('Weekly Data'!E197:BD197)=0,"",MAX('Weekly Data'!E197:BD197))</f>
        <v>1.2</v>
      </c>
      <c r="T197" s="293"/>
      <c r="U197" s="259">
        <f>COUNT('Weekly Data'!E197:BC197)</f>
        <v>50</v>
      </c>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row>
    <row r="198" spans="1:256">
      <c r="A198" s="1"/>
      <c r="B198" s="258" t="str">
        <f>'Weekly Data'!A198</f>
        <v>Iron (dissolved)</v>
      </c>
      <c r="C198" s="257" t="str">
        <f>'Weekly Data'!B198</f>
        <v>mg/L</v>
      </c>
      <c r="D198" s="263" t="str">
        <f>IF(COUNT('Weekly Data'!E198:I198)=0,"",IF(AVERAGE('Weekly Data'!E198:I198)&lt;0.015,"&lt;0.02",AVERAGE('Weekly Data'!E198:I198)))</f>
        <v>&lt;0.02</v>
      </c>
      <c r="E198" s="263" t="str">
        <f>IF(COUNT('Weekly Data'!J198:M198)=0,"",IF(AVERAGE('Weekly Data'!J198:M198)&lt;0.015,"&lt;0.02",AVERAGE('Weekly Data'!J198:M198)))</f>
        <v>&lt;0.02</v>
      </c>
      <c r="F198" s="263" t="str">
        <f>IF(COUNT('Weekly Data'!N198:Q198)=0,"",IF(AVERAGE('Weekly Data'!N198:Q198)&lt;0.015,"&lt;0.02",AVERAGE('Weekly Data'!N198:Q198)))</f>
        <v>&lt;0.02</v>
      </c>
      <c r="G198" s="263" t="str">
        <f>IF(COUNT('Weekly Data'!R198:V198)=0,"",IF(AVERAGE('Weekly Data'!R198:V198)&lt;0.015,"&lt;0.02",AVERAGE('Weekly Data'!R198:V198)))</f>
        <v>&lt;0.02</v>
      </c>
      <c r="H198" s="263" t="str">
        <f>IF(COUNT('Weekly Data'!W198:Z198)=0,"",IF(AVERAGE('Weekly Data'!W198:Z198)&lt;0.015,"&lt;0.02",AVERAGE('Weekly Data'!W198:Z198)))</f>
        <v>&lt;0.02</v>
      </c>
      <c r="I198" s="263" t="str">
        <f>IF(COUNT('Weekly Data'!AA198:AD198)=0,"",IF(AVERAGE('Weekly Data'!AA198:AD198)&lt;0.015,"&lt;0.02",AVERAGE('Weekly Data'!AA198:AD198)))</f>
        <v>&lt;0.02</v>
      </c>
      <c r="J198" s="263" t="str">
        <f>IF(COUNT('Weekly Data'!AE198:AI198)=0,"",IF(AVERAGE('Weekly Data'!AE198:AI198)&lt;0.015,"&lt;0.02",AVERAGE('Weekly Data'!AE198:AI198)))</f>
        <v>&lt;0.02</v>
      </c>
      <c r="K198" s="263" t="str">
        <f>IF(COUNT('Weekly Data'!AJ198:AM198)=0,"",IF(AVERAGE('Weekly Data'!AJ198:AM198)&lt;0.015,"&lt;0.02",AVERAGE('Weekly Data'!AJ198:AM198)))</f>
        <v>&lt;0.02</v>
      </c>
      <c r="L198" s="263" t="str">
        <f>IF(COUNT('Weekly Data'!AN198:AQ198)=0,"",IF(AVERAGE('Weekly Data'!AN198:AQ198)&lt;0.015,"&lt;0.02",AVERAGE('Weekly Data'!AN198:AQ198)))</f>
        <v>&lt;0.02</v>
      </c>
      <c r="M198" s="263" t="str">
        <f>IF(COUNT('Weekly Data'!AR198:AV198)=0,"",IF(AVERAGE('Weekly Data'!AR198:AV198)&lt;0.015,"&lt;0.02",AVERAGE('Weekly Data'!AR198:AV198)))</f>
        <v>&lt;0.02</v>
      </c>
      <c r="N198" s="263" t="str">
        <f>IF(COUNT('Weekly Data'!AW198:AZ198)=0,"",IF(AVERAGE('Weekly Data'!AW198:AZ198)&lt;0.015,"&lt;0.02",AVERAGE('Weekly Data'!AW198:AZ198)))</f>
        <v>&lt;0.02</v>
      </c>
      <c r="O198" s="263" t="str">
        <f>IF(COUNT('Weekly Data'!BA198:BD198)=0,"",IF(AVERAGE('Weekly Data'!BA198:BD198)&lt;0.015,"&lt;0.02",AVERAGE('Weekly Data'!BA198:BD198)))</f>
        <v>&lt;0.02</v>
      </c>
      <c r="P198" s="263"/>
      <c r="Q198" s="263" t="str">
        <f>IF(COUNT('Weekly Data'!E198:BD198)=0,"",IF(AVERAGE('Weekly Data'!E198:BD198)&lt;0.015,"&lt;0.02",AVERAGE('Weekly Data'!E198:BD198)))</f>
        <v>&lt;0.02</v>
      </c>
      <c r="R198" s="263" t="str">
        <f>IF(COUNT('Weekly Data'!E198:BD198)=0,"",IF(MIN('Weekly Data'!E198:BD198)&lt;0.015,"&lt;0.02",MIN('Weekly Data'!E198:BD198)))</f>
        <v>&lt;0.02</v>
      </c>
      <c r="S198" s="263">
        <f>IF(COUNT('Weekly Data'!E198:BD198)=0,"",IF(MAX('Weekly Data'!E198:BD198)&lt;0.015,"&lt;0.02",MAX('Weekly Data'!E198:BD198)))</f>
        <v>0.02</v>
      </c>
      <c r="T198" s="293"/>
      <c r="U198" s="259">
        <f>COUNT('Weekly Data'!E198:BC198)</f>
        <v>42</v>
      </c>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row>
    <row r="199" spans="1:256">
      <c r="A199" s="1"/>
      <c r="B199" s="258" t="str">
        <f>'Weekly Data'!A199</f>
        <v>Iron (total)</v>
      </c>
      <c r="C199" s="257" t="str">
        <f>'Weekly Data'!B199</f>
        <v>mg/L</v>
      </c>
      <c r="D199" s="263" t="str">
        <f>IF(COUNT('Weekly Data'!E199:I199)=0,"",IF(AVERAGE('Weekly Data'!E199:I199)&lt;0.015,"&lt;0.02",AVERAGE('Weekly Data'!E199:I199)))</f>
        <v>&lt;0.02</v>
      </c>
      <c r="E199" s="263" t="str">
        <f>IF(COUNT('Weekly Data'!J199:M199)=0,"",IF(AVERAGE('Weekly Data'!J199:M199)&lt;0.015,"&lt;0.02",AVERAGE('Weekly Data'!J199:M199)))</f>
        <v>&lt;0.02</v>
      </c>
      <c r="F199" s="263" t="str">
        <f>IF(COUNT('Weekly Data'!N199:Q199)=0,"",IF(AVERAGE('Weekly Data'!N199:Q199)&lt;0.015,"&lt;0.02",AVERAGE('Weekly Data'!N199:Q199)))</f>
        <v>&lt;0.02</v>
      </c>
      <c r="G199" s="263" t="str">
        <f>IF(COUNT('Weekly Data'!R199:V199)=0,"",IF(AVERAGE('Weekly Data'!R199:V199)&lt;0.015,"&lt;0.02",AVERAGE('Weekly Data'!R199:V199)))</f>
        <v>&lt;0.02</v>
      </c>
      <c r="H199" s="263" t="str">
        <f>IF(COUNT('Weekly Data'!W199:Z199)=0,"",IF(AVERAGE('Weekly Data'!W199:Z199)&lt;0.015,"&lt;0.02",AVERAGE('Weekly Data'!W199:Z199)))</f>
        <v>&lt;0.02</v>
      </c>
      <c r="I199" s="263" t="str">
        <f>IF(COUNT('Weekly Data'!AA199:AD199)=0,"",IF(AVERAGE('Weekly Data'!AA199:AD199)&lt;0.015,"&lt;0.02",AVERAGE('Weekly Data'!AA199:AD199)))</f>
        <v>&lt;0.02</v>
      </c>
      <c r="J199" s="263" t="str">
        <f>IF(COUNT('Weekly Data'!AE199:AI199)=0,"",IF(AVERAGE('Weekly Data'!AE199:AI199)&lt;0.015,"&lt;0.02",AVERAGE('Weekly Data'!AE199:AI199)))</f>
        <v>&lt;0.02</v>
      </c>
      <c r="K199" s="263" t="str">
        <f>IF(COUNT('Weekly Data'!AJ199:AM199)=0,"",IF(AVERAGE('Weekly Data'!AJ199:AM199)&lt;0.015,"&lt;0.02",AVERAGE('Weekly Data'!AJ199:AM199)))</f>
        <v>&lt;0.02</v>
      </c>
      <c r="L199" s="263" t="str">
        <f>IF(COUNT('Weekly Data'!AN199:AQ199)=0,"",IF(AVERAGE('Weekly Data'!AN199:AQ199)&lt;0.015,"&lt;0.02",AVERAGE('Weekly Data'!AN199:AQ199)))</f>
        <v>&lt;0.02</v>
      </c>
      <c r="M199" s="263" t="str">
        <f>IF(COUNT('Weekly Data'!AR199:AV199)=0,"",IF(AVERAGE('Weekly Data'!AR199:AV199)&lt;0.015,"&lt;0.02",AVERAGE('Weekly Data'!AR199:AV199)))</f>
        <v>&lt;0.02</v>
      </c>
      <c r="N199" s="263" t="str">
        <f>IF(COUNT('Weekly Data'!AW199:AZ199)=0,"",IF(AVERAGE('Weekly Data'!AW199:AZ199)&lt;0.015,"&lt;0.02",AVERAGE('Weekly Data'!AW199:AZ199)))</f>
        <v>&lt;0.02</v>
      </c>
      <c r="O199" s="263" t="str">
        <f>IF(COUNT('Weekly Data'!BA199:BD199)=0,"",IF(AVERAGE('Weekly Data'!BA199:BD199)&lt;0.015,"&lt;0.02",AVERAGE('Weekly Data'!BA199:BD199)))</f>
        <v>&lt;0.02</v>
      </c>
      <c r="P199" s="263"/>
      <c r="Q199" s="263" t="str">
        <f>IF(COUNT('Weekly Data'!E199:BD199)=0,"",IF(AVERAGE('Weekly Data'!E199:BD199)&lt;0.015,"&lt;0.02",AVERAGE('Weekly Data'!E199:BD199)))</f>
        <v>&lt;0.02</v>
      </c>
      <c r="R199" s="263" t="str">
        <f>IF(COUNT('Weekly Data'!E199:BD199)=0,"",IF(MIN('Weekly Data'!E199:BD199)&lt;0.015,"&lt;0.02",MIN('Weekly Data'!E199:BD199)))</f>
        <v>&lt;0.02</v>
      </c>
      <c r="S199" s="263">
        <f>IF(COUNT('Weekly Data'!E199:BD199)=0,"",IF(MAX('Weekly Data'!E199:BD199)&lt;0.015,"&lt;0.02",MAX('Weekly Data'!E199:BD199)))</f>
        <v>0.03</v>
      </c>
      <c r="T199" s="293"/>
      <c r="U199" s="259">
        <f>COUNT('Weekly Data'!E199:BC199)</f>
        <v>42</v>
      </c>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row>
    <row r="200" spans="1:256">
      <c r="A200" s="1"/>
      <c r="B200" s="258" t="str">
        <f>'Weekly Data'!A200</f>
        <v>Manganese (dissolved)</v>
      </c>
      <c r="C200" s="257" t="str">
        <f>'Weekly Data'!B200</f>
        <v>mg/L</v>
      </c>
      <c r="D200" s="263" t="str">
        <f>IF(COUNT('Weekly Data'!E200:I200)=0,"",IF(AVERAGE('Weekly Data'!E200:I200)&lt;0.0055,"&lt;0.01",AVERAGE('Weekly Data'!E200:I200)))</f>
        <v>&lt;0.01</v>
      </c>
      <c r="E200" s="263" t="str">
        <f>IF(COUNT('Weekly Data'!J200:M200)=0,"",IF(AVERAGE('Weekly Data'!J200:M200)&lt;0.0055,"&lt;0.01",AVERAGE('Weekly Data'!J200:M200)))</f>
        <v>&lt;0.01</v>
      </c>
      <c r="F200" s="263" t="str">
        <f>IF(COUNT('Weekly Data'!N200:Q200)=0,"",IF(AVERAGE('Weekly Data'!N200:Q200)&lt;0.0055,"&lt;0.01",AVERAGE('Weekly Data'!N200:Q200)))</f>
        <v>&lt;0.01</v>
      </c>
      <c r="G200" s="263" t="str">
        <f>IF(COUNT('Weekly Data'!R200:V200)=0,"",IF(AVERAGE('Weekly Data'!R200:V200)&lt;0.0055,"&lt;0.01",AVERAGE('Weekly Data'!R200:V200)))</f>
        <v>&lt;0.01</v>
      </c>
      <c r="H200" s="263" t="str">
        <f>IF(COUNT('Weekly Data'!W200:Z200)=0,"",IF(AVERAGE('Weekly Data'!W200:Z200)&lt;0.0055,"&lt;0.01",AVERAGE('Weekly Data'!W200:Z200)))</f>
        <v>&lt;0.01</v>
      </c>
      <c r="I200" s="263" t="str">
        <f>IF(COUNT('Weekly Data'!AA200:AD200)=0,"",IF(AVERAGE('Weekly Data'!AA200:AD200)&lt;0.0055,"&lt;0.01",AVERAGE('Weekly Data'!AA200:AD200)))</f>
        <v>&lt;0.01</v>
      </c>
      <c r="J200" s="263" t="str">
        <f>IF(COUNT('Weekly Data'!AE200:AI200)=0,"",IF(AVERAGE('Weekly Data'!AE200:AI200)&lt;0.0055,"&lt;0.01",AVERAGE('Weekly Data'!AE200:AI200)))</f>
        <v>&lt;0.01</v>
      </c>
      <c r="K200" s="263" t="str">
        <f>IF(COUNT('Weekly Data'!AJ200:AM200)=0,"",IF(AVERAGE('Weekly Data'!AJ200:AM200)&lt;0.0055,"&lt;0.01",AVERAGE('Weekly Data'!AJ200:AM200)))</f>
        <v>&lt;0.01</v>
      </c>
      <c r="L200" s="263" t="str">
        <f>IF(COUNT('Weekly Data'!AN200:AQ200)=0,"",IF(AVERAGE('Weekly Data'!AN200:AQ200)&lt;0.0055,"&lt;0.01",AVERAGE('Weekly Data'!AN200:AQ200)))</f>
        <v>&lt;0.01</v>
      </c>
      <c r="M200" s="263" t="str">
        <f>IF(COUNT('Weekly Data'!AR200:AV200)=0,"",IF(AVERAGE('Weekly Data'!AR200:AV200)&lt;0.0055,"&lt;0.01",AVERAGE('Weekly Data'!AR200:AV200)))</f>
        <v>&lt;0.01</v>
      </c>
      <c r="N200" s="263" t="str">
        <f>IF(COUNT('Weekly Data'!AW200:AZ200)=0,"",IF(AVERAGE('Weekly Data'!AW200:AZ200)&lt;0.0055,"&lt;0.01",AVERAGE('Weekly Data'!AW200:AZ200)))</f>
        <v>&lt;0.01</v>
      </c>
      <c r="O200" s="263" t="str">
        <f>IF(COUNT('Weekly Data'!BA200:BD200)=0,"",IF(AVERAGE('Weekly Data'!BA200:BD200)&lt;0.0055,"&lt;0.01",AVERAGE('Weekly Data'!BA200:BD200)))</f>
        <v>&lt;0.01</v>
      </c>
      <c r="P200" s="263"/>
      <c r="Q200" s="263" t="str">
        <f>IF(COUNT('Weekly Data'!E200:BD200)=0,"",IF(AVERAGE('Weekly Data'!E200:BD200)&lt;0.0055,"&lt;0.01",AVERAGE('Weekly Data'!E200:BD200)))</f>
        <v>&lt;0.01</v>
      </c>
      <c r="R200" s="263" t="str">
        <f>IF(COUNT('Weekly Data'!E200:BD200)=0,"",IF(MIN('Weekly Data'!E200:BD200)&lt;0.0055,"&lt;0.01",MIN('Weekly Data'!E200:BD200)))</f>
        <v>&lt;0.01</v>
      </c>
      <c r="S200" s="263">
        <f>IF(COUNT('Weekly Data'!E200:BD200)=0,"",IF(MAX('Weekly Data'!E200:BD200)&lt;0.0055,"&lt;0.01",MAX('Weekly Data'!E200:BD200)))</f>
        <v>0.01</v>
      </c>
      <c r="T200" s="293"/>
      <c r="U200" s="259">
        <f>COUNT('Weekly Data'!E200:BC200)</f>
        <v>42</v>
      </c>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row>
    <row r="201" spans="1:256">
      <c r="A201" s="1"/>
      <c r="B201" s="258" t="str">
        <f>'Weekly Data'!A201</f>
        <v>Manganese (total)</v>
      </c>
      <c r="C201" s="257" t="str">
        <f>'Weekly Data'!B201</f>
        <v>mg/L</v>
      </c>
      <c r="D201" s="263" t="str">
        <f>IF(COUNT('Weekly Data'!E201:I201)=0,"",IF(AVERAGE('Weekly Data'!E201:I201)&lt;0.0055,"&lt;0.01",AVERAGE('Weekly Data'!E201:I201)))</f>
        <v>&lt;0.01</v>
      </c>
      <c r="E201" s="263" t="str">
        <f>IF(COUNT('Weekly Data'!J201:M201)=0,"",IF(AVERAGE('Weekly Data'!J201:M201)&lt;0.0055,"&lt;0.01",AVERAGE('Weekly Data'!J201:M201)))</f>
        <v>&lt;0.01</v>
      </c>
      <c r="F201" s="263" t="str">
        <f>IF(COUNT('Weekly Data'!N201:Q201)=0,"",IF(AVERAGE('Weekly Data'!N201:Q201)&lt;0.0055,"&lt;0.01",AVERAGE('Weekly Data'!N201:Q201)))</f>
        <v>&lt;0.01</v>
      </c>
      <c r="G201" s="263" t="str">
        <f>IF(COUNT('Weekly Data'!R201:V201)=0,"",IF(AVERAGE('Weekly Data'!R201:V201)&lt;0.0055,"&lt;0.01",AVERAGE('Weekly Data'!R201:V201)))</f>
        <v>&lt;0.01</v>
      </c>
      <c r="H201" s="263" t="str">
        <f>IF(COUNT('Weekly Data'!W201:Z201)=0,"",IF(AVERAGE('Weekly Data'!W201:Z201)&lt;0.0055,"&lt;0.01",AVERAGE('Weekly Data'!W201:Z201)))</f>
        <v>&lt;0.01</v>
      </c>
      <c r="I201" s="263" t="str">
        <f>IF(COUNT('Weekly Data'!AA201:AD201)=0,"",IF(AVERAGE('Weekly Data'!AA201:AD201)&lt;0.0055,"&lt;0.01",AVERAGE('Weekly Data'!AA201:AD201)))</f>
        <v>&lt;0.01</v>
      </c>
      <c r="J201" s="263" t="str">
        <f>IF(COUNT('Weekly Data'!AE201:AI201)=0,"",IF(AVERAGE('Weekly Data'!AE201:AI201)&lt;0.0055,"&lt;0.01",AVERAGE('Weekly Data'!AE201:AI201)))</f>
        <v>&lt;0.01</v>
      </c>
      <c r="K201" s="263" t="str">
        <f>IF(COUNT('Weekly Data'!AJ201:AM201)=0,"",IF(AVERAGE('Weekly Data'!AJ201:AM201)&lt;0.0055,"&lt;0.01",AVERAGE('Weekly Data'!AJ201:AM201)))</f>
        <v>&lt;0.01</v>
      </c>
      <c r="L201" s="263" t="str">
        <f>IF(COUNT('Weekly Data'!AN201:AQ201)=0,"",IF(AVERAGE('Weekly Data'!AN201:AQ201)&lt;0.0055,"&lt;0.01",AVERAGE('Weekly Data'!AN201:AQ201)))</f>
        <v>&lt;0.01</v>
      </c>
      <c r="M201" s="263" t="str">
        <f>IF(COUNT('Weekly Data'!AR201:AV201)=0,"",IF(AVERAGE('Weekly Data'!AR201:AV201)&lt;0.0055,"&lt;0.01",AVERAGE('Weekly Data'!AR201:AV201)))</f>
        <v>&lt;0.01</v>
      </c>
      <c r="N201" s="263" t="str">
        <f>IF(COUNT('Weekly Data'!AW201:AZ201)=0,"",IF(AVERAGE('Weekly Data'!AW201:AZ201)&lt;0.0055,"&lt;0.01",AVERAGE('Weekly Data'!AW201:AZ201)))</f>
        <v>&lt;0.01</v>
      </c>
      <c r="O201" s="263" t="str">
        <f>IF(COUNT('Weekly Data'!BA201:BD201)=0,"",IF(AVERAGE('Weekly Data'!BA201:BD201)&lt;0.0055,"&lt;0.01",AVERAGE('Weekly Data'!BA201:BD201)))</f>
        <v>&lt;0.01</v>
      </c>
      <c r="P201" s="263"/>
      <c r="Q201" s="263" t="str">
        <f>IF(COUNT('Weekly Data'!E201:BD201)=0,"",IF(AVERAGE('Weekly Data'!E201:BD201)&lt;0.0055,"&lt;0.01",AVERAGE('Weekly Data'!E201:BD201)))</f>
        <v>&lt;0.01</v>
      </c>
      <c r="R201" s="263" t="str">
        <f>IF(COUNT('Weekly Data'!E201:BD201)=0,"",IF(MIN('Weekly Data'!E201:BD201)&lt;0.0055,"&lt;0.01",MIN('Weekly Data'!E201:BD201)))</f>
        <v>&lt;0.01</v>
      </c>
      <c r="S201" s="263">
        <f>IF(COUNT('Weekly Data'!E201:BD201)=0,"",IF(MAX('Weekly Data'!E201:BD201)&lt;0.0055,"&lt;0.01",MAX('Weekly Data'!E201:BD201)))</f>
        <v>0.01</v>
      </c>
      <c r="T201" s="293"/>
      <c r="U201" s="259">
        <f>COUNT('Weekly Data'!E201:BC201)</f>
        <v>42</v>
      </c>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row>
    <row r="202" spans="1:256">
      <c r="A202" s="1"/>
      <c r="B202" s="258" t="str">
        <f>'Weekly Data'!A202</f>
        <v>Nitrate</v>
      </c>
      <c r="C202" s="257" t="str">
        <f>'Weekly Data'!B202</f>
        <v>mg/L N</v>
      </c>
      <c r="D202" s="263">
        <f>IF(COUNT('Weekly Data'!E202:I202)=0,"",IF(AVERAGE('Weekly Data'!E202:I202)&lt;0.055,"&lt;0.06",AVERAGE('Weekly Data'!E202:I202)))</f>
        <v>6.7500000000000004E-2</v>
      </c>
      <c r="E202" s="263">
        <f>IF(COUNT('Weekly Data'!J202:M202)=0,"",IF(AVERAGE('Weekly Data'!J202:M202)&lt;0.055,"&lt;0.06",AVERAGE('Weekly Data'!J202:M202)))</f>
        <v>0.13500000000000001</v>
      </c>
      <c r="F202" s="263">
        <f>IF(COUNT('Weekly Data'!N202:Q202)=0,"",IF(AVERAGE('Weekly Data'!N202:Q202)&lt;0.055,"&lt;0.06",AVERAGE('Weekly Data'!N202:Q202)))</f>
        <v>0.2</v>
      </c>
      <c r="G202" s="263" t="str">
        <f>IF(COUNT('Weekly Data'!R202:V202)=0,"",IF(AVERAGE('Weekly Data'!R202:V202)&lt;0.055,"&lt;0.06",AVERAGE('Weekly Data'!R202:V202)))</f>
        <v>&lt;0.06</v>
      </c>
      <c r="H202" s="263" t="str">
        <f>IF(COUNT('Weekly Data'!W202:Z202)=0,"",IF(AVERAGE('Weekly Data'!W202:Z202)&lt;0.055,"&lt;0.06",AVERAGE('Weekly Data'!W202:Z202)))</f>
        <v>&lt;0.06</v>
      </c>
      <c r="I202" s="263" t="str">
        <f>IF(COUNT('Weekly Data'!AA202:AD202)=0,"",IF(AVERAGE('Weekly Data'!AA202:AD202)&lt;0.055,"&lt;0.06",AVERAGE('Weekly Data'!AA202:AD202)))</f>
        <v>&lt;0.06</v>
      </c>
      <c r="J202" s="263" t="str">
        <f>IF(COUNT('Weekly Data'!AE202:AI202)=0,"",IF(AVERAGE('Weekly Data'!AE202:AI202)&lt;0.055,"&lt;0.06",AVERAGE('Weekly Data'!AE202:AI202)))</f>
        <v>&lt;0.06</v>
      </c>
      <c r="K202" s="263" t="str">
        <f>IF(COUNT('Weekly Data'!AJ202:AM202)=0,"",IF(AVERAGE('Weekly Data'!AJ202:AM202)&lt;0.055,"&lt;0.06",AVERAGE('Weekly Data'!AJ202:AM202)))</f>
        <v>&lt;0.06</v>
      </c>
      <c r="L202" s="263" t="str">
        <f>IF(COUNT('Weekly Data'!AN202:AQ202)=0,"",IF(AVERAGE('Weekly Data'!AN202:AQ202)&lt;0.055,"&lt;0.06",AVERAGE('Weekly Data'!AN202:AQ202)))</f>
        <v>&lt;0.06</v>
      </c>
      <c r="M202" s="263" t="str">
        <f>IF(COUNT('Weekly Data'!AR202:AV202)=0,"",IF(AVERAGE('Weekly Data'!AR202:AV202)&lt;0.055,"&lt;0.06",AVERAGE('Weekly Data'!AR202:AV202)))</f>
        <v>&lt;0.06</v>
      </c>
      <c r="N202" s="263" t="str">
        <f>IF(COUNT('Weekly Data'!AW202:AZ202)=0,"",IF(AVERAGE('Weekly Data'!AW202:AZ202)&lt;0.055,"&lt;0.06",AVERAGE('Weekly Data'!AW202:AZ202)))</f>
        <v>&lt;0.06</v>
      </c>
      <c r="O202" s="263" t="str">
        <f>IF(COUNT('Weekly Data'!BA202:BD202)=0,"",IF(AVERAGE('Weekly Data'!BA202:BD202)&lt;0.055,"&lt;0.06",AVERAGE('Weekly Data'!BA202:BD202)))</f>
        <v>&lt;0.06</v>
      </c>
      <c r="P202" s="263"/>
      <c r="Q202" s="263" t="str">
        <f>IF(COUNT('Weekly Data'!E202:BD202)=0,"",IF(AVERAGE('Weekly Data'!E202:BD202)&lt;0.055,"&lt;0.06",AVERAGE('Weekly Data'!E202:BD202)))</f>
        <v>&lt;0.06</v>
      </c>
      <c r="R202" s="263" t="str">
        <f>IF(COUNT('Weekly Data'!E202:BD202)=0,"",IF(MIN('Weekly Data'!E202:BD202)&lt;0.055,"&lt;0.06",MIN('Weekly Data'!E202:BD202)))</f>
        <v>&lt;0.06</v>
      </c>
      <c r="S202" s="263">
        <f>IF(COUNT('Weekly Data'!E202:BD202)=0,"",IF(MAX('Weekly Data'!E202:BD202)&lt;0.055,"&lt;0.06",MAX('Weekly Data'!E202:BD202)))</f>
        <v>0.23</v>
      </c>
      <c r="T202" s="293"/>
      <c r="U202" s="259">
        <f>COUNT('Weekly Data'!E202:BC202)</f>
        <v>47</v>
      </c>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row>
    <row r="203" spans="1:256">
      <c r="A203" s="1"/>
      <c r="B203" s="258" t="str">
        <f>'Weekly Data'!A203</f>
        <v>Organic N</v>
      </c>
      <c r="C203" s="257" t="str">
        <f>'Weekly Data'!B203</f>
        <v>mg/L N</v>
      </c>
      <c r="D203" s="263">
        <f>IF(COUNT('Weekly Data'!E203:I203)=0,"",IF(AVERAGE('Weekly Data'!E203:I203)&lt;0.035,"&lt;0.04",AVERAGE('Weekly Data'!E203:I203)))</f>
        <v>0.27500000000000002</v>
      </c>
      <c r="E203" s="263">
        <f>IF(COUNT('Weekly Data'!J203:M203)=0,"",IF(AVERAGE('Weekly Data'!J203:M203)&lt;0.035,"&lt;0.04",AVERAGE('Weekly Data'!J203:M203)))</f>
        <v>0.24</v>
      </c>
      <c r="F203" s="263">
        <f>IF(COUNT('Weekly Data'!N203:Q203)=0,"",IF(AVERAGE('Weekly Data'!N203:Q203)&lt;0.035,"&lt;0.04",AVERAGE('Weekly Data'!N203:Q203)))</f>
        <v>0.20333333333333334</v>
      </c>
      <c r="G203" s="263">
        <f>IF(COUNT('Weekly Data'!R203:V203)=0,"",IF(AVERAGE('Weekly Data'!R203:V203)&lt;0.035,"&lt;0.04",AVERAGE('Weekly Data'!R203:V203)))</f>
        <v>0.24249999999999999</v>
      </c>
      <c r="H203" s="263">
        <f>IF(COUNT('Weekly Data'!W203:Z203)=0,"",IF(AVERAGE('Weekly Data'!W203:Z203)&lt;0.035,"&lt;0.04",AVERAGE('Weekly Data'!W203:Z203)))</f>
        <v>0.2525</v>
      </c>
      <c r="I203" s="263">
        <f>IF(COUNT('Weekly Data'!AA203:AD203)=0,"",IF(AVERAGE('Weekly Data'!AA203:AD203)&lt;0.035,"&lt;0.04",AVERAGE('Weekly Data'!AA203:AD203)))</f>
        <v>6.25E-2</v>
      </c>
      <c r="J203" s="263">
        <f>IF(COUNT('Weekly Data'!AE203:AI203)=0,"",IF(AVERAGE('Weekly Data'!AE203:AI203)&lt;0.035,"&lt;0.04",AVERAGE('Weekly Data'!AE203:AI203)))</f>
        <v>7.3999999999999996E-2</v>
      </c>
      <c r="K203" s="263">
        <f>IF(COUNT('Weekly Data'!AJ203:AM203)=0,"",IF(AVERAGE('Weekly Data'!AJ203:AM203)&lt;0.035,"&lt;0.04",AVERAGE('Weekly Data'!AJ203:AM203)))</f>
        <v>9.7500000000000003E-2</v>
      </c>
      <c r="L203" s="263">
        <f>IF(COUNT('Weekly Data'!AN203:AQ203)=0,"",IF(AVERAGE('Weekly Data'!AN203:AQ203)&lt;0.035,"&lt;0.04",AVERAGE('Weekly Data'!AN203:AQ203)))</f>
        <v>0.19999999999999998</v>
      </c>
      <c r="M203" s="263">
        <f>IF(COUNT('Weekly Data'!AR203:AV203)=0,"",IF(AVERAGE('Weekly Data'!AR203:AV203)&lt;0.035,"&lt;0.04",AVERAGE('Weekly Data'!AR203:AV203)))</f>
        <v>0.19800000000000001</v>
      </c>
      <c r="N203" s="263">
        <f>IF(COUNT('Weekly Data'!AW203:AZ203)=0,"",IF(AVERAGE('Weekly Data'!AW203:AZ203)&lt;0.035,"&lt;0.04",AVERAGE('Weekly Data'!AW203:AZ203)))</f>
        <v>0.22</v>
      </c>
      <c r="O203" s="263">
        <f>IF(COUNT('Weekly Data'!BA203:BD203)=0,"",IF(AVERAGE('Weekly Data'!BA203:BD203)&lt;0.035,"&lt;0.04",AVERAGE('Weekly Data'!BA203:BD203)))</f>
        <v>0.26</v>
      </c>
      <c r="P203" s="263"/>
      <c r="Q203" s="263">
        <f>IF(COUNT('Weekly Data'!E203:BD203)=0,"",IF(AVERAGE('Weekly Data'!E203:BD203)&lt;0.035,"&lt;0.04",AVERAGE('Weekly Data'!E203:BD203)))</f>
        <v>0.18232558139534882</v>
      </c>
      <c r="R203" s="263">
        <f>IF(COUNT('Weekly Data'!E203:BD203)=0,"",IF(MIN('Weekly Data'!E203:BD203)&lt;0.035,"&lt;0.04",MIN('Weekly Data'!E203:BD203)))</f>
        <v>0.05</v>
      </c>
      <c r="S203" s="263">
        <f>IF(COUNT('Weekly Data'!E203:BD203)=0,"",IF(MAX('Weekly Data'!E203:BD203)&lt;0.035,"&lt;0.04",MAX('Weekly Data'!E203:BD203)))</f>
        <v>0.36</v>
      </c>
      <c r="T203" s="293"/>
      <c r="U203" s="259">
        <f>COUNT('Weekly Data'!E203:BC203)</f>
        <v>43</v>
      </c>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row>
    <row r="204" spans="1:256">
      <c r="A204" s="1"/>
      <c r="B204" s="258" t="str">
        <f>'Weekly Data'!A204</f>
        <v>CW TOC</v>
      </c>
      <c r="C204" s="257" t="str">
        <f>'Weekly Data'!B204</f>
        <v>mg/L C(UV)</v>
      </c>
      <c r="D204" s="247">
        <f>IF(COUNT('Weekly Data'!E204:I204)=0,"",IF(AVERAGE('Weekly Data'!E204:I204)&lt;0.035,"&lt;0.04",AVERAGE('Weekly Data'!E204:I204)))</f>
        <v>5.42</v>
      </c>
      <c r="E204" s="247">
        <f>IF(COUNT('Weekly Data'!J204:M204)=0,"",IF(AVERAGE('Weekly Data'!J204:M204)&lt;0.035,"&lt;0.04",AVERAGE('Weekly Data'!J204:M204)))</f>
        <v>5.5</v>
      </c>
      <c r="F204" s="247">
        <f>IF(COUNT('Weekly Data'!N204:Q204)=0,"",IF(AVERAGE('Weekly Data'!N204:Q204)&lt;0.035,"&lt;0.04",AVERAGE('Weekly Data'!N204:Q204)))</f>
        <v>5.45</v>
      </c>
      <c r="G204" s="247">
        <f>IF(COUNT('Weekly Data'!R204:V204)=0,"",IF(AVERAGE('Weekly Data'!R204:V204)&lt;0.455,"&lt;0.5",AVERAGE('Weekly Data'!R204:V204)))</f>
        <v>4.66</v>
      </c>
      <c r="H204" s="247">
        <f>IF(COUNT('Weekly Data'!W204:Z204)=0,"",IF(AVERAGE('Weekly Data'!W204:Z204)&lt;0.455,"&lt;0.5",AVERAGE('Weekly Data'!W204:Z204)))</f>
        <v>4.1749999999999998</v>
      </c>
      <c r="I204" s="247">
        <f>IF(COUNT('Weekly Data'!AA204:AD204)=0,"",IF(AVERAGE('Weekly Data'!AA204:AD204)&lt;0.455,"&lt;0.5",AVERAGE('Weekly Data'!AA204:AD204)))</f>
        <v>1.1000000000000001</v>
      </c>
      <c r="J204" s="247">
        <f>IF(COUNT('Weekly Data'!AE204:AG204)=0,"",IF(AVERAGE('Weekly Data'!AE204:AG204)&lt;0.455,"&lt;0.5",AVERAGE('Weekly Data'!AE204:AG204)))</f>
        <v>1.5666666666666664</v>
      </c>
      <c r="K204" s="247">
        <f>IF(COUNT('Weekly Data'!AH204:AM204)=0,"",IF(AVERAGE('Weekly Data'!AH204:AM204)&lt;0.455,"&lt;0.5",AVERAGE('Weekly Data'!AH204:AM204)))</f>
        <v>2.25</v>
      </c>
      <c r="L204" s="247">
        <f>IF(COUNT('Weekly Data'!AN204:AQ204)=0,"",IF(AVERAGE('Weekly Data'!AN204:AQ204)&lt;0.455,"&lt;0.5",AVERAGE('Weekly Data'!AN204:AQ204)))</f>
        <v>2.7749999999999999</v>
      </c>
      <c r="M204" s="247">
        <f>IF(COUNT('Weekly Data'!AR204:AV204)=0,"",IF(AVERAGE('Weekly Data'!AR204:AV204)&lt;0.455,"&lt;0.5",AVERAGE('Weekly Data'!AR204:AV204)))</f>
        <v>2.98</v>
      </c>
      <c r="N204" s="247">
        <f>IF(COUNT('Weekly Data'!AW204:AZ204)=0,"",IF(AVERAGE('Weekly Data'!AW204:AZ204)&lt;0.455,"&lt;0.5",AVERAGE('Weekly Data'!AW204:AZ204)))</f>
        <v>3.55</v>
      </c>
      <c r="O204" s="247">
        <f>IF(COUNT('Weekly Data'!BA204:BD204)=0,"",IF(AVERAGE('Weekly Data'!BA204:BD204)&lt;0.455,"&lt;0.5",AVERAGE('Weekly Data'!BA204:BD204)))</f>
        <v>4.3333333333333339</v>
      </c>
      <c r="P204" s="247"/>
      <c r="Q204" s="247">
        <f>IF(COUNT('Weekly Data'!E204:BD204)=0,"",IF(AVERAGE('Weekly Data'!E204:BD204)&lt;0.0455,"&lt;0.5",AVERAGE('Weekly Data'!E204:BD204)))</f>
        <v>3.6240000000000006</v>
      </c>
      <c r="R204" s="247">
        <f>IF(COUNT('Weekly Data'!E204:BD204)=0,"",IF(MIN('Weekly Data'!E204:BD204)&lt;0.0455,"&lt;0.5",MIN('Weekly Data'!E204:BD204)))</f>
        <v>1</v>
      </c>
      <c r="S204" s="247">
        <f>IF(COUNT('Weekly Data'!E204:BD204)=0,"",IF(MAX('Weekly Data'!E204:BD204)&lt;0.0455,"&lt;0.5",MAX('Weekly Data'!E204:BD204)))</f>
        <v>5.6</v>
      </c>
      <c r="T204" s="293"/>
      <c r="U204" s="259">
        <f>COUNT('Weekly Data'!E204:BC204)</f>
        <v>50</v>
      </c>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row>
    <row r="205" spans="1:256">
      <c r="A205" s="1"/>
      <c r="B205" s="258" t="str">
        <f>'Weekly Data'!A205</f>
        <v>CW DOC (GF diss)</v>
      </c>
      <c r="C205" s="257" t="str">
        <f>'Weekly Data'!B205</f>
        <v>mg/L C(UV)</v>
      </c>
      <c r="D205" s="247">
        <f>IF(COUNT('Weekly Data'!E205:I205)=0,"",IF(AVERAGE('Weekly Data'!E205:I205)&lt;0.035,"&lt;0.04",AVERAGE('Weekly Data'!E205:I205)))</f>
        <v>5.3800000000000008</v>
      </c>
      <c r="E205" s="247">
        <f>IF(COUNT('Weekly Data'!J205:M205)=0,"",IF(AVERAGE('Weekly Data'!J205:M205)&lt;0.035,"&lt;0.04",AVERAGE('Weekly Data'!J205:M205)))</f>
        <v>5.5</v>
      </c>
      <c r="F205" s="247">
        <f>IF(COUNT('Weekly Data'!N205:Q205)=0,"",IF(AVERAGE('Weekly Data'!N205:Q205)&lt;0.035,"&lt;0.04",AVERAGE('Weekly Data'!N205:Q205)))</f>
        <v>5.3999999999999995</v>
      </c>
      <c r="G205" s="247">
        <f>IF(COUNT('Weekly Data'!R205:V205)=0,"",IF(AVERAGE('Weekly Data'!R205:V205)&lt;0.455,"&lt;0.5",AVERAGE('Weekly Data'!R205:V205)))</f>
        <v>4.58</v>
      </c>
      <c r="H205" s="247">
        <f>IF(COUNT('Weekly Data'!W205:Z205)=0,"",IF(AVERAGE('Weekly Data'!W205:Z205)&lt;0.455,"&lt;0.5",AVERAGE('Weekly Data'!W205:Z205)))</f>
        <v>4.25</v>
      </c>
      <c r="I205" s="247">
        <f>IF(COUNT('Weekly Data'!AA205:AD205)=0,"",IF(AVERAGE('Weekly Data'!AA205:AD205)&lt;0.455,"&lt;0.5",AVERAGE('Weekly Data'!AA205:AD205)))</f>
        <v>1.075</v>
      </c>
      <c r="J205" s="247">
        <f>IF(COUNT('Weekly Data'!AE205:AG205)=0,"",IF(AVERAGE('Weekly Data'!AE205:AG205)&lt;0.455,"&lt;0.5",AVERAGE('Weekly Data'!AE205:AG205)))</f>
        <v>1.5333333333333332</v>
      </c>
      <c r="K205" s="247">
        <f>IF(COUNT('Weekly Data'!AH205:AM205)=0,"",IF(AVERAGE('Weekly Data'!AH205:AM205)&lt;0.455,"&lt;0.5",AVERAGE('Weekly Data'!AH205:AM205)))</f>
        <v>2.2166666666666668</v>
      </c>
      <c r="L205" s="247">
        <f>IF(COUNT('Weekly Data'!AN205:AQ205)=0,"",IF(AVERAGE('Weekly Data'!AN205:AQ205)&lt;0.455,"&lt;0.5",AVERAGE('Weekly Data'!AN205:AQ205)))</f>
        <v>2.8499999999999996</v>
      </c>
      <c r="M205" s="247">
        <f>IF(COUNT('Weekly Data'!AR205:AV205)=0,"",IF(AVERAGE('Weekly Data'!AR205:AV205)&lt;0.455,"&lt;0.5",AVERAGE('Weekly Data'!AR205:AV205)))</f>
        <v>2.96</v>
      </c>
      <c r="N205" s="247">
        <f>IF(COUNT('Weekly Data'!AW205:AZ205)=0,"",IF(AVERAGE('Weekly Data'!AW205:AZ205)&lt;0.455,"&lt;0.5",AVERAGE('Weekly Data'!AW205:AZ205)))</f>
        <v>3.6</v>
      </c>
      <c r="O205" s="247">
        <f>IF(COUNT('Weekly Data'!BA205:BD205)=0,"",IF(AVERAGE('Weekly Data'!BA205:BD205)&lt;0.455,"&lt;0.5",AVERAGE('Weekly Data'!BA205:BD205)))</f>
        <v>4.2666666666666666</v>
      </c>
      <c r="P205" s="247"/>
      <c r="Q205" s="247">
        <f>IF(COUNT('Weekly Data'!E205:BD205)=0,"",IF(AVERAGE('Weekly Data'!E205:BD205)&lt;0.0455,"&lt;0.5",AVERAGE('Weekly Data'!E205:BD205)))</f>
        <v>3.6470588235294108</v>
      </c>
      <c r="R205" s="247">
        <f>IF(COUNT('Weekly Data'!E205:BD205)=0,"",IF(MIN('Weekly Data'!E205:BD205)&lt;0.0455,"&lt;0.5",MIN('Weekly Data'!E205:BD205)))</f>
        <v>1</v>
      </c>
      <c r="S205" s="247">
        <f>IF(COUNT('Weekly Data'!E205:BD205)=0,"",IF(MAX('Weekly Data'!E205:BD205)&lt;0.0455,"&lt;0.5",MAX('Weekly Data'!E205:BD205)))</f>
        <v>5.6</v>
      </c>
      <c r="T205" s="293"/>
      <c r="U205" s="259">
        <f>COUNT('Weekly Data'!E205:BC205)</f>
        <v>51</v>
      </c>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row>
    <row r="206" spans="1:256">
      <c r="A206" s="1"/>
      <c r="B206" s="258" t="str">
        <f>'Weekly Data'!A206</f>
        <v>PreGAC DOC (GF diss)</v>
      </c>
      <c r="C206" s="257" t="str">
        <f>'Weekly Data'!B206</f>
        <v>mg/L C(UV)</v>
      </c>
      <c r="D206" s="247" t="str">
        <f>IF(COUNT('Weekly Data'!E206:I206)=0,"",IF(AVERAGE('Weekly Data'!E206:I206)&lt;0.035,"&lt;0.04",AVERAGE('Weekly Data'!E206:I206)))</f>
        <v/>
      </c>
      <c r="E206" s="247" t="str">
        <f>IF(COUNT('Weekly Data'!J206:M206)=0,"",IF(AVERAGE('Weekly Data'!J206:M206)&lt;0.035,"&lt;0.04",AVERAGE('Weekly Data'!J206:M206)))</f>
        <v/>
      </c>
      <c r="F206" s="247" t="str">
        <f>IF(COUNT('Weekly Data'!N206:Q206)=0,"",IF(AVERAGE('Weekly Data'!N206:Q206)&lt;0.035,"&lt;0.04",AVERAGE('Weekly Data'!N206:Q206)))</f>
        <v/>
      </c>
      <c r="G206" s="247" t="str">
        <f>IF(COUNT('Weekly Data'!R206:V206)=0,"",IF(AVERAGE('Weekly Data'!R206:V206)&lt;0.455,"&lt;0.5",AVERAGE('Weekly Data'!R206:V206)))</f>
        <v/>
      </c>
      <c r="H206" s="247" t="str">
        <f>IF(COUNT('Weekly Data'!W206:Z206)=0,"",IF(AVERAGE('Weekly Data'!W206:Z206)&lt;0.455,"&lt;0.5",AVERAGE('Weekly Data'!W206:Z206)))</f>
        <v/>
      </c>
      <c r="I206" s="247">
        <f>IF(COUNT('Weekly Data'!AA206:AD206)=0,"",IF(AVERAGE('Weekly Data'!AA206:AD206)&lt;0.455,"&lt;0.5",AVERAGE('Weekly Data'!AA206:AD206)))</f>
        <v>4.5249999999999995</v>
      </c>
      <c r="J206" s="247">
        <f>IF(COUNT('Weekly Data'!AE206:AG206)=0,"",IF(AVERAGE('Weekly Data'!AE206:AG206)&lt;0.455,"&lt;0.5",AVERAGE('Weekly Data'!AE206:AG206)))</f>
        <v>4.5999999999999996</v>
      </c>
      <c r="K206" s="247">
        <f>IF(COUNT('Weekly Data'!AH206:AM206)=0,"",IF(AVERAGE('Weekly Data'!AH206:AM206)&lt;0.455,"&lt;0.5",AVERAGE('Weekly Data'!AH206:AM206)))</f>
        <v>4.4000000000000004</v>
      </c>
      <c r="L206" s="247">
        <f>IF(COUNT('Weekly Data'!AN206:AQ206)=0,"",IF(AVERAGE('Weekly Data'!AN206:AQ206)&lt;0.455,"&lt;0.5",AVERAGE('Weekly Data'!AN206:AQ206)))</f>
        <v>4.5250000000000004</v>
      </c>
      <c r="M206" s="247">
        <f>IF(COUNT('Weekly Data'!AR206:AV206)=0,"",IF(AVERAGE('Weekly Data'!AR206:AV206)&lt;0.455,"&lt;0.5",AVERAGE('Weekly Data'!AR206:AV206)))</f>
        <v>4.4000000000000004</v>
      </c>
      <c r="N206" s="247">
        <f>IF(COUNT('Weekly Data'!AW206:AZ206)=0,"",IF(AVERAGE('Weekly Data'!AW206:AZ206)&lt;0.455,"&lt;0.5",AVERAGE('Weekly Data'!AW206:AZ206)))</f>
        <v>4.1000000000000005</v>
      </c>
      <c r="O206" s="247" t="str">
        <f>IF(COUNT('Weekly Data'!BA206:BD206)=0,"",IF(AVERAGE('Weekly Data'!BA206:BD206)&lt;0.455,"&lt;0.5",AVERAGE('Weekly Data'!BA206:BD206)))</f>
        <v/>
      </c>
      <c r="P206" s="247"/>
      <c r="Q206" s="247">
        <f>IF(COUNT('Weekly Data'!E206:BD206)=0,"",IF(AVERAGE('Weekly Data'!E206:BD206)&lt;0.0455,"&lt;0.5",AVERAGE('Weekly Data'!E206:BD206)))</f>
        <v>4.4279999999999999</v>
      </c>
      <c r="R206" s="247">
        <f>IF(COUNT('Weekly Data'!E206:BD206)=0,"",IF(MIN('Weekly Data'!E206:BD206)&lt;0.0455,"&lt;0.5",MIN('Weekly Data'!E206:BD206)))</f>
        <v>3.9</v>
      </c>
      <c r="S206" s="247">
        <f>IF(COUNT('Weekly Data'!E206:BD206)=0,"",IF(MAX('Weekly Data'!E206:BD206)&lt;0.0455,"&lt;0.5",MAX('Weekly Data'!E206:BD206)))</f>
        <v>4.9000000000000004</v>
      </c>
      <c r="T206" s="293"/>
      <c r="U206" s="259">
        <f>COUNT('Weekly Data'!E206:BC206)</f>
        <v>25</v>
      </c>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row>
    <row r="207" spans="1:256" ht="34">
      <c r="A207" s="1"/>
      <c r="B207" s="266" t="str">
        <f>'Weekly Data'!A207</f>
        <v>DOC Removal by Coagulation &amp; Filtration</v>
      </c>
      <c r="C207" s="261" t="str">
        <f>'Weekly Data'!B207</f>
        <v>% Removal</v>
      </c>
      <c r="D207" s="262">
        <f>IF(COUNT('Weekly Data'!E207:I207)=0,"",AVERAGE('Weekly Data'!E207:I207))</f>
        <v>0.35113118750834066</v>
      </c>
      <c r="E207" s="262">
        <f>IF(COUNT('Weekly Data'!J207:M207)=0,"",AVERAGE('Weekly Data'!J207:M207))</f>
        <v>0.31425058775160397</v>
      </c>
      <c r="F207" s="262">
        <f>IF(COUNT('Weekly Data'!N207:Q207)=0,"",AVERAGE('Weekly Data'!N207:Q207))</f>
        <v>0.29942775593640125</v>
      </c>
      <c r="G207" s="262">
        <f>IF(COUNT('Weekly Data'!R207:V207)=0,"",AVERAGE('Weekly Data'!R207:V207))</f>
        <v>0.39260082023239917</v>
      </c>
      <c r="H207" s="262">
        <f>IF(COUNT('Weekly Data'!W207:Z207)=0,"",AVERAGE('Weekly Data'!W207:Z207))</f>
        <v>0.37234970911441501</v>
      </c>
      <c r="I207" s="262">
        <f>IF(COUNT('Weekly Data'!AA207:AD207)=0,"",AVERAGE('Weekly Data'!AA207:AD207))</f>
        <v>0.38649306218010454</v>
      </c>
      <c r="J207" s="262">
        <f>IF(COUNT('Weekly Data'!AE207:AG207)=0,"",AVERAGE('Weekly Data'!AE207:AG207))</f>
        <v>0.39225520804468172</v>
      </c>
      <c r="K207" s="262">
        <f>IF(COUNT('Weekly Data'!AH207:AM207)=0,"",AVERAGE('Weekly Data'!AH207:AM207))</f>
        <v>0.40685531396057711</v>
      </c>
      <c r="L207" s="262">
        <f>IF(COUNT('Weekly Data'!AN207:AQ207)=0,"",AVERAGE('Weekly Data'!AN207:AQ207))</f>
        <v>0.42433226495726495</v>
      </c>
      <c r="M207" s="262">
        <f>IF(COUNT('Weekly Data'!AR207:AV207)=0,"",AVERAGE('Weekly Data'!AR207:AV207))</f>
        <v>0.39896948252985409</v>
      </c>
      <c r="N207" s="262">
        <f>IF(COUNT('Weekly Data'!AW207:AZ207)=0,"",AVERAGE('Weekly Data'!AW207:AZ207))</f>
        <v>0.35970515071700321</v>
      </c>
      <c r="O207" s="262">
        <f>IF(COUNT('Weekly Data'!BA207:BD207)=0,"",AVERAGE('Weekly Data'!BA207:BD207))</f>
        <v>0.33673039923039921</v>
      </c>
      <c r="P207" s="262"/>
      <c r="Q207" s="262">
        <f>IF(COUNT('Weekly Data'!E207:BD207)=0,"",IF(AVERAGE('Weekly Data'!E207:BD207)&lt;0.0455,"&lt;0.5",AVERAGE('Weekly Data'!E207:BD207)))</f>
        <v>0.37191824077585967</v>
      </c>
      <c r="R207" s="262">
        <f>IF(COUNT('Weekly Data'!E207:BD207)=0,"",IF(MIN('Weekly Data'!E207:BD207)&lt;0.0455,"&lt;0.5",MIN('Weekly Data'!E207:BD207)))</f>
        <v>0.26760563380281682</v>
      </c>
      <c r="S207" s="262">
        <f>IF(COUNT('Weekly Data'!E207:BD207)=0,"",IF(MAX('Weekly Data'!E207:BD207)&lt;0.0455,"&lt;0.5",MAX('Weekly Data'!E207:BD207)))</f>
        <v>0.5</v>
      </c>
      <c r="T207" s="353"/>
      <c r="U207" s="52">
        <f>COUNT('Weekly Data'!E207:BC207)</f>
        <v>51</v>
      </c>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row>
    <row r="208" spans="1:256" ht="34">
      <c r="A208" s="1"/>
      <c r="B208" s="266" t="str">
        <f>'Weekly Data'!A208</f>
        <v>DOC Removal by GAC Filtration</v>
      </c>
      <c r="C208" s="261" t="str">
        <f>'Weekly Data'!B208</f>
        <v>% Removal</v>
      </c>
      <c r="D208" s="262" t="str">
        <f>IF(COUNT('Weekly Data'!E208:I208)=0,"",AVERAGE('Weekly Data'!E208:I208))</f>
        <v/>
      </c>
      <c r="E208" s="262" t="str">
        <f>IF(COUNT('Weekly Data'!J208:M208)=0,"",AVERAGE('Weekly Data'!J208:M208))</f>
        <v/>
      </c>
      <c r="F208" s="262" t="str">
        <f>IF(COUNT('Weekly Data'!N208:Q208)=0,"",AVERAGE('Weekly Data'!N208:Q208))</f>
        <v/>
      </c>
      <c r="G208" s="262" t="str">
        <f>IF(COUNT('Weekly Data'!R208:V208)=0,"",AVERAGE('Weekly Data'!R208:V208))</f>
        <v/>
      </c>
      <c r="H208" s="262" t="str">
        <f>IF(COUNT('Weekly Data'!W208:Z208)=0,"",AVERAGE('Weekly Data'!W208:Z208))</f>
        <v/>
      </c>
      <c r="I208" s="262">
        <f>IF(COUNT('Weekly Data'!AA208:AD208)=0,"",AVERAGE('Weekly Data'!AA208:AD208))</f>
        <v>0.76231334275135232</v>
      </c>
      <c r="J208" s="262">
        <f>IF(COUNT('Weekly Data'!AE208:AG208)=0,"",AVERAGE('Weekly Data'!AE208:AG208))</f>
        <v>0.66562362758014926</v>
      </c>
      <c r="K208" s="262">
        <f>IF(COUNT('Weekly Data'!AH208:AM208)=0,"",AVERAGE('Weekly Data'!AH208:AM208))</f>
        <v>0.49425479517112475</v>
      </c>
      <c r="L208" s="262">
        <f>IF(COUNT('Weekly Data'!AN208:AQ208)=0,"",AVERAGE('Weekly Data'!AN208:AQ208))</f>
        <v>0.37115863787375414</v>
      </c>
      <c r="M208" s="262">
        <f>IF(COUNT('Weekly Data'!AR208:AV208)=0,"",AVERAGE('Weekly Data'!AR208:AV208))</f>
        <v>0.32616657213083755</v>
      </c>
      <c r="N208" s="262">
        <f>IF(COUNT('Weekly Data'!AW208:AZ208)=0,"",AVERAGE('Weekly Data'!AW208:AZ208))</f>
        <v>0.18681318681318682</v>
      </c>
      <c r="O208" s="262" t="str">
        <f>IF(COUNT('Weekly Data'!BA208:BD208)=0,"",AVERAGE('Weekly Data'!BA208:BD208))</f>
        <v/>
      </c>
      <c r="P208" s="262"/>
      <c r="Q208" s="262">
        <f>IF(COUNT('Weekly Data'!E208:BD208)=0,"",IF(AVERAGE('Weekly Data'!E208:BD208)&lt;0.0455,"&lt;0.5",AVERAGE('Weekly Data'!E208:BD208)))</f>
        <v>0.46750239989445491</v>
      </c>
      <c r="R208" s="262">
        <f>IF(COUNT('Weekly Data'!E208:BD208)=0,"",IF(MIN('Weekly Data'!E208:BD208)&lt;0.0455,"&lt;0.5",MIN('Weekly Data'!E208:BD208)))</f>
        <v>0.14285714285714288</v>
      </c>
      <c r="S208" s="262">
        <f>IF(COUNT('Weekly Data'!E208:BD208)=0,"",IF(MAX('Weekly Data'!E208:BD208)&lt;0.0455,"&lt;0.5",MAX('Weekly Data'!E208:BD208)))</f>
        <v>0.78260869565217395</v>
      </c>
      <c r="T208" s="353"/>
      <c r="U208" s="52">
        <f>COUNT('Weekly Data'!E208:BC208)</f>
        <v>25</v>
      </c>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row>
    <row r="209" spans="1:256" ht="17">
      <c r="A209" s="1"/>
      <c r="B209" s="267" t="str">
        <f>'Weekly Data'!A209</f>
        <v>Total DOC (% Removal)</v>
      </c>
      <c r="C209" s="257" t="str">
        <f>'Weekly Data'!B209</f>
        <v>% Removal</v>
      </c>
      <c r="D209" s="268">
        <f>IF(COUNT('Weekly Data'!E209:I209)=0,"",AVERAGE('Weekly Data'!E209:I209))</f>
        <v>0.35113118750834066</v>
      </c>
      <c r="E209" s="268">
        <f>IF(COUNT('Weekly Data'!J209:M209)=0,"",AVERAGE('Weekly Data'!J209:M209))</f>
        <v>0.31425058775160397</v>
      </c>
      <c r="F209" s="268">
        <f>IF(COUNT('Weekly Data'!N209:Q209)=0,"",AVERAGE('Weekly Data'!N209:Q209))</f>
        <v>0.29942775593640125</v>
      </c>
      <c r="G209" s="268">
        <f>IF(COUNT('Weekly Data'!R209:V209)=0,"",AVERAGE('Weekly Data'!R209:V209))</f>
        <v>0.39260082023239917</v>
      </c>
      <c r="H209" s="268">
        <f>IF(COUNT('Weekly Data'!W209:Z209)=0,"",AVERAGE('Weekly Data'!W209:Z209))</f>
        <v>0.37234970911441501</v>
      </c>
      <c r="I209" s="268">
        <f>IF(COUNT('Weekly Data'!AA209:AD209)=0,"",AVERAGE('Weekly Data'!AA209:AD209))</f>
        <v>0.85426385357919932</v>
      </c>
      <c r="J209" s="268">
        <f>IF(COUNT('Weekly Data'!AE209:AG209)=0,"",AVERAGE('Weekly Data'!AE209:AG209))</f>
        <v>0.79714642872537611</v>
      </c>
      <c r="K209" s="268">
        <f>IF(COUNT('Weekly Data'!AH209:AM209)=0,"",AVERAGE('Weekly Data'!AH209:AM209))</f>
        <v>0.70085754927860189</v>
      </c>
      <c r="L209" s="268">
        <f>IF(COUNT('Weekly Data'!AN209:AQ209)=0,"",AVERAGE('Weekly Data'!AN209:AQ209))</f>
        <v>0.63759920634920642</v>
      </c>
      <c r="M209" s="268">
        <f>IF(COUNT('Weekly Data'!AR209:AV209)=0,"",AVERAGE('Weekly Data'!AR209:AV209))</f>
        <v>0.59545776205218925</v>
      </c>
      <c r="N209" s="268">
        <f>IF(COUNT('Weekly Data'!AW209:AZ209)=0,"",AVERAGE('Weekly Data'!AW209:AZ209))</f>
        <v>0.44802458296751535</v>
      </c>
      <c r="O209" s="268">
        <f>IF(COUNT('Weekly Data'!BA209:BD209)=0,"",AVERAGE('Weekly Data'!BA209:BD209))</f>
        <v>0.33673039923039921</v>
      </c>
      <c r="P209" s="268"/>
      <c r="Q209" s="268">
        <f>IF(COUNT('Weekly Data'!E209:BD209)=0,"",IF(AVERAGE('Weekly Data'!E209:BD209)&lt;0.0455,"&lt;0.5",AVERAGE('Weekly Data'!E209:BD209)))</f>
        <v>0.50992916492739127</v>
      </c>
      <c r="R209" s="268">
        <f>IF(COUNT('Weekly Data'!E209:BD209)=0,"",IF(MIN('Weekly Data'!E209:BD209)&lt;0.0455,"&lt;0.5",MIN('Weekly Data'!E209:BD209)))</f>
        <v>0.26760563380281682</v>
      </c>
      <c r="S209" s="268">
        <f>IF(COUNT('Weekly Data'!E209:BD209)=0,"",IF(MAX('Weekly Data'!E209:BD209)&lt;0.0455,"&lt;0.5",MAX('Weekly Data'!E209:BD209)))</f>
        <v>0.86842105263157898</v>
      </c>
      <c r="T209" s="293"/>
      <c r="U209" s="259">
        <f>COUNT('Weekly Data'!E209:BC209)</f>
        <v>51</v>
      </c>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row>
    <row r="210" spans="1:256">
      <c r="A210" s="1"/>
      <c r="B210" s="258" t="str">
        <f>'Weekly Data'!A210</f>
        <v>CW Organic Carbon (diss @ 254nm)</v>
      </c>
      <c r="C210" s="257" t="str">
        <f>'Weekly Data'!B210</f>
        <v>Abs 10cm</v>
      </c>
      <c r="D210" s="269">
        <f>IF(COUNT('Weekly Data'!E210:I210)=0,"",AVERAGE('Weekly Data'!E210:I210))</f>
        <v>0.54565000000000008</v>
      </c>
      <c r="E210" s="269">
        <f>IF(COUNT('Weekly Data'!J210:M210)=0,"",AVERAGE('Weekly Data'!J210:M210))</f>
        <v>0.55220000000000002</v>
      </c>
      <c r="F210" s="269">
        <f>IF(COUNT('Weekly Data'!N210:Q210)=0,"",AVERAGE('Weekly Data'!N210:Q210))</f>
        <v>0.55457500000000004</v>
      </c>
      <c r="G210" s="269">
        <f>IF(COUNT('Weekly Data'!R210:V210)=0,"",AVERAGE('Weekly Data'!R210:V210))</f>
        <v>0.44235999999999998</v>
      </c>
      <c r="H210" s="269">
        <f>IF(COUNT('Weekly Data'!W210:Z210)=0,"",AVERAGE('Weekly Data'!W210:Z210))</f>
        <v>0.39312500000000006</v>
      </c>
      <c r="I210" s="269">
        <f>IF(COUNT('Weekly Data'!AA210:AD210)=0,"",AVERAGE('Weekly Data'!AA210:AD210))</f>
        <v>1.8325000000000001E-2</v>
      </c>
      <c r="J210" s="269">
        <f>IF(COUNT('Weekly Data'!AE210:AI210)=0,"",AVERAGE('Weekly Data'!AE210:AI210))</f>
        <v>6.2280000000000002E-2</v>
      </c>
      <c r="K210" s="269">
        <f>IF(COUNT('Weekly Data'!AJ210:AM210)=0,"",AVERAGE('Weekly Data'!AJ210:AM210))</f>
        <v>0.127525</v>
      </c>
      <c r="L210" s="269">
        <f>IF(COUNT('Weekly Data'!AN210:AQ210)=0,"",AVERAGE('Weekly Data'!AN210:AQ210))</f>
        <v>0.17205000000000001</v>
      </c>
      <c r="M210" s="269">
        <f>IF(COUNT('Weekly Data'!AR210:AV210)=0,"",AVERAGE('Weekly Data'!AR210:AV210))</f>
        <v>0.18229999999999999</v>
      </c>
      <c r="N210" s="269">
        <f>IF(COUNT('Weekly Data'!AW210:AZ210)=0,"",AVERAGE('Weekly Data'!AW210:AZ210))</f>
        <v>0.28282499999999999</v>
      </c>
      <c r="O210" s="269">
        <f>IF(COUNT('Weekly Data'!BA210:BD210)=0,"",AVERAGE('Weekly Data'!BA210:BD210))</f>
        <v>0.43303333333333333</v>
      </c>
      <c r="P210" s="269"/>
      <c r="Q210" s="269">
        <f>IF(COUNT('Weekly Data'!E210:BD210)=0,"",AVERAGE('Weekly Data'!E210:BD210))</f>
        <v>0.30136122448979585</v>
      </c>
      <c r="R210" s="269">
        <f>IF(COUNT('Weekly Data'!E210:BD210)=0,"",MIN('Weekly Data'!E210:BD210))</f>
        <v>1.9E-3</v>
      </c>
      <c r="S210" s="269">
        <f>IF(COUNT('Weekly Data'!E210:BD210)=0,"",MAX('Weekly Data'!E210:BD210))</f>
        <v>0.57369999999999999</v>
      </c>
      <c r="T210" s="331"/>
      <c r="U210" s="270">
        <f>COUNT('Weekly Data'!E210:BC210)</f>
        <v>49</v>
      </c>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row>
    <row r="211" spans="1:256">
      <c r="A211" s="1"/>
      <c r="B211" s="258" t="str">
        <f>'Weekly Data'!A211</f>
        <v>UV@254/CW DOC</v>
      </c>
      <c r="C211" s="257" t="str">
        <f>'Weekly Data'!B211</f>
        <v>ratio</v>
      </c>
      <c r="D211" s="269">
        <f>IF(COUNT('Weekly Data'!E211:I211)=0,"",AVERAGE('Weekly Data'!E211:I211))</f>
        <v>0.10107735690235689</v>
      </c>
      <c r="E211" s="269">
        <f>IF(COUNT('Weekly Data'!J211:M211)=0,"",AVERAGE('Weekly Data'!J211:M211))</f>
        <v>0.10101459034792366</v>
      </c>
      <c r="F211" s="269">
        <f>IF(COUNT('Weekly Data'!N211:Q211)=0,"",AVERAGE('Weekly Data'!N211:Q211))</f>
        <v>0.10273778998778998</v>
      </c>
      <c r="G211" s="269">
        <f>IF(COUNT('Weekly Data'!R211:V211)=0,"",AVERAGE('Weekly Data'!R211:V211))</f>
        <v>9.5674401068832335E-2</v>
      </c>
      <c r="H211" s="269">
        <f>IF(COUNT('Weekly Data'!W211:Z211)=0,"",AVERAGE('Weekly Data'!W211:Z211))</f>
        <v>9.2592629356526138E-2</v>
      </c>
      <c r="I211" s="269">
        <f>IF(COUNT('Weekly Data'!AA211:AD211)=0,"",AVERAGE('Weekly Data'!AA211:AD211))</f>
        <v>1.7034469696969697E-2</v>
      </c>
      <c r="J211" s="269">
        <f>IF(COUNT('Weekly Data'!AE211:AI211)=0,"",AVERAGE('Weekly Data'!AE211:AI211))</f>
        <v>3.5443214285714286E-2</v>
      </c>
      <c r="K211" s="269">
        <f>IF(COUNT('Weekly Data'!AJ211:AM211)=0,"",AVERAGE('Weekly Data'!AJ211:AM211))</f>
        <v>5.5433712121212127E-2</v>
      </c>
      <c r="L211" s="269">
        <f>IF(COUNT('Weekly Data'!AN211:AQ211)=0,"",AVERAGE('Weekly Data'!AN211:AQ211))</f>
        <v>6.0411975031017376E-2</v>
      </c>
      <c r="M211" s="269">
        <f>IF(COUNT('Weekly Data'!AR211:AV211)=0,"",AVERAGE('Weekly Data'!AR211:AV211))</f>
        <v>6.166191730523627E-2</v>
      </c>
      <c r="N211" s="269">
        <f>IF(COUNT('Weekly Data'!AW211:AZ211)=0,"",AVERAGE('Weekly Data'!AW211:AZ211))</f>
        <v>7.7242503156565653E-2</v>
      </c>
      <c r="O211" s="269">
        <f>IF(COUNT('Weekly Data'!BA211:BD211)=0,"",AVERAGE('Weekly Data'!BA211:BD211))</f>
        <v>0.10149190429536431</v>
      </c>
      <c r="P211" s="269"/>
      <c r="Q211" s="269">
        <f>IF(COUNT('Weekly Data'!E211:BD211)=0,"",AVERAGE('Weekly Data'!E211:BD211))</f>
        <v>7.3419161066092434E-2</v>
      </c>
      <c r="R211" s="269">
        <f>IF(COUNT('Weekly Data'!E211:BD211)=0,"",MIN('Weekly Data'!E211:BD211))</f>
        <v>1.9E-3</v>
      </c>
      <c r="S211" s="269">
        <f>IF(COUNT('Weekly Data'!E211:BD211)=0,"",MAX('Weekly Data'!E211:BD211))</f>
        <v>0.10824528301886793</v>
      </c>
      <c r="T211" s="331"/>
      <c r="U211" s="270">
        <f>COUNT('Weekly Data'!E211:BC211)</f>
        <v>49</v>
      </c>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row>
    <row r="212" spans="1:256">
      <c r="A212" s="1"/>
      <c r="B212" s="258" t="str">
        <f>'Weekly Data'!A212</f>
        <v>PreGAC Organic Carbon (diss @ 254nm)</v>
      </c>
      <c r="C212" s="257" t="str">
        <f>'Weekly Data'!B212</f>
        <v>Abs 10cm</v>
      </c>
      <c r="D212" s="269" t="str">
        <f>IF(COUNT('Weekly Data'!E212:I212)=0,"",AVERAGE('Weekly Data'!E212:I212))</f>
        <v/>
      </c>
      <c r="E212" s="269" t="str">
        <f>IF(COUNT('Weekly Data'!J212:M212)=0,"",AVERAGE('Weekly Data'!J212:M212))</f>
        <v/>
      </c>
      <c r="F212" s="269" t="str">
        <f>IF(COUNT('Weekly Data'!N212:Q212)=0,"",AVERAGE('Weekly Data'!N212:Q212))</f>
        <v/>
      </c>
      <c r="G212" s="269" t="str">
        <f>IF(COUNT('Weekly Data'!R212:V212)=0,"",AVERAGE('Weekly Data'!R212:V212))</f>
        <v/>
      </c>
      <c r="H212" s="269" t="str">
        <f>IF(COUNT('Weekly Data'!W212:Z212)=0,"",AVERAGE('Weekly Data'!W212:Z212))</f>
        <v/>
      </c>
      <c r="I212" s="269">
        <f>IF(COUNT('Weekly Data'!AA212:AD212)=0,"",AVERAGE('Weekly Data'!AA212:AD212))</f>
        <v>0.41337499999999999</v>
      </c>
      <c r="J212" s="269">
        <f>IF(COUNT('Weekly Data'!AE212:AI212)=0,"",AVERAGE('Weekly Data'!AE212:AI212))</f>
        <v>0.42786000000000002</v>
      </c>
      <c r="K212" s="269">
        <f>IF(COUNT('Weekly Data'!AJ212:AM212)=0,"",AVERAGE('Weekly Data'!AJ212:AM212))</f>
        <v>0.43190000000000001</v>
      </c>
      <c r="L212" s="269">
        <f>IF(COUNT('Weekly Data'!AN212:AQ212)=0,"",AVERAGE('Weekly Data'!AN212:AQ212))</f>
        <v>0.42247499999999999</v>
      </c>
      <c r="M212" s="269">
        <f>IF(COUNT('Weekly Data'!AR212:AV212)=0,"",AVERAGE('Weekly Data'!AR212:AV212))</f>
        <v>0.39748</v>
      </c>
      <c r="N212" s="269">
        <f>IF(COUNT('Weekly Data'!AW212:AZ212)=0,"",AVERAGE('Weekly Data'!AW212:AZ212))</f>
        <v>0.40250000000000002</v>
      </c>
      <c r="O212" s="269" t="str">
        <f>IF(COUNT('Weekly Data'!BA212:BD212)=0,"",AVERAGE('Weekly Data'!BA212:BD212))</f>
        <v/>
      </c>
      <c r="P212" s="269"/>
      <c r="Q212" s="269">
        <f>IF(COUNT('Weekly Data'!E212:BD212)=0,"",AVERAGE('Weekly Data'!E212:BD212))</f>
        <v>0.41620800000000002</v>
      </c>
      <c r="R212" s="269">
        <f>IF(COUNT('Weekly Data'!E212:BD212)=0,"",MIN('Weekly Data'!E212:BD212))</f>
        <v>0.38500000000000001</v>
      </c>
      <c r="S212" s="269">
        <f>IF(COUNT('Weekly Data'!E212:BD212)=0,"",MAX('Weekly Data'!E212:BD212))</f>
        <v>0.46360000000000001</v>
      </c>
      <c r="T212" s="331"/>
      <c r="U212" s="270">
        <f>COUNT('Weekly Data'!E212:BC212)</f>
        <v>25</v>
      </c>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row>
    <row r="213" spans="1:256">
      <c r="A213" s="1"/>
      <c r="B213" s="258" t="str">
        <f>'Weekly Data'!A213</f>
        <v>Phosphate(ortho)</v>
      </c>
      <c r="C213" s="257" t="str">
        <f>'Weekly Data'!B213</f>
        <v>µg/L P</v>
      </c>
      <c r="D213" s="257">
        <f>IF(COUNT('Weekly Data'!E213:I213)=0,"",IF(AVERAGE('Weekly Data'!E213:I213)&lt;1.45,"&lt;2",AVERAGE('Weekly Data'!E213:I213)))</f>
        <v>5</v>
      </c>
      <c r="E213" s="257">
        <f>IF(COUNT('Weekly Data'!J213:M213)=0,"",IF(AVERAGE('Weekly Data'!J213:M213)&lt;1.45,"&lt;2",AVERAGE('Weekly Data'!J213:M213)))</f>
        <v>5</v>
      </c>
      <c r="F213" s="257">
        <f>IF(COUNT('Weekly Data'!N213:Q213)=0,"",IF(AVERAGE('Weekly Data'!N213:Q213)&lt;1.45,"&lt;2",AVERAGE('Weekly Data'!N213:Q213)))</f>
        <v>4</v>
      </c>
      <c r="G213" s="257">
        <f>IF(COUNT('Weekly Data'!R213:V213)=0,"",IF(AVERAGE('Weekly Data'!R213:V213)&lt;1.45,"&lt;2",AVERAGE('Weekly Data'!R213:V213)))</f>
        <v>2.5</v>
      </c>
      <c r="H213" s="257">
        <f>IF(COUNT('Weekly Data'!W213:Z213)=0,"",IF(AVERAGE('Weekly Data'!W213:Z213)&lt;1.45,"&lt;2",AVERAGE('Weekly Data'!W213:Z213)))</f>
        <v>2</v>
      </c>
      <c r="I213" s="257">
        <f>IF(COUNT('Weekly Data'!AA213:AD213)=0,"",IF(AVERAGE('Weekly Data'!AA213:AD213)&lt;1.45,"&lt;2",AVERAGE('Weekly Data'!AA213:AD213)))</f>
        <v>21</v>
      </c>
      <c r="J213" s="257">
        <f>IF(COUNT('Weekly Data'!AE213:AI213)=0,"",IF(AVERAGE('Weekly Data'!AE213:AI213)&lt;1.45,"&lt;2",AVERAGE('Weekly Data'!AE213:AI213)))</f>
        <v>7</v>
      </c>
      <c r="K213" s="257">
        <f>IF(COUNT('Weekly Data'!AJ213:AM213)=0,"",IF(AVERAGE('Weekly Data'!AJ213:AM213)&lt;1.45,"&lt;2",AVERAGE('Weekly Data'!AJ213:AM213)))</f>
        <v>3.75</v>
      </c>
      <c r="L213" s="257">
        <f>IF(COUNT('Weekly Data'!AN213:AQ213)=0,"",IF(AVERAGE('Weekly Data'!AN213:AQ213)&lt;1.45,"&lt;2",AVERAGE('Weekly Data'!AN213:AQ213)))</f>
        <v>5.25</v>
      </c>
      <c r="M213" s="257">
        <f>IF(COUNT('Weekly Data'!AR213:AV213)=0,"",IF(AVERAGE('Weekly Data'!AR213:AV213)&lt;1.45,"&lt;2",AVERAGE('Weekly Data'!AR213:AV213)))</f>
        <v>4</v>
      </c>
      <c r="N213" s="257">
        <f>IF(COUNT('Weekly Data'!AW213:AZ213)=0,"",IF(AVERAGE('Weekly Data'!AW213:AZ213)&lt;1.45,"&lt;2",AVERAGE('Weekly Data'!AW213:AZ213)))</f>
        <v>4</v>
      </c>
      <c r="O213" s="257">
        <f>IF(COUNT('Weekly Data'!BA213:BD213)=0,"",IF(AVERAGE('Weekly Data'!BA213:BD213)&lt;1.45,"&lt;2",AVERAGE('Weekly Data'!BA213:BD213)))</f>
        <v>2.3333333333333335</v>
      </c>
      <c r="P213" s="257"/>
      <c r="Q213" s="257">
        <f>IF(COUNT('Weekly Data'!E213:BD213)=0,"",IF(AVERAGE('Weekly Data'!E213:BD213)&lt;1.45,"&lt;2",AVERAGE('Weekly Data'!E213:BD213)))</f>
        <v>5.6511627906976747</v>
      </c>
      <c r="R213" s="257" t="str">
        <f>IF(COUNT('Weekly Data'!E213:BD213)=0,"",IF(MIN('Weekly Data'!E213:BD213)&lt;1.45,"&lt;2",MIN('Weekly Data'!E213:BD213)))</f>
        <v>&lt;2</v>
      </c>
      <c r="S213" s="257">
        <f>IF(COUNT('Weekly Data'!E213:BD213)=0,"",IF(MAX('Weekly Data'!E213:BD213)&lt;1.45,"&lt;2",MAX('Weekly Data'!E213:BD213)))</f>
        <v>44</v>
      </c>
      <c r="T213" s="293"/>
      <c r="U213" s="259">
        <f>COUNT('Weekly Data'!E213:BC213)</f>
        <v>43</v>
      </c>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row>
    <row r="214" spans="1:256">
      <c r="A214" s="1"/>
      <c r="B214" s="258" t="str">
        <f>'Weekly Data'!A214</f>
        <v>Phosphate(total)</v>
      </c>
      <c r="C214" s="257" t="str">
        <f>'Weekly Data'!B214</f>
        <v>µg/L P</v>
      </c>
      <c r="D214" s="257">
        <f>IF(COUNT('Weekly Data'!E214:I214)=0,"",IF(AVERAGE('Weekly Data'!E214:I214)&lt;1.45,"&lt;2",AVERAGE('Weekly Data'!E214:I214)))</f>
        <v>12.333333333333334</v>
      </c>
      <c r="E214" s="257">
        <f>IF(COUNT('Weekly Data'!J214:M214)=0,"",IF(AVERAGE('Weekly Data'!J214:M214)&lt;1.45,"&lt;2",AVERAGE('Weekly Data'!J214:M214)))</f>
        <v>9</v>
      </c>
      <c r="F214" s="257">
        <f>IF(COUNT('Weekly Data'!N214:Q214)=0,"",IF(AVERAGE('Weekly Data'!N214:Q214)&lt;1.45,"&lt;2",AVERAGE('Weekly Data'!N214:Q214)))</f>
        <v>9.3333333333333339</v>
      </c>
      <c r="G214" s="257">
        <f>IF(COUNT('Weekly Data'!R214:V214)=0,"",IF(AVERAGE('Weekly Data'!R214:V214)&lt;1.45,"&lt;2",AVERAGE('Weekly Data'!R214:V214)))</f>
        <v>7.5</v>
      </c>
      <c r="H214" s="257">
        <f>IF(COUNT('Weekly Data'!W214:Z214)=0,"",IF(AVERAGE('Weekly Data'!W214:Z214)&lt;1.45,"&lt;2",AVERAGE('Weekly Data'!W214:Z214)))</f>
        <v>5.75</v>
      </c>
      <c r="I214" s="257">
        <f>IF(COUNT('Weekly Data'!AA214:AD214)=0,"",IF(AVERAGE('Weekly Data'!AA214:AD214)&lt;1.45,"&lt;2",AVERAGE('Weekly Data'!AA214:AD214)))</f>
        <v>24.5</v>
      </c>
      <c r="J214" s="257">
        <f>IF(COUNT('Weekly Data'!AE214:AI214)=0,"",IF(AVERAGE('Weekly Data'!AE214:AI214)&lt;1.45,"&lt;2",AVERAGE('Weekly Data'!AE214:AI214)))</f>
        <v>12</v>
      </c>
      <c r="K214" s="257">
        <f>IF(COUNT('Weekly Data'!AJ214:AM214)=0,"",IF(AVERAGE('Weekly Data'!AJ214:AM214)&lt;1.45,"&lt;2",AVERAGE('Weekly Data'!AJ214:AM214)))</f>
        <v>8</v>
      </c>
      <c r="L214" s="257">
        <f>IF(COUNT('Weekly Data'!AN214:AQ214)=0,"",IF(AVERAGE('Weekly Data'!AN214:AQ214)&lt;1.45,"&lt;2",AVERAGE('Weekly Data'!AN214:AQ214)))</f>
        <v>5.25</v>
      </c>
      <c r="M214" s="257">
        <f>IF(COUNT('Weekly Data'!AR214:AV214)=0,"",IF(AVERAGE('Weekly Data'!AR214:AV214)&lt;1.45,"&lt;2",AVERAGE('Weekly Data'!AR214:AV214)))</f>
        <v>4.8</v>
      </c>
      <c r="N214" s="257">
        <f>IF(COUNT('Weekly Data'!AW214:AZ214)=0,"",IF(AVERAGE('Weekly Data'!AW214:AZ214)&lt;1.45,"&lt;2",AVERAGE('Weekly Data'!AW214:AZ214)))</f>
        <v>4.5</v>
      </c>
      <c r="O214" s="257">
        <f>IF(COUNT('Weekly Data'!BA214:BD214)=0,"",IF(AVERAGE('Weekly Data'!BA214:BD214)&lt;1.45,"&lt;2",AVERAGE('Weekly Data'!BA214:BD214)))</f>
        <v>6.666666666666667</v>
      </c>
      <c r="P214" s="257"/>
      <c r="Q214" s="257">
        <f>IF(COUNT('Weekly Data'!E214:BD214)=0,"",IF(AVERAGE('Weekly Data'!E214:BD214)&lt;1.45,"&lt;2",AVERAGE('Weekly Data'!E214:BD214)))</f>
        <v>9.0909090909090917</v>
      </c>
      <c r="R214" s="257">
        <f>IF(COUNT('Weekly Data'!E214:BD214)=0,"",IF(MIN('Weekly Data'!E214:BD214)&lt;1.45,"&lt;2",MIN('Weekly Data'!E214:BD214)))</f>
        <v>3</v>
      </c>
      <c r="S214" s="257">
        <f>IF(COUNT('Weekly Data'!E214:BD214)=0,"",IF(MAX('Weekly Data'!E214:BD214)&lt;1.45,"&lt;2",MAX('Weekly Data'!E214:BD214)))</f>
        <v>50</v>
      </c>
      <c r="T214" s="293"/>
      <c r="U214" s="259">
        <f>COUNT('Weekly Data'!E214:BC214)</f>
        <v>44</v>
      </c>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row>
    <row r="215" spans="1:256">
      <c r="A215" s="1"/>
      <c r="B215" s="258" t="str">
        <f>'Weekly Data'!A215</f>
        <v>Silica (SiO3)</v>
      </c>
      <c r="C215" s="257" t="str">
        <f>'Weekly Data'!B215</f>
        <v>mg/L</v>
      </c>
      <c r="D215" s="247">
        <f>IF(COUNT('Weekly Data'!E215:I215)=0,"",IF(AVERAGE('Weekly Data'!E215:I215)&lt;0.055,"&lt;0.1",AVERAGE('Weekly Data'!E215:I215)))</f>
        <v>7.8100000000000005</v>
      </c>
      <c r="E215" s="247">
        <f>IF(COUNT('Weekly Data'!J215:M215)=0,"",IF(AVERAGE('Weekly Data'!J215:M215)&lt;0.055,"&lt;0.1",AVERAGE('Weekly Data'!J215:M215)))</f>
        <v>8.1950000000000003</v>
      </c>
      <c r="F215" s="247">
        <f>IF(COUNT('Weekly Data'!N215:Q215)=0,"",IF(AVERAGE('Weekly Data'!N215:Q215)&lt;0.055,"&lt;0.1",AVERAGE('Weekly Data'!N215:Q215)))</f>
        <v>9.0250000000000004</v>
      </c>
      <c r="G215" s="247">
        <f>IF(COUNT('Weekly Data'!R215:V215)=0,"",IF(AVERAGE('Weekly Data'!R215:V215)&lt;0.055,"&lt;0.1",AVERAGE('Weekly Data'!R215:V215)))</f>
        <v>7.6400000000000006</v>
      </c>
      <c r="H215" s="247">
        <f>IF(COUNT('Weekly Data'!W215:Z215)=0,"",IF(AVERAGE('Weekly Data'!W215:Z215)&lt;0.055,"&lt;0.1",AVERAGE('Weekly Data'!W215:Z215)))</f>
        <v>5.5350000000000001</v>
      </c>
      <c r="I215" s="247">
        <f>IF(COUNT('Weekly Data'!AA215:AD215)=0,"",IF(AVERAGE('Weekly Data'!AA215:AD215)&lt;0.055,"&lt;0.1",AVERAGE('Weekly Data'!AA215:AD215)))</f>
        <v>6.7549999999999999</v>
      </c>
      <c r="J215" s="247">
        <f>IF(COUNT('Weekly Data'!AE215:AI215)=0,"",IF(AVERAGE('Weekly Data'!AE215:AI215)&lt;0.055,"&lt;0.1",AVERAGE('Weekly Data'!AE215:AI215)))</f>
        <v>8.26</v>
      </c>
      <c r="K215" s="247">
        <f>IF(COUNT('Weekly Data'!AJ215:AM215)=0,"",IF(AVERAGE('Weekly Data'!AJ215:AM215)&lt;0.055,"&lt;0.1",AVERAGE('Weekly Data'!AJ215:AM215)))</f>
        <v>10.1175</v>
      </c>
      <c r="L215" s="247">
        <f>IF(COUNT('Weekly Data'!AN215:AQ215)=0,"",IF(AVERAGE('Weekly Data'!AN215:AQ215)&lt;0.055,"&lt;0.1",AVERAGE('Weekly Data'!AN215:AQ215)))</f>
        <v>11.327500000000001</v>
      </c>
      <c r="M215" s="247">
        <f>IF(COUNT('Weekly Data'!AR215:AV215)=0,"",IF(AVERAGE('Weekly Data'!AR215:AV215)&lt;0.055,"&lt;0.1",AVERAGE('Weekly Data'!AR215:AV215)))</f>
        <v>10.728</v>
      </c>
      <c r="N215" s="247">
        <f>IF(COUNT('Weekly Data'!AW215:AZ215)=0,"",IF(AVERAGE('Weekly Data'!AW215:AZ215)&lt;0.055,"&lt;0.1",AVERAGE('Weekly Data'!AW215:AZ215)))</f>
        <v>10.065</v>
      </c>
      <c r="O215" s="247">
        <f>IF(COUNT('Weekly Data'!BA215:BD215)=0,"",IF(AVERAGE('Weekly Data'!BA215:BD215)&lt;0.055,"&lt;0.1",AVERAGE('Weekly Data'!BA215:BD215)))</f>
        <v>9.9700000000000006</v>
      </c>
      <c r="P215" s="247"/>
      <c r="Q215" s="247">
        <f>IF(COUNT('Weekly Data'!E215:BD215)=0,"",IF(AVERAGE('Weekly Data'!E215:BD215)&lt;0.055,"&lt;0.1",AVERAGE('Weekly Data'!E215:BD215)))</f>
        <v>8.7912499999999998</v>
      </c>
      <c r="R215" s="247">
        <f>IF(COUNT('Weekly Data'!E215:BD215)=0,"",IF(MIN('Weekly Data'!E215:BD215)&lt;0.055,"&lt;0.1",MIN('Weekly Data'!E215:BD215)))</f>
        <v>5.33</v>
      </c>
      <c r="S215" s="247">
        <f>IF(COUNT('Weekly Data'!E215:BD215)=0,"",IF(MAX('Weekly Data'!E215:BD215)&lt;0.055,"&lt;0.1",MAX('Weekly Data'!E215:BD215)))</f>
        <v>12.09</v>
      </c>
      <c r="T215" s="293"/>
      <c r="U215" s="259">
        <f>COUNT('Weekly Data'!E215:BC215)</f>
        <v>48</v>
      </c>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row>
    <row r="216" spans="1:256">
      <c r="A216" s="1"/>
      <c r="B216" s="258" t="str">
        <f>'Weekly Data'!A216</f>
        <v>Sulphide</v>
      </c>
      <c r="C216" s="257" t="str">
        <f>'Weekly Data'!B216</f>
        <v>µg/L</v>
      </c>
      <c r="D216" s="257" t="str">
        <f>IF(COUNT('Weekly Data'!E216:I216)=0,"",IF(AVERAGE('Weekly Data'!E216:I216)&lt;74.5,"&lt;75",AVERAGE('Weekly Data'!E216:I216)))</f>
        <v>&lt;75</v>
      </c>
      <c r="E216" s="257" t="str">
        <f>IF(COUNT('Weekly Data'!J216:M216)=0,"",IF(AVERAGE('Weekly Data'!J216:M216)&lt;74.5,"&lt;75",AVERAGE('Weekly Data'!J216:M216)))</f>
        <v>&lt;75</v>
      </c>
      <c r="F216" s="257" t="str">
        <f>IF(COUNT('Weekly Data'!N216:Q216)=0,"",IF(AVERAGE('Weekly Data'!N216:Q216)&lt;74.5,"&lt;75",AVERAGE('Weekly Data'!N216:Q216)))</f>
        <v>&lt;75</v>
      </c>
      <c r="G216" s="257" t="str">
        <f>IF(COUNT('Weekly Data'!R216:V216)=0,"",IF(AVERAGE('Weekly Data'!R216:V216)&lt;74.5,"&lt;75",AVERAGE('Weekly Data'!R216:V216)))</f>
        <v>&lt;75</v>
      </c>
      <c r="H216" s="257" t="str">
        <f>IF(COUNT('Weekly Data'!W216:Z216)=0,"",IF(AVERAGE('Weekly Data'!W216:Z216)&lt;74.5,"&lt;75",AVERAGE('Weekly Data'!W216:Z216)))</f>
        <v>&lt;75</v>
      </c>
      <c r="I216" s="257" t="str">
        <f>IF(COUNT('Weekly Data'!AA216:AD216)=0,"",IF(AVERAGE('Weekly Data'!AA216:AD216)&lt;74.5,"&lt;75",AVERAGE('Weekly Data'!AA216:AD216)))</f>
        <v>&lt;75</v>
      </c>
      <c r="J216" s="257" t="str">
        <f>IF(COUNT('Weekly Data'!AE216:AI216)=0,"",IF(AVERAGE('Weekly Data'!AE216:AI216)&lt;74.5,"&lt;75",AVERAGE('Weekly Data'!AE216:AI216)))</f>
        <v>&lt;75</v>
      </c>
      <c r="K216" s="257" t="str">
        <f>IF(COUNT('Weekly Data'!AJ216:AM216)=0,"",IF(AVERAGE('Weekly Data'!AJ216:AM216)&lt;74.5,"&lt;75",AVERAGE('Weekly Data'!AJ216:AM216)))</f>
        <v>&lt;75</v>
      </c>
      <c r="L216" s="257" t="str">
        <f>IF(COUNT('Weekly Data'!AN216:AQ216)=0,"",IF(AVERAGE('Weekly Data'!AN216:AQ216)&lt;74.5,"&lt;75",AVERAGE('Weekly Data'!AN216:AQ216)))</f>
        <v>&lt;75</v>
      </c>
      <c r="M216" s="257" t="str">
        <f>IF(COUNT('Weekly Data'!AR216:AV216)=0,"",IF(AVERAGE('Weekly Data'!AR216:AV216)&lt;74.5,"&lt;75",AVERAGE('Weekly Data'!AR216:AV216)))</f>
        <v>&lt;75</v>
      </c>
      <c r="N216" s="257" t="str">
        <f>IF(COUNT('Weekly Data'!AW216:AZ216)=0,"",IF(AVERAGE('Weekly Data'!AW216:AZ216)&lt;74.5,"&lt;75",AVERAGE('Weekly Data'!AW216:AZ216)))</f>
        <v>&lt;75</v>
      </c>
      <c r="O216" s="257" t="str">
        <f>IF(COUNT('Weekly Data'!BA216:BD216)=0,"",IF(AVERAGE('Weekly Data'!BA216:BD216)&lt;74.5,"&lt;75",AVERAGE('Weekly Data'!BA216:BD216)))</f>
        <v>&lt;75</v>
      </c>
      <c r="P216" s="257"/>
      <c r="Q216" s="257" t="str">
        <f ca="1">IF(COUNT('Weekly Data'!E216:BD216)=0,"",IF(AVERAGE(D216:BC216)&lt;74.5,"&lt;75",AVERAGE(D216:BC216)))</f>
        <v>&lt;75</v>
      </c>
      <c r="R216" s="257" t="str">
        <f ca="1">IF(COUNT('Weekly Data'!E216:BD216)=0,"",IF(MIN(E216:BC216)&lt;74.5,"&lt;75",MIN(E216:BC216)))</f>
        <v>&lt;75</v>
      </c>
      <c r="S216" s="257" t="str">
        <f ca="1">IF(COUNT('Weekly Data'!E216:BD216)=0,"",IF(MAX(D216:BC216)&lt;74.5,"&lt;75",MAX(D216:BC216)))</f>
        <v>&lt;75</v>
      </c>
      <c r="T216" s="293"/>
      <c r="U216" s="259">
        <f>COUNT('Weekly Data'!E216:BC216)</f>
        <v>46</v>
      </c>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row>
    <row r="217" spans="1:256">
      <c r="A217" s="1"/>
      <c r="B217" s="258"/>
      <c r="C217" s="257"/>
      <c r="D217" s="257"/>
      <c r="E217" s="257"/>
      <c r="F217" s="257"/>
      <c r="G217" s="257"/>
      <c r="H217" s="257"/>
      <c r="I217" s="257"/>
      <c r="J217" s="257"/>
      <c r="K217" s="257"/>
      <c r="L217" s="257"/>
      <c r="M217" s="257"/>
      <c r="N217" s="257"/>
      <c r="O217" s="257"/>
      <c r="P217" s="257"/>
      <c r="Q217" s="257"/>
      <c r="R217" s="257"/>
      <c r="S217" s="257"/>
      <c r="T217" s="293"/>
      <c r="U217" s="259"/>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row>
    <row r="218" spans="1:256">
      <c r="A218" s="1"/>
      <c r="B218" s="258" t="s">
        <v>338</v>
      </c>
      <c r="C218" s="257"/>
      <c r="D218" s="257"/>
      <c r="E218" s="257"/>
      <c r="F218" s="257"/>
      <c r="G218" s="257"/>
      <c r="H218" s="257"/>
      <c r="I218" s="257"/>
      <c r="J218" s="257"/>
      <c r="K218" s="257"/>
      <c r="L218" s="257"/>
      <c r="M218" s="257"/>
      <c r="N218" s="257"/>
      <c r="O218" s="257"/>
      <c r="P218" s="257"/>
      <c r="Q218" s="257"/>
      <c r="R218" s="257"/>
      <c r="S218" s="257"/>
      <c r="T218" s="293"/>
      <c r="U218" s="259"/>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row>
    <row r="219" spans="1:256">
      <c r="A219" s="1"/>
      <c r="B219" s="258"/>
      <c r="C219" s="257"/>
      <c r="D219" s="257"/>
      <c r="E219" s="257"/>
      <c r="F219" s="257"/>
      <c r="G219" s="257"/>
      <c r="H219" s="257"/>
      <c r="I219" s="257"/>
      <c r="J219" s="257"/>
      <c r="K219" s="257"/>
      <c r="L219" s="257"/>
      <c r="M219" s="257"/>
      <c r="N219" s="257"/>
      <c r="O219" s="257"/>
      <c r="P219" s="257"/>
      <c r="Q219" s="257"/>
      <c r="R219" s="257"/>
      <c r="S219" s="257"/>
      <c r="T219" s="293"/>
      <c r="U219" s="259"/>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row>
    <row r="220" spans="1:256">
      <c r="A220" s="1"/>
      <c r="B220" s="258"/>
      <c r="C220" s="257"/>
      <c r="D220" s="257"/>
      <c r="E220" s="257"/>
      <c r="F220" s="257"/>
      <c r="G220" s="257"/>
      <c r="H220" s="257"/>
      <c r="I220" s="257"/>
      <c r="J220" s="257"/>
      <c r="K220" s="257"/>
      <c r="L220" s="257"/>
      <c r="M220" s="257"/>
      <c r="N220" s="257"/>
      <c r="O220" s="257"/>
      <c r="P220" s="257"/>
      <c r="Q220" s="257"/>
      <c r="R220" s="257"/>
      <c r="S220" s="257"/>
      <c r="T220" s="293"/>
      <c r="U220" s="259"/>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row>
    <row r="221" spans="1:256" ht="24">
      <c r="A221" s="1"/>
      <c r="B221" s="241" t="str">
        <f>B3</f>
        <v>2001 - BUFFALO POUND WATER QUALITY DATA</v>
      </c>
      <c r="C221" s="271"/>
      <c r="D221" s="271"/>
      <c r="E221" s="271"/>
      <c r="F221" s="271"/>
      <c r="G221" s="271"/>
      <c r="H221" s="271"/>
      <c r="I221" s="257"/>
      <c r="J221" s="257"/>
      <c r="K221" s="257"/>
      <c r="L221" s="257"/>
      <c r="M221" s="257"/>
      <c r="N221" s="257"/>
      <c r="O221" s="257"/>
      <c r="P221" s="257"/>
      <c r="Q221" s="257"/>
      <c r="R221" s="257"/>
      <c r="S221" s="257"/>
      <c r="T221" s="293"/>
      <c r="U221" s="259"/>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row>
    <row r="222" spans="1:256" ht="24">
      <c r="A222" s="1"/>
      <c r="B222" s="241" t="s">
        <v>340</v>
      </c>
      <c r="C222" s="271"/>
      <c r="D222" s="271"/>
      <c r="E222" s="271"/>
      <c r="F222" s="271"/>
      <c r="G222" s="271"/>
      <c r="H222" s="271"/>
      <c r="I222" s="257"/>
      <c r="J222" s="257"/>
      <c r="K222" s="257"/>
      <c r="L222" s="257"/>
      <c r="M222" s="257"/>
      <c r="N222" s="257"/>
      <c r="O222" s="257"/>
      <c r="P222" s="257"/>
      <c r="Q222" s="257"/>
      <c r="R222" s="257"/>
      <c r="S222" s="257"/>
      <c r="T222" s="293"/>
      <c r="U222" s="259"/>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row>
    <row r="223" spans="1:256" ht="17">
      <c r="A223" s="1"/>
      <c r="B223" s="242" t="s">
        <v>355</v>
      </c>
      <c r="C223" s="271"/>
      <c r="D223" s="271"/>
      <c r="E223" s="271"/>
      <c r="F223" s="271"/>
      <c r="G223" s="271"/>
      <c r="H223" s="271"/>
      <c r="I223" s="257"/>
      <c r="J223" s="257"/>
      <c r="K223" s="257"/>
      <c r="L223" s="257"/>
      <c r="M223" s="257"/>
      <c r="N223" s="257"/>
      <c r="O223" s="257"/>
      <c r="P223" s="257"/>
      <c r="Q223" s="257"/>
      <c r="R223" s="257"/>
      <c r="S223" s="257"/>
      <c r="T223" s="293"/>
      <c r="U223" s="259"/>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row>
    <row r="224" spans="1:256">
      <c r="A224" s="1"/>
      <c r="B224" s="258"/>
      <c r="C224" s="257"/>
      <c r="D224" s="257"/>
      <c r="E224" s="257"/>
      <c r="F224" s="257"/>
      <c r="G224" s="257"/>
      <c r="H224" s="257"/>
      <c r="I224" s="257"/>
      <c r="J224" s="257"/>
      <c r="K224" s="257"/>
      <c r="L224" s="257"/>
      <c r="M224" s="257"/>
      <c r="N224" s="257"/>
      <c r="O224" s="257"/>
      <c r="P224" s="257"/>
      <c r="Q224" s="257"/>
      <c r="R224" s="257"/>
      <c r="S224" s="257"/>
      <c r="T224" s="293"/>
      <c r="U224" s="259"/>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row>
    <row r="225" spans="1:256" ht="60" customHeight="1">
      <c r="A225" s="1"/>
      <c r="B225" s="245"/>
      <c r="C225" s="246"/>
      <c r="D225" s="246"/>
      <c r="E225" s="246"/>
      <c r="F225" s="246"/>
      <c r="G225" s="246"/>
      <c r="H225" s="246"/>
      <c r="I225" s="246"/>
      <c r="J225" s="246"/>
      <c r="K225" s="246"/>
      <c r="L225" s="246"/>
      <c r="M225" s="246"/>
      <c r="N225" s="246"/>
      <c r="O225" s="246"/>
      <c r="P225" s="246"/>
      <c r="Q225" s="247"/>
      <c r="R225" s="247"/>
      <c r="S225" s="247"/>
      <c r="T225" s="293"/>
      <c r="U225" s="259"/>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row>
    <row r="226" spans="1:256" ht="30" customHeight="1">
      <c r="A226" s="1"/>
      <c r="B226" s="248" t="s">
        <v>3</v>
      </c>
      <c r="C226" s="249" t="s">
        <v>4</v>
      </c>
      <c r="D226" s="250" t="s">
        <v>322</v>
      </c>
      <c r="E226" s="250" t="s">
        <v>323</v>
      </c>
      <c r="F226" s="250" t="s">
        <v>324</v>
      </c>
      <c r="G226" s="250" t="s">
        <v>325</v>
      </c>
      <c r="H226" s="250" t="s">
        <v>326</v>
      </c>
      <c r="I226" s="250" t="s">
        <v>327</v>
      </c>
      <c r="J226" s="250" t="s">
        <v>328</v>
      </c>
      <c r="K226" s="250" t="s">
        <v>329</v>
      </c>
      <c r="L226" s="250" t="s">
        <v>330</v>
      </c>
      <c r="M226" s="250" t="s">
        <v>331</v>
      </c>
      <c r="N226" s="250" t="s">
        <v>332</v>
      </c>
      <c r="O226" s="250" t="s">
        <v>333</v>
      </c>
      <c r="P226" s="250"/>
      <c r="Q226" s="251" t="s">
        <v>334</v>
      </c>
      <c r="R226" s="251" t="s">
        <v>335</v>
      </c>
      <c r="S226" s="251" t="s">
        <v>336</v>
      </c>
      <c r="T226" s="293"/>
      <c r="U226" s="259"/>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row>
    <row r="227" spans="1:256">
      <c r="A227" s="1"/>
      <c r="B227" s="272"/>
      <c r="C227" s="255"/>
      <c r="D227" s="255"/>
      <c r="E227" s="255"/>
      <c r="F227" s="255"/>
      <c r="G227" s="255"/>
      <c r="H227" s="255"/>
      <c r="I227" s="255"/>
      <c r="J227" s="255"/>
      <c r="K227" s="255"/>
      <c r="L227" s="255"/>
      <c r="M227" s="255"/>
      <c r="N227" s="255"/>
      <c r="O227" s="255"/>
      <c r="P227" s="255"/>
      <c r="Q227" s="255"/>
      <c r="R227" s="255"/>
      <c r="S227" s="255"/>
      <c r="T227" s="293"/>
      <c r="U227" s="259"/>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row>
    <row r="228" spans="1:256">
      <c r="A228" s="1"/>
      <c r="B228" s="245" t="s">
        <v>48</v>
      </c>
      <c r="C228" s="257"/>
      <c r="D228" s="257"/>
      <c r="E228" s="257"/>
      <c r="F228" s="257"/>
      <c r="G228" s="257"/>
      <c r="H228" s="257"/>
      <c r="I228" s="257"/>
      <c r="J228" s="257"/>
      <c r="K228" s="257"/>
      <c r="L228" s="257"/>
      <c r="M228" s="257"/>
      <c r="N228" s="257"/>
      <c r="O228" s="257"/>
      <c r="P228" s="257"/>
      <c r="Q228" s="257"/>
      <c r="R228" s="257"/>
      <c r="S228" s="257"/>
      <c r="T228" s="293"/>
      <c r="U228" s="259"/>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row>
    <row r="229" spans="1:256">
      <c r="A229" s="1"/>
      <c r="B229" s="258"/>
      <c r="C229" s="257"/>
      <c r="D229" s="257"/>
      <c r="E229" s="257"/>
      <c r="F229" s="257"/>
      <c r="G229" s="257"/>
      <c r="H229" s="257"/>
      <c r="I229" s="257"/>
      <c r="J229" s="257"/>
      <c r="K229" s="257"/>
      <c r="L229" s="257"/>
      <c r="M229" s="257"/>
      <c r="N229" s="257"/>
      <c r="O229" s="257"/>
      <c r="P229" s="257"/>
      <c r="Q229" s="257"/>
      <c r="R229" s="257"/>
      <c r="S229" s="257"/>
      <c r="T229" s="293"/>
      <c r="U229" s="259"/>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row>
    <row r="230" spans="1:256">
      <c r="A230" s="1"/>
      <c r="B230" s="245" t="s">
        <v>141</v>
      </c>
      <c r="C230" s="257"/>
      <c r="D230" s="257"/>
      <c r="E230" s="257"/>
      <c r="F230" s="257"/>
      <c r="G230" s="257"/>
      <c r="H230" s="257"/>
      <c r="I230" s="257"/>
      <c r="J230" s="257"/>
      <c r="K230" s="257"/>
      <c r="L230" s="257"/>
      <c r="M230" s="257"/>
      <c r="N230" s="257"/>
      <c r="O230" s="257"/>
      <c r="P230" s="257"/>
      <c r="Q230" s="257"/>
      <c r="R230" s="257"/>
      <c r="S230" s="257"/>
      <c r="T230" s="293"/>
      <c r="U230" s="259"/>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row>
    <row r="231" spans="1:256">
      <c r="A231" s="1"/>
      <c r="B231" s="258" t="str">
        <f>'Weekly Data'!A231</f>
        <v>TTHM's (total)</v>
      </c>
      <c r="C231" s="257" t="str">
        <f>'Weekly Data'!B231</f>
        <v>µg/L(calc)</v>
      </c>
      <c r="D231" s="257">
        <f>IF(COUNT('Weekly Data'!E231:I231)=0,"",IF(AVERAGE('Weekly Data'!E231:I231)&lt;0.55,"&lt;1",AVERAGE('Weekly Data'!E231:I231)))</f>
        <v>33.4</v>
      </c>
      <c r="E231" s="257">
        <f>IF(COUNT('Weekly Data'!J231:M231)=0,"",IF(AVERAGE('Weekly Data'!J231:M231)&lt;0.55,"&lt;1",AVERAGE('Weekly Data'!J231:M231)))</f>
        <v>31</v>
      </c>
      <c r="F231" s="257">
        <f>IF(COUNT('Weekly Data'!N231:Q231)=0,"",IF(AVERAGE('Weekly Data'!N231:Q231)&lt;0.55,"&lt;1",AVERAGE('Weekly Data'!N231:Q231)))</f>
        <v>30</v>
      </c>
      <c r="G231" s="257">
        <f>IF(COUNT('Weekly Data'!R231:V231)=0,"",IF(AVERAGE('Weekly Data'!R231:V231)&lt;0.55,"&lt;1",AVERAGE('Weekly Data'!R231:V231)))</f>
        <v>30.75</v>
      </c>
      <c r="H231" s="257">
        <f>IF(COUNT('Weekly Data'!W231:Z231)=0,"",IF(AVERAGE('Weekly Data'!W231:Z231)&lt;0.55,"&lt;1",AVERAGE('Weekly Data'!W231:Z231)))</f>
        <v>41.25</v>
      </c>
      <c r="I231" s="257">
        <f>IF(COUNT('Weekly Data'!AA231:AD231)=0,"",IF(AVERAGE('Weekly Data'!AA231:AD231)&lt;0.55,"&lt;1",AVERAGE('Weekly Data'!AA231:AD231)))</f>
        <v>1</v>
      </c>
      <c r="J231" s="257">
        <f>IF(COUNT('Weekly Data'!AE231:AI231)=0,"",IF(AVERAGE('Weekly Data'!AE231:AI231)&lt;0.55,"&lt;1",AVERAGE('Weekly Data'!AE231:AI231)))</f>
        <v>9.8000000000000007</v>
      </c>
      <c r="K231" s="257">
        <f>IF(COUNT('Weekly Data'!AJ231:AM231)=0,"",IF(AVERAGE('Weekly Data'!AJ231:AM231)&lt;0.55,"&lt;1",AVERAGE('Weekly Data'!AJ231:AM231)))</f>
        <v>45.75</v>
      </c>
      <c r="L231" s="257">
        <f>IF(COUNT('Weekly Data'!AN231:AQ231)=0,"",IF(AVERAGE('Weekly Data'!AN231:AQ231)&lt;0.55,"&lt;1",AVERAGE('Weekly Data'!AN231:AQ231)))</f>
        <v>46.75</v>
      </c>
      <c r="M231" s="257">
        <f>IF(COUNT('Weekly Data'!AR231:AV231)=0,"",IF(AVERAGE('Weekly Data'!AR231:AV231)&lt;0.55,"&lt;1",AVERAGE('Weekly Data'!AR231:AV231)))</f>
        <v>40</v>
      </c>
      <c r="N231" s="257">
        <f>IF(COUNT('Weekly Data'!AW231:AZ231)=0,"",IF(AVERAGE('Weekly Data'!AW231:AZ231)&lt;0.55,"&lt;1",AVERAGE('Weekly Data'!AW231:AZ231)))</f>
        <v>30.25</v>
      </c>
      <c r="O231" s="257">
        <f>IF(COUNT('Weekly Data'!BA231:BD231)=0,"",IF(AVERAGE('Weekly Data'!BA231:BD231)&lt;0.55,"&lt;1",AVERAGE('Weekly Data'!BA231:BD231)))</f>
        <v>28.25</v>
      </c>
      <c r="P231" s="257"/>
      <c r="Q231" s="257">
        <f>IF(COUNT('Weekly Data'!E231:BD231)=0,"",IF(AVERAGE('Weekly Data'!E231:BD231)&lt;0.55,"&lt;1",AVERAGE('Weekly Data'!E231:BD231)))</f>
        <v>31.729166666666668</v>
      </c>
      <c r="R231" s="257">
        <f>IF(COUNT('Weekly Data'!E231:BD231)=0,"",IF(MIN('Weekly Data'!E231:BD231)&lt;0.55,"&lt;1",MIN('Weekly Data'!E231:BD231)))</f>
        <v>1</v>
      </c>
      <c r="S231" s="257">
        <f>IF(COUNT('Weekly Data'!E231:BD231)=0,"",IF(MAX('Weekly Data'!E231:BD231)&lt;0.55,"&lt;1",MAX('Weekly Data'!E231:BD231)))</f>
        <v>52</v>
      </c>
      <c r="T231" s="293"/>
      <c r="U231" s="259"/>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row>
    <row r="232" spans="1:256">
      <c r="A232" s="1"/>
      <c r="B232" s="258" t="str">
        <f>'Weekly Data'!A232</f>
        <v>Chloroform</v>
      </c>
      <c r="C232" s="257" t="str">
        <f>'Weekly Data'!B232</f>
        <v>µg/L</v>
      </c>
      <c r="D232" s="257">
        <f>IF(COUNT('Weekly Data'!E232:I232)=0,"",IF(AVERAGE('Weekly Data'!E232:I232)&lt;0.55,"&lt;1",AVERAGE('Weekly Data'!E232:I232)))</f>
        <v>20.8</v>
      </c>
      <c r="E232" s="257">
        <f>IF(COUNT('Weekly Data'!J232:M232)=0,"",IF(AVERAGE('Weekly Data'!J232:M232)&lt;0.55,"&lt;1",AVERAGE('Weekly Data'!J232:M232)))</f>
        <v>18.666666666666668</v>
      </c>
      <c r="F232" s="257">
        <f>IF(COUNT('Weekly Data'!N232:Q232)=0,"",IF(AVERAGE('Weekly Data'!N232:Q232)&lt;0.55,"&lt;1",AVERAGE('Weekly Data'!N232:Q232)))</f>
        <v>19</v>
      </c>
      <c r="G232" s="257">
        <f>IF(COUNT('Weekly Data'!R232:V232)=0,"",IF(AVERAGE('Weekly Data'!R232:V232)&lt;0.55,"&lt;1",AVERAGE('Weekly Data'!R232:V232)))</f>
        <v>20</v>
      </c>
      <c r="H232" s="257">
        <f>IF(COUNT('Weekly Data'!W232:Z232)=0,"",IF(AVERAGE('Weekly Data'!W232:Z232)&lt;0.55,"&lt;1",AVERAGE('Weekly Data'!W232:Z232)))</f>
        <v>26.75</v>
      </c>
      <c r="I232" s="257" t="str">
        <f>IF(COUNT('Weekly Data'!AA232:AD232)=0,"",IF(AVERAGE('Weekly Data'!AA232:AD232)&lt;0.55,"&lt;1",AVERAGE('Weekly Data'!AA232:AD232)))</f>
        <v>&lt;1</v>
      </c>
      <c r="J232" s="257">
        <f>IF(COUNT('Weekly Data'!AE232:AI232)=0,"",IF(AVERAGE('Weekly Data'!AE232:AI232)&lt;0.55,"&lt;1",AVERAGE('Weekly Data'!AE232:AI232)))</f>
        <v>9.1999999999999993</v>
      </c>
      <c r="K232" s="257">
        <f>IF(COUNT('Weekly Data'!AJ232:AM232)=0,"",IF(AVERAGE('Weekly Data'!AJ232:AM232)&lt;0.55,"&lt;1",AVERAGE('Weekly Data'!AJ232:AM232)))</f>
        <v>39.75</v>
      </c>
      <c r="L232" s="257">
        <f>IF(COUNT('Weekly Data'!AN232:AQ232)=0,"",IF(AVERAGE('Weekly Data'!AN232:AQ232)&lt;0.55,"&lt;1",AVERAGE('Weekly Data'!AN232:AQ232)))</f>
        <v>36</v>
      </c>
      <c r="M232" s="257">
        <f>IF(COUNT('Weekly Data'!AR232:AV232)=0,"",IF(AVERAGE('Weekly Data'!AR232:AV232)&lt;0.55,"&lt;1",AVERAGE('Weekly Data'!AR232:AV232)))</f>
        <v>29</v>
      </c>
      <c r="N232" s="257">
        <f>IF(COUNT('Weekly Data'!AW232:AZ232)=0,"",IF(AVERAGE('Weekly Data'!AW232:AZ232)&lt;0.55,"&lt;1",AVERAGE('Weekly Data'!AW232:AZ232)))</f>
        <v>21.75</v>
      </c>
      <c r="O232" s="257">
        <f>IF(COUNT('Weekly Data'!BA232:BD232)=0,"",IF(AVERAGE('Weekly Data'!BA232:BD232)&lt;0.55,"&lt;1",AVERAGE('Weekly Data'!BA232:BD232)))</f>
        <v>19.25</v>
      </c>
      <c r="P232" s="257"/>
      <c r="Q232" s="257">
        <f>IF(COUNT('Weekly Data'!E232:BD232)=0,"",IF(AVERAGE('Weekly Data'!E232:BD232)&lt;0.55,"&lt;1",AVERAGE('Weekly Data'!E232:BD232)))</f>
        <v>21.66</v>
      </c>
      <c r="R232" s="257" t="str">
        <f>IF(COUNT('Weekly Data'!E232:BD232)=0,"",IF(MIN('Weekly Data'!E232:BD232)&lt;0.55,"&lt;1",MIN('Weekly Data'!E232:BD232)))</f>
        <v>&lt;1</v>
      </c>
      <c r="S232" s="257">
        <f>IF(COUNT('Weekly Data'!E232:BD232)=0,"",IF(MAX('Weekly Data'!E232:BD232)&lt;0.55,"&lt;1",MAX('Weekly Data'!E232:BD232)))</f>
        <v>43</v>
      </c>
      <c r="T232" s="293"/>
      <c r="U232" s="259">
        <f>COUNT('Weekly Data'!E232:BC232)</f>
        <v>49</v>
      </c>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row>
    <row r="233" spans="1:256">
      <c r="A233" s="1"/>
      <c r="B233" s="258" t="str">
        <f>'Weekly Data'!A233</f>
        <v>Bromodichloromethane</v>
      </c>
      <c r="C233" s="257" t="str">
        <f>'Weekly Data'!B233</f>
        <v>µg/L</v>
      </c>
      <c r="D233" s="257">
        <f>IF(COUNT('Weekly Data'!E233:I233)=0,"",IF(AVERAGE('Weekly Data'!E233:I233)&lt;0.55,"&lt;1",AVERAGE('Weekly Data'!E233:I233)))</f>
        <v>10.6</v>
      </c>
      <c r="E233" s="257">
        <f>IF(COUNT('Weekly Data'!J233:M233)=0,"",IF(AVERAGE('Weekly Data'!J233:M233)&lt;0.55,"&lt;1",AVERAGE('Weekly Data'!J233:M233)))</f>
        <v>10.333333333333334</v>
      </c>
      <c r="F233" s="257">
        <f>IF(COUNT('Weekly Data'!N233:Q233)=0,"",IF(AVERAGE('Weekly Data'!N233:Q233)&lt;0.55,"&lt;1",AVERAGE('Weekly Data'!N233:Q233)))</f>
        <v>9</v>
      </c>
      <c r="G233" s="257">
        <f>IF(COUNT('Weekly Data'!R233:V233)=0,"",IF(AVERAGE('Weekly Data'!R233:V233)&lt;0.55,"&lt;1",AVERAGE('Weekly Data'!R233:V233)))</f>
        <v>9</v>
      </c>
      <c r="H233" s="257">
        <f>IF(COUNT('Weekly Data'!W233:Z233)=0,"",IF(AVERAGE('Weekly Data'!W233:Z233)&lt;0.55,"&lt;1",AVERAGE('Weekly Data'!W233:Z233)))</f>
        <v>12.25</v>
      </c>
      <c r="I233" s="257" t="str">
        <f>IF(COUNT('Weekly Data'!AA233:AD233)=0,"",IF(AVERAGE('Weekly Data'!AA233:AD233)&lt;0.55,"&lt;1",AVERAGE('Weekly Data'!AA233:AD233)))</f>
        <v>&lt;1</v>
      </c>
      <c r="J233" s="257" t="str">
        <f>IF(COUNT('Weekly Data'!AE233:AI233)=0,"",IF(AVERAGE('Weekly Data'!AE233:AI233)&lt;0.55,"&lt;1",AVERAGE('Weekly Data'!AE233:AI233)))</f>
        <v>&lt;1</v>
      </c>
      <c r="K233" s="257">
        <f>IF(COUNT('Weekly Data'!AJ233:AM233)=0,"",IF(AVERAGE('Weekly Data'!AJ233:AM233)&lt;0.55,"&lt;1",AVERAGE('Weekly Data'!AJ233:AM233)))</f>
        <v>5.5</v>
      </c>
      <c r="L233" s="257">
        <f>IF(COUNT('Weekly Data'!AN233:AQ233)=0,"",IF(AVERAGE('Weekly Data'!AN233:AQ233)&lt;0.55,"&lt;1",AVERAGE('Weekly Data'!AN233:AQ233)))</f>
        <v>9.5</v>
      </c>
      <c r="M233" s="257">
        <f>IF(COUNT('Weekly Data'!AR233:AV233)=0,"",IF(AVERAGE('Weekly Data'!AR233:AV233)&lt;0.55,"&lt;1",AVERAGE('Weekly Data'!AR233:AV233)))</f>
        <v>9.6</v>
      </c>
      <c r="N233" s="257">
        <f>IF(COUNT('Weekly Data'!AW233:AZ233)=0,"",IF(AVERAGE('Weekly Data'!AW233:AZ233)&lt;0.55,"&lt;1",AVERAGE('Weekly Data'!AW233:AZ233)))</f>
        <v>7.5</v>
      </c>
      <c r="O233" s="257">
        <f>IF(COUNT('Weekly Data'!BA233:BD233)=0,"",IF(AVERAGE('Weekly Data'!BA233:BD233)&lt;0.55,"&lt;1",AVERAGE('Weekly Data'!BA233:BD233)))</f>
        <v>7</v>
      </c>
      <c r="P233" s="257"/>
      <c r="Q233" s="257">
        <f>IF(COUNT('Weekly Data'!E233:BD233)=0,"",IF(AVERAGE('Weekly Data'!E233:BD233)&lt;0.55,"&lt;1",AVERAGE('Weekly Data'!E233:BD233)))</f>
        <v>7.46</v>
      </c>
      <c r="R233" s="257" t="str">
        <f>IF(COUNT('Weekly Data'!E233:BD233)=0,"",IF(MIN('Weekly Data'!E233:BD233)&lt;0.55,"&lt;1",MIN('Weekly Data'!E233:BD233)))</f>
        <v>&lt;1</v>
      </c>
      <c r="S233" s="257">
        <f>IF(COUNT('Weekly Data'!E233:BD233)=0,"",IF(MAX('Weekly Data'!E233:BD233)&lt;0.55,"&lt;1",MAX('Weekly Data'!E233:BD233)))</f>
        <v>13</v>
      </c>
      <c r="T233" s="293"/>
      <c r="U233" s="259">
        <f>COUNT('Weekly Data'!E233:BC233)</f>
        <v>49</v>
      </c>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row>
    <row r="234" spans="1:256">
      <c r="A234" s="1"/>
      <c r="B234" s="258" t="str">
        <f>'Weekly Data'!A234</f>
        <v>Chlorodibromomethane</v>
      </c>
      <c r="C234" s="257" t="str">
        <f>'Weekly Data'!B234</f>
        <v>µg/L</v>
      </c>
      <c r="D234" s="257">
        <f>IF(COUNT('Weekly Data'!E234:I234)=0,"",IF(AVERAGE('Weekly Data'!E234:I234)&lt;0.55,"&lt;1",AVERAGE('Weekly Data'!E234:I234)))</f>
        <v>2</v>
      </c>
      <c r="E234" s="257">
        <f>IF(COUNT('Weekly Data'!J234:M234)=0,"",IF(AVERAGE('Weekly Data'!J234:M234)&lt;0.55,"&lt;1",AVERAGE('Weekly Data'!J234:M234)))</f>
        <v>2</v>
      </c>
      <c r="F234" s="257">
        <f>IF(COUNT('Weekly Data'!N234:Q234)=0,"",IF(AVERAGE('Weekly Data'!N234:Q234)&lt;0.55,"&lt;1",AVERAGE('Weekly Data'!N234:Q234)))</f>
        <v>2</v>
      </c>
      <c r="G234" s="257">
        <f>IF(COUNT('Weekly Data'!R234:V234)=0,"",IF(AVERAGE('Weekly Data'!R234:V234)&lt;0.55,"&lt;1",AVERAGE('Weekly Data'!R234:V234)))</f>
        <v>1.75</v>
      </c>
      <c r="H234" s="257">
        <f>IF(COUNT('Weekly Data'!W234:Z234)=0,"",IF(AVERAGE('Weekly Data'!W234:Z234)&lt;0.55,"&lt;1",AVERAGE('Weekly Data'!W234:Z234)))</f>
        <v>2.25</v>
      </c>
      <c r="I234" s="257" t="str">
        <f>IF(COUNT('Weekly Data'!AA234:AD234)=0,"",IF(AVERAGE('Weekly Data'!AA234:AD234)&lt;0.55,"&lt;1",AVERAGE('Weekly Data'!AA234:AD234)))</f>
        <v>&lt;1</v>
      </c>
      <c r="J234" s="257" t="str">
        <f>IF(COUNT('Weekly Data'!AE234:AI234)=0,"",IF(AVERAGE('Weekly Data'!AE234:AI234)&lt;0.55,"&lt;1",AVERAGE('Weekly Data'!AE234:AI234)))</f>
        <v>&lt;1</v>
      </c>
      <c r="K234" s="257" t="str">
        <f>IF(COUNT('Weekly Data'!AJ234:AM234)=0,"",IF(AVERAGE('Weekly Data'!AJ234:AM234)&lt;0.55,"&lt;1",AVERAGE('Weekly Data'!AJ234:AM234)))</f>
        <v>&lt;1</v>
      </c>
      <c r="L234" s="257">
        <f>IF(COUNT('Weekly Data'!AN234:AQ234)=0,"",IF(AVERAGE('Weekly Data'!AN234:AQ234)&lt;0.55,"&lt;1",AVERAGE('Weekly Data'!AN234:AQ234)))</f>
        <v>1</v>
      </c>
      <c r="M234" s="257">
        <f>IF(COUNT('Weekly Data'!AR234:AV234)=0,"",IF(AVERAGE('Weekly Data'!AR234:AV234)&lt;0.55,"&lt;1",AVERAGE('Weekly Data'!AR234:AV234)))</f>
        <v>1.2</v>
      </c>
      <c r="N234" s="257">
        <f>IF(COUNT('Weekly Data'!AW234:AZ234)=0,"",IF(AVERAGE('Weekly Data'!AW234:AZ234)&lt;0.55,"&lt;1",AVERAGE('Weekly Data'!AW234:AZ234)))</f>
        <v>1</v>
      </c>
      <c r="O234" s="257">
        <f>IF(COUNT('Weekly Data'!BA234:BD234)=0,"",IF(AVERAGE('Weekly Data'!BA234:BD234)&lt;0.55,"&lt;1",AVERAGE('Weekly Data'!BA234:BD234)))</f>
        <v>2</v>
      </c>
      <c r="P234" s="257"/>
      <c r="Q234" s="257">
        <f>IF(COUNT('Weekly Data'!E234:BD234)=0,"",IF(AVERAGE('Weekly Data'!E234:BD234)&lt;0.55,"&lt;1",AVERAGE('Weekly Data'!E234:BD234)))</f>
        <v>1.3</v>
      </c>
      <c r="R234" s="257" t="str">
        <f>IF(COUNT('Weekly Data'!E234:BD234)=0,"",IF(MIN('Weekly Data'!E234:BD234)&lt;0.55,"&lt;1",MIN('Weekly Data'!E234:BD234)))</f>
        <v>&lt;1</v>
      </c>
      <c r="S234" s="257">
        <f>IF(COUNT('Weekly Data'!E234:BD234)=0,"",IF(MAX('Weekly Data'!E234:BD234)&lt;0.55,"&lt;1",MAX('Weekly Data'!E234:BD234)))</f>
        <v>3</v>
      </c>
      <c r="T234" s="293"/>
      <c r="U234" s="259">
        <f>COUNT('Weekly Data'!E234:BC234)</f>
        <v>49</v>
      </c>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row>
    <row r="235" spans="1:256">
      <c r="A235" s="1"/>
      <c r="B235" s="258" t="str">
        <f>'Weekly Data'!A235</f>
        <v>Bromoform</v>
      </c>
      <c r="C235" s="257" t="str">
        <f>'Weekly Data'!B235</f>
        <v>µg/L</v>
      </c>
      <c r="D235" s="257" t="str">
        <f>IF(COUNT('Weekly Data'!E235:I235)=0,"",IF(AVERAGE('Weekly Data'!E235:I235)&lt;0.55,"&lt;1",AVERAGE('Weekly Data'!E235:I235)))</f>
        <v>&lt;1</v>
      </c>
      <c r="E235" s="257" t="str">
        <f>IF(COUNT('Weekly Data'!J235:M235)=0,"",IF(AVERAGE('Weekly Data'!J235:M235)&lt;0.55,"&lt;1",AVERAGE('Weekly Data'!J235:M235)))</f>
        <v>&lt;1</v>
      </c>
      <c r="F235" s="257" t="str">
        <f>IF(COUNT('Weekly Data'!N235:Q235)=0,"",IF(AVERAGE('Weekly Data'!N235:Q235)&lt;0.55,"&lt;1",AVERAGE('Weekly Data'!N235:Q235)))</f>
        <v>&lt;1</v>
      </c>
      <c r="G235" s="257" t="str">
        <f>IF(COUNT('Weekly Data'!R235:V235)=0,"",IF(AVERAGE('Weekly Data'!R235:V235)&lt;0.55,"&lt;1",AVERAGE('Weekly Data'!R235:V235)))</f>
        <v>&lt;1</v>
      </c>
      <c r="H235" s="257" t="str">
        <f>IF(COUNT('Weekly Data'!W235:Z235)=0,"",IF(AVERAGE('Weekly Data'!W235:Z235)&lt;0.55,"&lt;1",AVERAGE('Weekly Data'!W235:Z235)))</f>
        <v>&lt;1</v>
      </c>
      <c r="I235" s="257" t="str">
        <f>IF(COUNT('Weekly Data'!AA235:AD235)=0,"",IF(AVERAGE('Weekly Data'!AA235:AD235)&lt;0.55,"&lt;1",AVERAGE('Weekly Data'!AA235:AD235)))</f>
        <v>&lt;1</v>
      </c>
      <c r="J235" s="257" t="str">
        <f>IF(COUNT('Weekly Data'!AE235:AI235)=0,"",IF(AVERAGE('Weekly Data'!AE235:AI235)&lt;0.55,"&lt;1",AVERAGE('Weekly Data'!AE235:AI235)))</f>
        <v>&lt;1</v>
      </c>
      <c r="K235" s="257" t="str">
        <f>IF(COUNT('Weekly Data'!AJ235:AM235)=0,"",IF(AVERAGE('Weekly Data'!AJ235:AM235)&lt;0.55,"&lt;1",AVERAGE('Weekly Data'!AJ235:AM235)))</f>
        <v>&lt;1</v>
      </c>
      <c r="L235" s="257" t="str">
        <f>IF(COUNT('Weekly Data'!AN235:AQ235)=0,"",IF(AVERAGE('Weekly Data'!AN235:AQ235)&lt;0.55,"&lt;1",AVERAGE('Weekly Data'!AN235:AQ235)))</f>
        <v>&lt;1</v>
      </c>
      <c r="M235" s="257" t="str">
        <f>IF(COUNT('Weekly Data'!AR235:AV235)=0,"",IF(AVERAGE('Weekly Data'!AR235:AV235)&lt;0.55,"&lt;1",AVERAGE('Weekly Data'!AR235:AV235)))</f>
        <v>&lt;1</v>
      </c>
      <c r="N235" s="257" t="str">
        <f>IF(COUNT('Weekly Data'!AW235:AZ235)=0,"",IF(AVERAGE('Weekly Data'!AW235:AZ235)&lt;0.55,"&lt;1",AVERAGE('Weekly Data'!AW235:AZ235)))</f>
        <v>&lt;1</v>
      </c>
      <c r="O235" s="257" t="str">
        <f>IF(COUNT('Weekly Data'!BA235:BD235)=0,"",IF(AVERAGE('Weekly Data'!BA235:BD235)&lt;0.55,"&lt;1",AVERAGE('Weekly Data'!BA235:BD235)))</f>
        <v>&lt;1</v>
      </c>
      <c r="P235" s="257"/>
      <c r="Q235" s="257" t="str">
        <f>IF(COUNT('Weekly Data'!E235:BD235)=0,"",IF(AVERAGE('Weekly Data'!E235:BD235)&lt;0.55,"&lt;1",AVERAGE('Weekly Data'!E235:BD235)))</f>
        <v>&lt;1</v>
      </c>
      <c r="R235" s="257" t="str">
        <f>IF(COUNT('Weekly Data'!E235:BD235)=0,"",IF(MIN('Weekly Data'!E235:BD235)&lt;0.55,"&lt;1",MIN('Weekly Data'!E235:BD235)))</f>
        <v>&lt;1</v>
      </c>
      <c r="S235" s="257">
        <f>IF(COUNT('Weekly Data'!E235:BD235)=0,"",IF(MAX('Weekly Data'!E235:BD235)&lt;0.55,"&lt;1",MAX('Weekly Data'!E235:BD235)))</f>
        <v>1</v>
      </c>
      <c r="T235" s="293"/>
      <c r="U235" s="259">
        <f>COUNT('Weekly Data'!E235:BC235)</f>
        <v>49</v>
      </c>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row>
    <row r="236" spans="1:256">
      <c r="A236" s="1"/>
      <c r="B236" s="258"/>
      <c r="C236" s="257"/>
      <c r="D236" s="257"/>
      <c r="E236" s="257"/>
      <c r="F236" s="257"/>
      <c r="G236" s="257"/>
      <c r="H236" s="257"/>
      <c r="I236" s="257"/>
      <c r="J236" s="257"/>
      <c r="K236" s="257"/>
      <c r="L236" s="257"/>
      <c r="M236" s="257"/>
      <c r="N236" s="257"/>
      <c r="O236" s="257"/>
      <c r="P236" s="257"/>
      <c r="Q236" s="257"/>
      <c r="R236" s="257"/>
      <c r="S236" s="257"/>
      <c r="T236" s="293"/>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row>
    <row r="237" spans="1:256">
      <c r="A237" s="1"/>
      <c r="B237" s="245" t="str">
        <f>'Weekly Data'!A237</f>
        <v>CHANNEL</v>
      </c>
      <c r="C237" s="257"/>
      <c r="D237" s="257"/>
      <c r="E237" s="257"/>
      <c r="F237" s="257"/>
      <c r="G237" s="257"/>
      <c r="H237" s="257"/>
      <c r="I237" s="257"/>
      <c r="J237" s="257"/>
      <c r="K237" s="257"/>
      <c r="L237" s="257"/>
      <c r="M237" s="257"/>
      <c r="N237" s="257"/>
      <c r="O237" s="257"/>
      <c r="P237" s="257"/>
      <c r="Q237" s="257"/>
      <c r="R237" s="257"/>
      <c r="S237" s="257"/>
      <c r="T237" s="293"/>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row>
    <row r="238" spans="1:256">
      <c r="A238" s="1"/>
      <c r="B238" s="258" t="str">
        <f>'Weekly Data'!A238</f>
        <v>TTHM's (total)</v>
      </c>
      <c r="C238" s="257" t="str">
        <f>'Weekly Data'!B238</f>
        <v>µg/L(calc)</v>
      </c>
      <c r="D238" s="257">
        <f>IF(COUNT('Weekly Data'!E238:I238)=0,"",IF(AVERAGE('Weekly Data'!E238:I238)&lt;0.55,"&lt;1",AVERAGE('Weekly Data'!E238:I238)))</f>
        <v>30.6</v>
      </c>
      <c r="E238" s="257">
        <f>IF(COUNT('Weekly Data'!J238:M238)=0,"",IF(AVERAGE('Weekly Data'!J238:M238)&lt;0.55,"&lt;1",AVERAGE('Weekly Data'!J238:M238)))</f>
        <v>30.666666666666668</v>
      </c>
      <c r="F238" s="257">
        <f>IF(COUNT('Weekly Data'!N238:Q238)=0,"",IF(AVERAGE('Weekly Data'!N238:Q238)&lt;0.55,"&lt;1",AVERAGE('Weekly Data'!N238:Q238)))</f>
        <v>30.25</v>
      </c>
      <c r="G238" s="257">
        <f>IF(COUNT('Weekly Data'!R238:V238)=0,"",IF(AVERAGE('Weekly Data'!R238:V238)&lt;0.55,"&lt;1",AVERAGE('Weekly Data'!R238:V238)))</f>
        <v>29.25</v>
      </c>
      <c r="H238" s="257">
        <f>IF(COUNT('Weekly Data'!W238:Z238)=0,"",IF(AVERAGE('Weekly Data'!W238:Z238)&lt;0.55,"&lt;1",AVERAGE('Weekly Data'!W238:Z238)))</f>
        <v>37.5</v>
      </c>
      <c r="I238" s="257">
        <f>IF(COUNT('Weekly Data'!AA238:AD238)=0,"",IF(AVERAGE('Weekly Data'!AA238:AD238)&lt;0.55,"&lt;1",AVERAGE('Weekly Data'!AA238:AD238)))</f>
        <v>41.5</v>
      </c>
      <c r="J238" s="257">
        <f>IF(COUNT('Weekly Data'!AE238:AI238)=0,"",IF(AVERAGE('Weekly Data'!AE238:AI238)&lt;0.55,"&lt;1",AVERAGE('Weekly Data'!AE238:AI238)))</f>
        <v>53</v>
      </c>
      <c r="K238" s="257">
        <f>IF(COUNT('Weekly Data'!AJ238:AM238)=0,"",IF(AVERAGE('Weekly Data'!AJ238:AM238)&lt;0.55,"&lt;1",AVERAGE('Weekly Data'!AJ238:AM238)))</f>
        <v>51.5</v>
      </c>
      <c r="L238" s="257">
        <f>IF(COUNT('Weekly Data'!AN238:AQ238)=0,"",IF(AVERAGE('Weekly Data'!AN238:AQ238)&lt;0.55,"&lt;1",AVERAGE('Weekly Data'!AN238:AQ238)))</f>
        <v>42.75</v>
      </c>
      <c r="M238" s="257">
        <f>IF(COUNT('Weekly Data'!AR238:AV238)=0,"",IF(AVERAGE('Weekly Data'!AR238:AV238)&lt;0.55,"&lt;1",AVERAGE('Weekly Data'!AR238:AV238)))</f>
        <v>33.4</v>
      </c>
      <c r="N238" s="257">
        <f>IF(COUNT('Weekly Data'!AW238:AZ238)=0,"",IF(AVERAGE('Weekly Data'!AW238:AZ238)&lt;0.55,"&lt;1",AVERAGE('Weekly Data'!AW238:AZ238)))</f>
        <v>24</v>
      </c>
      <c r="O238" s="257">
        <f>IF(COUNT('Weekly Data'!BA238:BD238)=0,"",IF(AVERAGE('Weekly Data'!BA238:BD238)&lt;0.55,"&lt;1",AVERAGE('Weekly Data'!BA238:BD238)))</f>
        <v>25.5</v>
      </c>
      <c r="P238" s="257"/>
      <c r="Q238" s="257">
        <f>IF(COUNT('Weekly Data'!E238:BD238)=0,"",IF(AVERAGE('Weekly Data'!E238:BD238)&lt;0.55,"&lt;1",AVERAGE('Weekly Data'!E238:BD238)))</f>
        <v>36.119999999999997</v>
      </c>
      <c r="R238" s="257">
        <f>IF(COUNT('Weekly Data'!E238:BD238)=0,"",IF(MIN('Weekly Data'!E238:BD238)&lt;0.55,"&lt;1",MIN('Weekly Data'!E238:BD238)))</f>
        <v>20</v>
      </c>
      <c r="S238" s="257">
        <f>IF(COUNT('Weekly Data'!E238:BD238)=0,"",IF(MAX('Weekly Data'!E238:BD238)&lt;0.55,"&lt;1",MAX('Weekly Data'!E238:BD238)))</f>
        <v>58</v>
      </c>
      <c r="T238" s="293"/>
      <c r="U238" s="259"/>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row>
    <row r="239" spans="1:256">
      <c r="A239" s="1"/>
      <c r="B239" s="258" t="str">
        <f>'Weekly Data'!A239</f>
        <v>Chloroform</v>
      </c>
      <c r="C239" s="257" t="str">
        <f>'Weekly Data'!B239</f>
        <v>µg/L</v>
      </c>
      <c r="D239" s="257">
        <f>IF(COUNT('Weekly Data'!E239:I239)=0,"",IF(AVERAGE('Weekly Data'!E239:I239)&lt;0.55,"&lt;1",AVERAGE('Weekly Data'!E239:I239)))</f>
        <v>18.8</v>
      </c>
      <c r="E239" s="257">
        <f>IF(COUNT('Weekly Data'!J239:M239)=0,"",IF(AVERAGE('Weekly Data'!J239:M239)&lt;0.55,"&lt;1",AVERAGE('Weekly Data'!J239:M239)))</f>
        <v>18</v>
      </c>
      <c r="F239" s="257">
        <f>IF(COUNT('Weekly Data'!N239:Q239)=0,"",IF(AVERAGE('Weekly Data'!N239:Q239)&lt;0.55,"&lt;1",AVERAGE('Weekly Data'!N239:Q239)))</f>
        <v>18.75</v>
      </c>
      <c r="G239" s="257">
        <f>IF(COUNT('Weekly Data'!R239:V239)=0,"",IF(AVERAGE('Weekly Data'!R239:V239)&lt;0.55,"&lt;1",AVERAGE('Weekly Data'!R239:V239)))</f>
        <v>18.75</v>
      </c>
      <c r="H239" s="257">
        <f>IF(COUNT('Weekly Data'!W239:Z239)=0,"",IF(AVERAGE('Weekly Data'!W239:Z239)&lt;0.55,"&lt;1",AVERAGE('Weekly Data'!W239:Z239)))</f>
        <v>24.25</v>
      </c>
      <c r="I239" s="257">
        <f>IF(COUNT('Weekly Data'!AA239:AD239)=0,"",IF(AVERAGE('Weekly Data'!AA239:AD239)&lt;0.55,"&lt;1",AVERAGE('Weekly Data'!AA239:AD239)))</f>
        <v>26.25</v>
      </c>
      <c r="J239" s="257">
        <f>IF(COUNT('Weekly Data'!AE239:AI239)=0,"",IF(AVERAGE('Weekly Data'!AE239:AI239)&lt;0.55,"&lt;1",AVERAGE('Weekly Data'!AE239:AI239)))</f>
        <v>35.4</v>
      </c>
      <c r="K239" s="257">
        <f>IF(COUNT('Weekly Data'!AJ239:AM239)=0,"",IF(AVERAGE('Weekly Data'!AJ239:AM239)&lt;0.55,"&lt;1",AVERAGE('Weekly Data'!AJ239:AM239)))</f>
        <v>36.5</v>
      </c>
      <c r="L239" s="257">
        <f>IF(COUNT('Weekly Data'!AN239:AQ239)=0,"",IF(AVERAGE('Weekly Data'!AN239:AQ239)&lt;0.55,"&lt;1",AVERAGE('Weekly Data'!AN239:AQ239)))</f>
        <v>31</v>
      </c>
      <c r="M239" s="257">
        <f>IF(COUNT('Weekly Data'!AR239:AV239)=0,"",IF(AVERAGE('Weekly Data'!AR239:AV239)&lt;0.55,"&lt;1",AVERAGE('Weekly Data'!AR239:AV239)))</f>
        <v>23.6</v>
      </c>
      <c r="N239" s="257">
        <f>IF(COUNT('Weekly Data'!AW239:AZ239)=0,"",IF(AVERAGE('Weekly Data'!AW239:AZ239)&lt;0.55,"&lt;1",AVERAGE('Weekly Data'!AW239:AZ239)))</f>
        <v>16.5</v>
      </c>
      <c r="O239" s="257">
        <f>IF(COUNT('Weekly Data'!BA239:BD239)=0,"",IF(AVERAGE('Weekly Data'!BA239:BD239)&lt;0.55,"&lt;1",AVERAGE('Weekly Data'!BA239:BD239)))</f>
        <v>17</v>
      </c>
      <c r="P239" s="257"/>
      <c r="Q239" s="257">
        <f>IF(COUNT('Weekly Data'!E239:BD239)=0,"",IF(AVERAGE('Weekly Data'!E239:BD239)&lt;0.55,"&lt;1",AVERAGE('Weekly Data'!E239:BD239)))</f>
        <v>23.98</v>
      </c>
      <c r="R239" s="257">
        <f>IF(COUNT('Weekly Data'!E239:BD239)=0,"",IF(MIN('Weekly Data'!E239:BD239)&lt;0.55,"&lt;1",MIN('Weekly Data'!E239:BD239)))</f>
        <v>14</v>
      </c>
      <c r="S239" s="257">
        <f>IF(COUNT('Weekly Data'!E239:BD239)=0,"",IF(MAX('Weekly Data'!E239:BD239)&lt;0.55,"&lt;1",MAX('Weekly Data'!E239:BD239)))</f>
        <v>40</v>
      </c>
      <c r="T239" s="293"/>
      <c r="U239" s="259">
        <f>COUNT('Weekly Data'!E239:BC239)</f>
        <v>49</v>
      </c>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row>
    <row r="240" spans="1:256">
      <c r="A240" s="1"/>
      <c r="B240" s="258" t="str">
        <f>'Weekly Data'!A240</f>
        <v>Bromodichloromethane</v>
      </c>
      <c r="C240" s="257" t="str">
        <f>'Weekly Data'!B240</f>
        <v>µg/L</v>
      </c>
      <c r="D240" s="257">
        <f>IF(COUNT('Weekly Data'!E240:I240)=0,"",IF(AVERAGE('Weekly Data'!E240:I240)&lt;0.55,"&lt;1",AVERAGE('Weekly Data'!E240:I240)))</f>
        <v>9.8000000000000007</v>
      </c>
      <c r="E240" s="257">
        <f>IF(COUNT('Weekly Data'!J240:M240)=0,"",IF(AVERAGE('Weekly Data'!J240:M240)&lt;0.55,"&lt;1",AVERAGE('Weekly Data'!J240:M240)))</f>
        <v>10.666666666666666</v>
      </c>
      <c r="F240" s="257">
        <f>IF(COUNT('Weekly Data'!N240:Q240)=0,"",IF(AVERAGE('Weekly Data'!N240:Q240)&lt;0.55,"&lt;1",AVERAGE('Weekly Data'!N240:Q240)))</f>
        <v>9.5</v>
      </c>
      <c r="G240" s="257">
        <f>IF(COUNT('Weekly Data'!R240:V240)=0,"",IF(AVERAGE('Weekly Data'!R240:V240)&lt;0.55,"&lt;1",AVERAGE('Weekly Data'!R240:V240)))</f>
        <v>8.75</v>
      </c>
      <c r="H240" s="257">
        <f>IF(COUNT('Weekly Data'!W240:Z240)=0,"",IF(AVERAGE('Weekly Data'!W240:Z240)&lt;0.55,"&lt;1",AVERAGE('Weekly Data'!W240:Z240)))</f>
        <v>11</v>
      </c>
      <c r="I240" s="257">
        <f>IF(COUNT('Weekly Data'!AA240:AD240)=0,"",IF(AVERAGE('Weekly Data'!AA240:AD240)&lt;0.55,"&lt;1",AVERAGE('Weekly Data'!AA240:AD240)))</f>
        <v>12.5</v>
      </c>
      <c r="J240" s="257">
        <f>IF(COUNT('Weekly Data'!AE240:AI240)=0,"",IF(AVERAGE('Weekly Data'!AE240:AI240)&lt;0.55,"&lt;1",AVERAGE('Weekly Data'!AE240:AI240)))</f>
        <v>14.4</v>
      </c>
      <c r="K240" s="257">
        <f>IF(COUNT('Weekly Data'!AJ240:AM240)=0,"",IF(AVERAGE('Weekly Data'!AJ240:AM240)&lt;0.55,"&lt;1",AVERAGE('Weekly Data'!AJ240:AM240)))</f>
        <v>13</v>
      </c>
      <c r="L240" s="257">
        <f>IF(COUNT('Weekly Data'!AN240:AQ240)=0,"",IF(AVERAGE('Weekly Data'!AN240:AQ240)&lt;0.55,"&lt;1",AVERAGE('Weekly Data'!AN240:AQ240)))</f>
        <v>10</v>
      </c>
      <c r="M240" s="257">
        <f>IF(COUNT('Weekly Data'!AR240:AV240)=0,"",IF(AVERAGE('Weekly Data'!AR240:AV240)&lt;0.55,"&lt;1",AVERAGE('Weekly Data'!AR240:AV240)))</f>
        <v>8.1999999999999993</v>
      </c>
      <c r="N240" s="257">
        <f>IF(COUNT('Weekly Data'!AW240:AZ240)=0,"",IF(AVERAGE('Weekly Data'!AW240:AZ240)&lt;0.55,"&lt;1",AVERAGE('Weekly Data'!AW240:AZ240)))</f>
        <v>6</v>
      </c>
      <c r="O240" s="257">
        <f>IF(COUNT('Weekly Data'!BA240:BD240)=0,"",IF(AVERAGE('Weekly Data'!BA240:BD240)&lt;0.55,"&lt;1",AVERAGE('Weekly Data'!BA240:BD240)))</f>
        <v>6.5</v>
      </c>
      <c r="P240" s="257"/>
      <c r="Q240" s="257">
        <f>IF(COUNT('Weekly Data'!E240:BD240)=0,"",IF(AVERAGE('Weekly Data'!E240:BD240)&lt;0.55,"&lt;1",AVERAGE('Weekly Data'!E240:BD240)))</f>
        <v>10.06</v>
      </c>
      <c r="R240" s="257">
        <f>IF(COUNT('Weekly Data'!E240:BD240)=0,"",IF(MIN('Weekly Data'!E240:BD240)&lt;0.55,"&lt;1",MIN('Weekly Data'!E240:BD240)))</f>
        <v>5</v>
      </c>
      <c r="S240" s="257">
        <f>IF(COUNT('Weekly Data'!E240:BD240)=0,"",IF(MAX('Weekly Data'!E240:BD240)&lt;0.55,"&lt;1",MAX('Weekly Data'!E240:BD240)))</f>
        <v>16</v>
      </c>
      <c r="T240" s="293"/>
      <c r="U240" s="259">
        <f>COUNT('Weekly Data'!E240:BC240)</f>
        <v>49</v>
      </c>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row>
    <row r="241" spans="1:256">
      <c r="A241" s="1"/>
      <c r="B241" s="258" t="str">
        <f>'Weekly Data'!A241</f>
        <v>Chlorodibromomethane</v>
      </c>
      <c r="C241" s="257" t="str">
        <f>'Weekly Data'!B241</f>
        <v>µg/L</v>
      </c>
      <c r="D241" s="257">
        <f>IF(COUNT('Weekly Data'!E241:I241)=0,"",IF(AVERAGE('Weekly Data'!E241:I241)&lt;0.55,"&lt;1",AVERAGE('Weekly Data'!E241:I241)))</f>
        <v>2</v>
      </c>
      <c r="E241" s="257">
        <f>IF(COUNT('Weekly Data'!J241:M241)=0,"",IF(AVERAGE('Weekly Data'!J241:M241)&lt;0.55,"&lt;1",AVERAGE('Weekly Data'!J241:M241)))</f>
        <v>2</v>
      </c>
      <c r="F241" s="257">
        <f>IF(COUNT('Weekly Data'!N241:Q241)=0,"",IF(AVERAGE('Weekly Data'!N241:Q241)&lt;0.55,"&lt;1",AVERAGE('Weekly Data'!N241:Q241)))</f>
        <v>2</v>
      </c>
      <c r="G241" s="257">
        <f>IF(COUNT('Weekly Data'!R241:V241)=0,"",IF(AVERAGE('Weekly Data'!R241:V241)&lt;0.55,"&lt;1",AVERAGE('Weekly Data'!R241:V241)))</f>
        <v>1.75</v>
      </c>
      <c r="H241" s="257">
        <f>IF(COUNT('Weekly Data'!W241:Z241)=0,"",IF(AVERAGE('Weekly Data'!W241:Z241)&lt;0.55,"&lt;1",AVERAGE('Weekly Data'!W241:Z241)))</f>
        <v>2.25</v>
      </c>
      <c r="I241" s="257">
        <f>IF(COUNT('Weekly Data'!AA241:AD241)=0,"",IF(AVERAGE('Weekly Data'!AA241:AD241)&lt;0.55,"&lt;1",AVERAGE('Weekly Data'!AA241:AD241)))</f>
        <v>2.75</v>
      </c>
      <c r="J241" s="257">
        <f>IF(COUNT('Weekly Data'!AE241:AI241)=0,"",IF(AVERAGE('Weekly Data'!AE241:AI241)&lt;0.55,"&lt;1",AVERAGE('Weekly Data'!AE241:AI241)))</f>
        <v>3.2</v>
      </c>
      <c r="K241" s="257">
        <f>IF(COUNT('Weekly Data'!AJ241:AM241)=0,"",IF(AVERAGE('Weekly Data'!AJ241:AM241)&lt;0.55,"&lt;1",AVERAGE('Weekly Data'!AJ241:AM241)))</f>
        <v>2</v>
      </c>
      <c r="L241" s="257">
        <f>IF(COUNT('Weekly Data'!AN241:AQ241)=0,"",IF(AVERAGE('Weekly Data'!AN241:AQ241)&lt;0.55,"&lt;1",AVERAGE('Weekly Data'!AN241:AQ241)))</f>
        <v>1.75</v>
      </c>
      <c r="M241" s="257">
        <f>IF(COUNT('Weekly Data'!AR241:AV241)=0,"",IF(AVERAGE('Weekly Data'!AR241:AV241)&lt;0.55,"&lt;1",AVERAGE('Weekly Data'!AR241:AV241)))</f>
        <v>1.6</v>
      </c>
      <c r="N241" s="257">
        <f>IF(COUNT('Weekly Data'!AW241:AZ241)=0,"",IF(AVERAGE('Weekly Data'!AW241:AZ241)&lt;0.55,"&lt;1",AVERAGE('Weekly Data'!AW241:AZ241)))</f>
        <v>1.5</v>
      </c>
      <c r="O241" s="257">
        <f>IF(COUNT('Weekly Data'!BA241:BD241)=0,"",IF(AVERAGE('Weekly Data'!BA241:BD241)&lt;0.55,"&lt;1",AVERAGE('Weekly Data'!BA241:BD241)))</f>
        <v>2</v>
      </c>
      <c r="P241" s="257"/>
      <c r="Q241" s="257">
        <f>IF(COUNT('Weekly Data'!E241:BD241)=0,"",IF(AVERAGE('Weekly Data'!E241:BD241)&lt;0.55,"&lt;1",AVERAGE('Weekly Data'!E241:BD241)))</f>
        <v>2.08</v>
      </c>
      <c r="R241" s="257">
        <f>IF(COUNT('Weekly Data'!E241:BD241)=0,"",IF(MIN('Weekly Data'!E241:BD241)&lt;0.55,"&lt;1",MIN('Weekly Data'!E241:BD241)))</f>
        <v>1</v>
      </c>
      <c r="S241" s="257">
        <f>IF(COUNT('Weekly Data'!E241:BD241)=0,"",IF(MAX('Weekly Data'!E241:BD241)&lt;0.55,"&lt;1",MAX('Weekly Data'!E241:BD241)))</f>
        <v>4</v>
      </c>
      <c r="T241" s="293"/>
      <c r="U241" s="259">
        <f>COUNT('Weekly Data'!E241:BC241)</f>
        <v>49</v>
      </c>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row>
    <row r="242" spans="1:256">
      <c r="A242" s="1"/>
      <c r="B242" s="258" t="str">
        <f>'Weekly Data'!A242</f>
        <v>Bromoform</v>
      </c>
      <c r="C242" s="257" t="str">
        <f>'Weekly Data'!B242</f>
        <v>µg/L</v>
      </c>
      <c r="D242" s="257" t="str">
        <f>IF(COUNT('Weekly Data'!E242:I242)=0,"",IF(AVERAGE('Weekly Data'!E242:I242)&lt;0.55,"&lt;1",AVERAGE('Weekly Data'!E242:I242)))</f>
        <v>&lt;1</v>
      </c>
      <c r="E242" s="257" t="str">
        <f>IF(COUNT('Weekly Data'!J242:M242)=0,"",IF(AVERAGE('Weekly Data'!J242:M242)&lt;0.55,"&lt;1",AVERAGE('Weekly Data'!J242:M242)))</f>
        <v>&lt;1</v>
      </c>
      <c r="F242" s="257" t="str">
        <f>IF(COUNT('Weekly Data'!N242:Q242)=0,"",IF(AVERAGE('Weekly Data'!N242:Q242)&lt;0.55,"&lt;1",AVERAGE('Weekly Data'!N242:Q242)))</f>
        <v>&lt;1</v>
      </c>
      <c r="G242" s="257" t="str">
        <f>IF(COUNT('Weekly Data'!R242:V242)=0,"",IF(AVERAGE('Weekly Data'!R242:V242)&lt;0.55,"&lt;1",AVERAGE('Weekly Data'!R242:V242)))</f>
        <v>&lt;1</v>
      </c>
      <c r="H242" s="257" t="str">
        <f>IF(COUNT('Weekly Data'!W242:Z242)=0,"",IF(AVERAGE('Weekly Data'!W242:Z242)&lt;0.55,"&lt;1",AVERAGE('Weekly Data'!W242:Z242)))</f>
        <v>&lt;1</v>
      </c>
      <c r="I242" s="257" t="str">
        <f>IF(COUNT('Weekly Data'!AA242:AD242)=0,"",IF(AVERAGE('Weekly Data'!AA242:AD242)&lt;0.55,"&lt;1",AVERAGE('Weekly Data'!AA242:AD242)))</f>
        <v>&lt;1</v>
      </c>
      <c r="J242" s="257" t="str">
        <f>IF(COUNT('Weekly Data'!AE242:AI242)=0,"",IF(AVERAGE('Weekly Data'!AE242:AI242)&lt;0.55,"&lt;1",AVERAGE('Weekly Data'!AE242:AI242)))</f>
        <v>&lt;1</v>
      </c>
      <c r="K242" s="257" t="str">
        <f>IF(COUNT('Weekly Data'!AJ242:AM242)=0,"",IF(AVERAGE('Weekly Data'!AJ242:AM242)&lt;0.55,"&lt;1",AVERAGE('Weekly Data'!AJ242:AM242)))</f>
        <v>&lt;1</v>
      </c>
      <c r="L242" s="257" t="str">
        <f>IF(COUNT('Weekly Data'!AN242:AQ242)=0,"",IF(AVERAGE('Weekly Data'!AN242:AQ242)&lt;0.55,"&lt;1",AVERAGE('Weekly Data'!AN242:AQ242)))</f>
        <v>&lt;1</v>
      </c>
      <c r="M242" s="257" t="str">
        <f>IF(COUNT('Weekly Data'!AR242:AV242)=0,"",IF(AVERAGE('Weekly Data'!AR242:AV242)&lt;0.55,"&lt;1",AVERAGE('Weekly Data'!AR242:AV242)))</f>
        <v>&lt;1</v>
      </c>
      <c r="N242" s="257" t="str">
        <f>IF(COUNT('Weekly Data'!AW242:AZ242)=0,"",IF(AVERAGE('Weekly Data'!AW242:AZ242)&lt;0.55,"&lt;1",AVERAGE('Weekly Data'!AW242:AZ242)))</f>
        <v>&lt;1</v>
      </c>
      <c r="O242" s="257" t="str">
        <f>IF(COUNT('Weekly Data'!BA242:BD242)=0,"",IF(AVERAGE('Weekly Data'!BA242:BD242)&lt;0.55,"&lt;1",AVERAGE('Weekly Data'!BA242:BD242)))</f>
        <v>&lt;1</v>
      </c>
      <c r="P242" s="257"/>
      <c r="Q242" s="257" t="str">
        <f>IF(COUNT('Weekly Data'!E242:BD242)=0,"",IF(AVERAGE('Weekly Data'!E242:BD242)&lt;0.55,"&lt;1",AVERAGE('Weekly Data'!E242:BD242)))</f>
        <v>&lt;1</v>
      </c>
      <c r="R242" s="257" t="str">
        <f>IF(COUNT('Weekly Data'!E242:BD242)=0,"",IF(MIN('Weekly Data'!E242:BD242)&lt;0.55,"&lt;1",MIN('Weekly Data'!E242:BD242)))</f>
        <v>&lt;1</v>
      </c>
      <c r="S242" s="257" t="str">
        <f>IF(COUNT('Weekly Data'!E242:BD242)=0,"",IF(MAX('Weekly Data'!E242:BD242)&lt;0.55,"&lt;1",MAX('Weekly Data'!E242:BD242)))</f>
        <v>&lt;1</v>
      </c>
      <c r="T242" s="293"/>
      <c r="U242" s="259">
        <f>COUNT('Weekly Data'!E242:BC242)</f>
        <v>49</v>
      </c>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row>
    <row r="243" spans="1:256">
      <c r="A243" s="1"/>
      <c r="B243" s="258"/>
      <c r="C243" s="257"/>
      <c r="D243" s="246"/>
      <c r="E243" s="246"/>
      <c r="F243" s="246"/>
      <c r="G243" s="246"/>
      <c r="H243" s="257"/>
      <c r="I243" s="246"/>
      <c r="J243" s="246"/>
      <c r="K243" s="246"/>
      <c r="L243" s="257"/>
      <c r="M243" s="246"/>
      <c r="N243" s="246"/>
      <c r="O243" s="246"/>
      <c r="P243" s="246"/>
      <c r="Q243" s="247"/>
      <c r="R243" s="247"/>
      <c r="S243" s="247"/>
      <c r="T243" s="293"/>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row>
    <row r="244" spans="1:256">
      <c r="A244" s="1"/>
      <c r="B244" s="245" t="str">
        <f>'Weekly Data'!A244</f>
        <v>PreGAC</v>
      </c>
      <c r="C244" s="256"/>
      <c r="D244" s="246"/>
      <c r="E244" s="246"/>
      <c r="F244" s="246"/>
      <c r="G244" s="246"/>
      <c r="H244" s="257"/>
      <c r="I244" s="246"/>
      <c r="J244" s="246"/>
      <c r="K244" s="246"/>
      <c r="L244" s="257"/>
      <c r="M244" s="246"/>
      <c r="N244" s="246"/>
      <c r="O244" s="246"/>
      <c r="P244" s="246"/>
      <c r="Q244" s="247"/>
      <c r="R244" s="247"/>
      <c r="S244" s="247"/>
      <c r="T244" s="293"/>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row>
    <row r="245" spans="1:256">
      <c r="A245" s="1"/>
      <c r="B245" s="258" t="str">
        <f>'Weekly Data'!A245</f>
        <v>TTHM's (total)</v>
      </c>
      <c r="C245" s="257" t="str">
        <f>'Weekly Data'!B245</f>
        <v>µg/L(calc)</v>
      </c>
      <c r="D245" s="257" t="str">
        <f>IF(COUNT('Weekly Data'!E245:I245)=0,"",IF(AVERAGE('Weekly Data'!E245:I245)&lt;0.55,"&lt;1",AVERAGE('Weekly Data'!E245:I245)))</f>
        <v/>
      </c>
      <c r="E245" s="257" t="str">
        <f>IF(COUNT('Weekly Data'!J245:M245)=0,"",IF(AVERAGE('Weekly Data'!J245:M245)&lt;0.55,"&lt;1",AVERAGE('Weekly Data'!J245:M245)))</f>
        <v/>
      </c>
      <c r="F245" s="257" t="str">
        <f>IF(COUNT('Weekly Data'!N245:Q245)=0,"",IF(AVERAGE('Weekly Data'!N245:Q245)&lt;0.55,"&lt;1",AVERAGE('Weekly Data'!N245:Q245)))</f>
        <v/>
      </c>
      <c r="G245" s="257" t="str">
        <f>IF(COUNT('Weekly Data'!R245:V245)=0,"",IF(AVERAGE('Weekly Data'!R245:V245)&lt;0.55,"&lt;1",AVERAGE('Weekly Data'!R245:V245)))</f>
        <v/>
      </c>
      <c r="H245" s="257" t="str">
        <f>IF(COUNT('Weekly Data'!W245:Z245)=0,"",IF(AVERAGE('Weekly Data'!W245:Z245)&lt;0.55,"&lt;1",AVERAGE('Weekly Data'!W245:Z245)))</f>
        <v/>
      </c>
      <c r="I245" s="257">
        <f>IF(COUNT('Weekly Data'!AA245:AD245)=0,"",IF(AVERAGE('Weekly Data'!AA245:AD245)&lt;0.55,"&lt;1",AVERAGE('Weekly Data'!AA245:AD245)))</f>
        <v>40.25</v>
      </c>
      <c r="J245" s="257">
        <f>IF(COUNT('Weekly Data'!AE245:AI245)=0,"",IF(AVERAGE('Weekly Data'!AE245:AI245)&lt;0.55,"&lt;1",AVERAGE('Weekly Data'!AE245:AI245)))</f>
        <v>53.8</v>
      </c>
      <c r="K245" s="257">
        <f>IF(COUNT('Weekly Data'!AJ245:AM245)=0,"",IF(AVERAGE('Weekly Data'!AJ245:AM245)&lt;0.55,"&lt;1",AVERAGE('Weekly Data'!AJ245:AM245)))</f>
        <v>54.25</v>
      </c>
      <c r="L245" s="257">
        <f>IF(COUNT('Weekly Data'!AN245:AQ245)=0,"",IF(AVERAGE('Weekly Data'!AN245:AQ245)&lt;0.55,"&lt;1",AVERAGE('Weekly Data'!AN245:AQ245)))</f>
        <v>43.25</v>
      </c>
      <c r="M245" s="257">
        <f>IF(COUNT('Weekly Data'!AR245:AV245)=0,"",IF(AVERAGE('Weekly Data'!AR245:AV245)&lt;0.55,"&lt;1",AVERAGE('Weekly Data'!AR245:AV245)))</f>
        <v>35.200000000000003</v>
      </c>
      <c r="N245" s="257">
        <f>IF(COUNT('Weekly Data'!AW245:AZ245)=0,"",IF(AVERAGE('Weekly Data'!AW245:AZ245)&lt;0.55,"&lt;1",AVERAGE('Weekly Data'!AW245:AZ245)))</f>
        <v>24.333333333333332</v>
      </c>
      <c r="O245" s="257" t="str">
        <f>IF(COUNT('Weekly Data'!BA245:BD245)=0,"",IF(AVERAGE('Weekly Data'!BA245:BD245)&lt;0.55,"&lt;1",AVERAGE('Weekly Data'!BA245:BD245)))</f>
        <v/>
      </c>
      <c r="P245" s="257"/>
      <c r="Q245" s="257">
        <f>IF(COUNT('Weekly Data'!E245:BD245)=0,"",IF(AVERAGE('Weekly Data'!E245:BD245)&lt;0.55,"&lt;1",AVERAGE('Weekly Data'!E245:BD245)))</f>
        <v>42.76</v>
      </c>
      <c r="R245" s="257">
        <f>IF(COUNT('Weekly Data'!E245:BD245)=0,"",IF(MIN('Weekly Data'!E245:BD245)&lt;0.55,"&lt;1",MIN('Weekly Data'!E245:BD245)))</f>
        <v>20</v>
      </c>
      <c r="S245" s="257">
        <f>IF(COUNT('Weekly Data'!E245:BD245)=0,"",IF(MAX('Weekly Data'!E245:BD245)&lt;0.55,"&lt;1",MAX('Weekly Data'!E245:BD245)))</f>
        <v>59</v>
      </c>
      <c r="T245" s="293"/>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row>
    <row r="246" spans="1:256">
      <c r="A246" s="1"/>
      <c r="B246" s="258" t="str">
        <f>'Weekly Data'!A246</f>
        <v>Chloroform</v>
      </c>
      <c r="C246" s="257" t="str">
        <f>'Weekly Data'!B246</f>
        <v>µg/L</v>
      </c>
      <c r="D246" s="257" t="str">
        <f>IF(COUNT('Weekly Data'!E246:I246)=0,"",IF(AVERAGE('Weekly Data'!E246:I246)&lt;0.55,"&lt;1",AVERAGE('Weekly Data'!E246:I246)))</f>
        <v/>
      </c>
      <c r="E246" s="257" t="str">
        <f>IF(COUNT('Weekly Data'!J246:M246)=0,"",IF(AVERAGE('Weekly Data'!J246:M246)&lt;0.55,"&lt;1",AVERAGE('Weekly Data'!J246:M246)))</f>
        <v/>
      </c>
      <c r="F246" s="257" t="str">
        <f>IF(COUNT('Weekly Data'!N246:Q246)=0,"",IF(AVERAGE('Weekly Data'!N246:Q246)&lt;0.55,"&lt;1",AVERAGE('Weekly Data'!N246:Q246)))</f>
        <v/>
      </c>
      <c r="G246" s="257" t="str">
        <f>IF(COUNT('Weekly Data'!R246:V246)=0,"",IF(AVERAGE('Weekly Data'!R246:V246)&lt;0.55,"&lt;1",AVERAGE('Weekly Data'!R246:V246)))</f>
        <v/>
      </c>
      <c r="H246" s="257" t="str">
        <f>IF(COUNT('Weekly Data'!W246:Z246)=0,"",IF(AVERAGE('Weekly Data'!W246:Z246)&lt;0.55,"&lt;1",AVERAGE('Weekly Data'!W246:Z246)))</f>
        <v/>
      </c>
      <c r="I246" s="257">
        <f>IF(COUNT('Weekly Data'!AA246:AD246)=0,"",IF(AVERAGE('Weekly Data'!AA246:AD246)&lt;0.55,"&lt;1",AVERAGE('Weekly Data'!AA246:AD246)))</f>
        <v>25.25</v>
      </c>
      <c r="J246" s="257">
        <f>IF(COUNT('Weekly Data'!AE246:AI246)=0,"",IF(AVERAGE('Weekly Data'!AE246:AI246)&lt;0.55,"&lt;1",AVERAGE('Weekly Data'!AE246:AI246)))</f>
        <v>36</v>
      </c>
      <c r="K246" s="257">
        <f>IF(COUNT('Weekly Data'!AJ246:AM246)=0,"",IF(AVERAGE('Weekly Data'!AJ246:AM246)&lt;0.55,"&lt;1",AVERAGE('Weekly Data'!AJ246:AM246)))</f>
        <v>39.25</v>
      </c>
      <c r="L246" s="257">
        <f>IF(COUNT('Weekly Data'!AN246:AQ246)=0,"",IF(AVERAGE('Weekly Data'!AN246:AQ246)&lt;0.55,"&lt;1",AVERAGE('Weekly Data'!AN246:AQ246)))</f>
        <v>31.25</v>
      </c>
      <c r="M246" s="257">
        <f>IF(COUNT('Weekly Data'!AR246:AV246)=0,"",IF(AVERAGE('Weekly Data'!AR246:AV246)&lt;0.55,"&lt;1",AVERAGE('Weekly Data'!AR246:AV246)))</f>
        <v>25</v>
      </c>
      <c r="N246" s="257">
        <f>IF(COUNT('Weekly Data'!AW246:AZ246)=0,"",IF(AVERAGE('Weekly Data'!AW246:AZ246)&lt;0.55,"&lt;1",AVERAGE('Weekly Data'!AW246:AZ246)))</f>
        <v>16.666666666666668</v>
      </c>
      <c r="O246" s="257" t="str">
        <f>IF(COUNT('Weekly Data'!BA246:BD246)=0,"",IF(AVERAGE('Weekly Data'!BA246:BD246)&lt;0.55,"&lt;1",AVERAGE('Weekly Data'!BA246:BD246)))</f>
        <v/>
      </c>
      <c r="P246" s="257"/>
      <c r="Q246" s="257">
        <f>IF(COUNT('Weekly Data'!E246:BD246)=0,"",IF(AVERAGE('Weekly Data'!E246:BD246)&lt;0.55,"&lt;1",AVERAGE('Weekly Data'!E246:BD246)))</f>
        <v>29.52</v>
      </c>
      <c r="R246" s="257">
        <f>IF(COUNT('Weekly Data'!E246:BD246)=0,"",IF(MIN('Weekly Data'!E246:BD246)&lt;0.55,"&lt;1",MIN('Weekly Data'!E246:BD246)))</f>
        <v>14</v>
      </c>
      <c r="S246" s="257">
        <f>IF(COUNT('Weekly Data'!E246:BD246)=0,"",IF(MAX('Weekly Data'!E246:BD246)&lt;0.55,"&lt;1",MAX('Weekly Data'!E246:BD246)))</f>
        <v>40</v>
      </c>
      <c r="T246" s="293"/>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row>
    <row r="247" spans="1:256">
      <c r="A247" s="1"/>
      <c r="B247" s="258" t="str">
        <f>'Weekly Data'!A247</f>
        <v>Bromodichloromethane</v>
      </c>
      <c r="C247" s="257" t="str">
        <f>'Weekly Data'!B247</f>
        <v>µg/L</v>
      </c>
      <c r="D247" s="257" t="str">
        <f>IF(COUNT('Weekly Data'!E247:I247)=0,"",IF(AVERAGE('Weekly Data'!E247:I247)&lt;0.55,"&lt;1",AVERAGE('Weekly Data'!E247:I247)))</f>
        <v/>
      </c>
      <c r="E247" s="257" t="str">
        <f>IF(COUNT('Weekly Data'!J247:M247)=0,"",IF(AVERAGE('Weekly Data'!J247:M247)&lt;0.55,"&lt;1",AVERAGE('Weekly Data'!J247:M247)))</f>
        <v/>
      </c>
      <c r="F247" s="257" t="str">
        <f>IF(COUNT('Weekly Data'!N247:Q247)=0,"",IF(AVERAGE('Weekly Data'!N247:Q247)&lt;0.55,"&lt;1",AVERAGE('Weekly Data'!N247:Q247)))</f>
        <v/>
      </c>
      <c r="G247" s="257" t="str">
        <f>IF(COUNT('Weekly Data'!R247:V247)=0,"",IF(AVERAGE('Weekly Data'!R247:V247)&lt;0.55,"&lt;1",AVERAGE('Weekly Data'!R247:V247)))</f>
        <v/>
      </c>
      <c r="H247" s="257" t="str">
        <f>IF(COUNT('Weekly Data'!W247:Z247)=0,"",IF(AVERAGE('Weekly Data'!W247:Z247)&lt;0.55,"&lt;1",AVERAGE('Weekly Data'!W247:Z247)))</f>
        <v/>
      </c>
      <c r="I247" s="257">
        <f>IF(COUNT('Weekly Data'!AA247:AD247)=0,"",IF(AVERAGE('Weekly Data'!AA247:AD247)&lt;0.55,"&lt;1",AVERAGE('Weekly Data'!AA247:AD247)))</f>
        <v>12</v>
      </c>
      <c r="J247" s="257">
        <f>IF(COUNT('Weekly Data'!AE247:AI247)=0,"",IF(AVERAGE('Weekly Data'!AE247:AI247)&lt;0.55,"&lt;1",AVERAGE('Weekly Data'!AE247:AI247)))</f>
        <v>14.6</v>
      </c>
      <c r="K247" s="257">
        <f>IF(COUNT('Weekly Data'!AJ247:AM247)=0,"",IF(AVERAGE('Weekly Data'!AJ247:AM247)&lt;0.55,"&lt;1",AVERAGE('Weekly Data'!AJ247:AM247)))</f>
        <v>13.5</v>
      </c>
      <c r="L247" s="257">
        <f>IF(COUNT('Weekly Data'!AN247:AQ247)=0,"",IF(AVERAGE('Weekly Data'!AN247:AQ247)&lt;0.55,"&lt;1",AVERAGE('Weekly Data'!AN247:AQ247)))</f>
        <v>10</v>
      </c>
      <c r="M247" s="257">
        <f>IF(COUNT('Weekly Data'!AR247:AV247)=0,"",IF(AVERAGE('Weekly Data'!AR247:AV247)&lt;0.55,"&lt;1",AVERAGE('Weekly Data'!AR247:AV247)))</f>
        <v>8.6</v>
      </c>
      <c r="N247" s="257">
        <f>IF(COUNT('Weekly Data'!AW247:AZ247)=0,"",IF(AVERAGE('Weekly Data'!AW247:AZ247)&lt;0.55,"&lt;1",AVERAGE('Weekly Data'!AW247:AZ247)))</f>
        <v>6.333333333333333</v>
      </c>
      <c r="O247" s="257" t="str">
        <f>IF(COUNT('Weekly Data'!BA247:BD247)=0,"",IF(AVERAGE('Weekly Data'!BA247:BD247)&lt;0.55,"&lt;1",AVERAGE('Weekly Data'!BA247:BD247)))</f>
        <v/>
      </c>
      <c r="P247" s="257"/>
      <c r="Q247" s="257">
        <f>IF(COUNT('Weekly Data'!E247:BD247)=0,"",IF(AVERAGE('Weekly Data'!E247:BD247)&lt;0.55,"&lt;1",AVERAGE('Weekly Data'!E247:BD247)))</f>
        <v>11.08</v>
      </c>
      <c r="R247" s="257">
        <f>IF(COUNT('Weekly Data'!E247:BD247)=0,"",IF(MIN('Weekly Data'!E247:BD247)&lt;0.55,"&lt;1",MIN('Weekly Data'!E247:BD247)))</f>
        <v>5</v>
      </c>
      <c r="S247" s="257">
        <f>IF(COUNT('Weekly Data'!E247:BD247)=0,"",IF(MAX('Weekly Data'!E247:BD247)&lt;0.55,"&lt;1",MAX('Weekly Data'!E247:BD247)))</f>
        <v>17</v>
      </c>
      <c r="T247" s="293"/>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row>
    <row r="248" spans="1:256">
      <c r="A248" s="1"/>
      <c r="B248" s="258" t="str">
        <f>'Weekly Data'!A248</f>
        <v>Chlorodibromomethane</v>
      </c>
      <c r="C248" s="257" t="str">
        <f>'Weekly Data'!B248</f>
        <v>µg/L</v>
      </c>
      <c r="D248" s="257" t="str">
        <f>IF(COUNT('Weekly Data'!E248:I248)=0,"",IF(AVERAGE('Weekly Data'!E248:I248)&lt;0.55,"&lt;1",AVERAGE('Weekly Data'!E248:I248)))</f>
        <v/>
      </c>
      <c r="E248" s="257" t="str">
        <f>IF(COUNT('Weekly Data'!J248:M248)=0,"",IF(AVERAGE('Weekly Data'!J248:M248)&lt;0.55,"&lt;1",AVERAGE('Weekly Data'!J248:M248)))</f>
        <v/>
      </c>
      <c r="F248" s="257" t="str">
        <f>IF(COUNT('Weekly Data'!N248:Q248)=0,"",IF(AVERAGE('Weekly Data'!N248:Q248)&lt;0.55,"&lt;1",AVERAGE('Weekly Data'!N248:Q248)))</f>
        <v/>
      </c>
      <c r="G248" s="257" t="str">
        <f>IF(COUNT('Weekly Data'!R248:V248)=0,"",IF(AVERAGE('Weekly Data'!R248:V248)&lt;0.55,"&lt;1",AVERAGE('Weekly Data'!R248:V248)))</f>
        <v/>
      </c>
      <c r="H248" s="257" t="str">
        <f>IF(COUNT('Weekly Data'!W248:Z248)=0,"",IF(AVERAGE('Weekly Data'!W248:Z248)&lt;0.55,"&lt;1",AVERAGE('Weekly Data'!W248:Z248)))</f>
        <v/>
      </c>
      <c r="I248" s="257">
        <f>IF(COUNT('Weekly Data'!AA248:AD248)=0,"",IF(AVERAGE('Weekly Data'!AA248:AD248)&lt;0.55,"&lt;1",AVERAGE('Weekly Data'!AA248:AD248)))</f>
        <v>2.75</v>
      </c>
      <c r="J248" s="257">
        <f>IF(COUNT('Weekly Data'!AE248:AI248)=0,"",IF(AVERAGE('Weekly Data'!AE248:AI248)&lt;0.55,"&lt;1",AVERAGE('Weekly Data'!AE248:AI248)))</f>
        <v>3.2</v>
      </c>
      <c r="K248" s="257">
        <f>IF(COUNT('Weekly Data'!AJ248:AM248)=0,"",IF(AVERAGE('Weekly Data'!AJ248:AM248)&lt;0.55,"&lt;1",AVERAGE('Weekly Data'!AJ248:AM248)))</f>
        <v>1.5</v>
      </c>
      <c r="L248" s="257">
        <f>IF(COUNT('Weekly Data'!AN248:AQ248)=0,"",IF(AVERAGE('Weekly Data'!AN248:AQ248)&lt;0.55,"&lt;1",AVERAGE('Weekly Data'!AN248:AQ248)))</f>
        <v>2</v>
      </c>
      <c r="M248" s="257">
        <f>IF(COUNT('Weekly Data'!AR248:AV248)=0,"",IF(AVERAGE('Weekly Data'!AR248:AV248)&lt;0.55,"&lt;1",AVERAGE('Weekly Data'!AR248:AV248)))</f>
        <v>1.6</v>
      </c>
      <c r="N248" s="257">
        <f>IF(COUNT('Weekly Data'!AW248:AZ248)=0,"",IF(AVERAGE('Weekly Data'!AW248:AZ248)&lt;0.55,"&lt;1",AVERAGE('Weekly Data'!AW248:AZ248)))</f>
        <v>1.3333333333333333</v>
      </c>
      <c r="O248" s="257" t="str">
        <f>IF(COUNT('Weekly Data'!BA248:BD248)=0,"",IF(AVERAGE('Weekly Data'!BA248:BD248)&lt;0.55,"&lt;1",AVERAGE('Weekly Data'!BA248:BD248)))</f>
        <v/>
      </c>
      <c r="P248" s="257"/>
      <c r="Q248" s="257">
        <f>IF(COUNT('Weekly Data'!E248:BD248)=0,"",IF(AVERAGE('Weekly Data'!E248:BD248)&lt;0.55,"&lt;1",AVERAGE('Weekly Data'!E248:BD248)))</f>
        <v>2.12</v>
      </c>
      <c r="R248" s="257" t="str">
        <f>IF(COUNT('Weekly Data'!E248:BD248)=0,"",IF(MIN('Weekly Data'!E248:BD248)&lt;0.55,"&lt;1",MIN('Weekly Data'!E248:BD248)))</f>
        <v>&lt;1</v>
      </c>
      <c r="S248" s="257">
        <f>IF(COUNT('Weekly Data'!E248:BD248)=0,"",IF(MAX('Weekly Data'!E248:BD248)&lt;0.55,"&lt;1",MAX('Weekly Data'!E248:BD248)))</f>
        <v>4</v>
      </c>
      <c r="T248" s="293"/>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row>
    <row r="249" spans="1:256">
      <c r="A249" s="1"/>
      <c r="B249" s="258" t="str">
        <f>'Weekly Data'!A249</f>
        <v>Bromoform</v>
      </c>
      <c r="C249" s="257" t="str">
        <f>'Weekly Data'!B249</f>
        <v>µg/L</v>
      </c>
      <c r="D249" s="257" t="str">
        <f>IF(COUNT('Weekly Data'!E249:I249)=0,"",IF(AVERAGE('Weekly Data'!E249:I249)&lt;0.55,"&lt;1",AVERAGE('Weekly Data'!E249:I249)))</f>
        <v/>
      </c>
      <c r="E249" s="257" t="str">
        <f>IF(COUNT('Weekly Data'!J249:M249)=0,"",IF(AVERAGE('Weekly Data'!J249:M249)&lt;0.55,"&lt;1",AVERAGE('Weekly Data'!J249:M249)))</f>
        <v/>
      </c>
      <c r="F249" s="257" t="str">
        <f>IF(COUNT('Weekly Data'!N249:Q249)=0,"",IF(AVERAGE('Weekly Data'!N249:Q249)&lt;0.55,"&lt;1",AVERAGE('Weekly Data'!N249:Q249)))</f>
        <v/>
      </c>
      <c r="G249" s="257" t="str">
        <f>IF(COUNT('Weekly Data'!R249:V249)=0,"",IF(AVERAGE('Weekly Data'!R249:V249)&lt;0.55,"&lt;1",AVERAGE('Weekly Data'!R249:V249)))</f>
        <v/>
      </c>
      <c r="H249" s="257" t="str">
        <f>IF(COUNT('Weekly Data'!W249:Z249)=0,"",IF(AVERAGE('Weekly Data'!W249:Z249)&lt;0.55,"&lt;1",AVERAGE('Weekly Data'!W249:Z249)))</f>
        <v/>
      </c>
      <c r="I249" s="257" t="str">
        <f>IF(COUNT('Weekly Data'!AA249:AD249)=0,"",IF(AVERAGE('Weekly Data'!AA249:AD249)&lt;0.55,"&lt;1",AVERAGE('Weekly Data'!AA249:AD249)))</f>
        <v>&lt;1</v>
      </c>
      <c r="J249" s="257" t="str">
        <f>IF(COUNT('Weekly Data'!AE249:AI249)=0,"",IF(AVERAGE('Weekly Data'!AE249:AI249)&lt;0.55,"&lt;1",AVERAGE('Weekly Data'!AE249:AI249)))</f>
        <v>&lt;1</v>
      </c>
      <c r="K249" s="257" t="str">
        <f>IF(COUNT('Weekly Data'!AJ249:AM249)=0,"",IF(AVERAGE('Weekly Data'!AJ249:AM249)&lt;0.55,"&lt;1",AVERAGE('Weekly Data'!AJ249:AM249)))</f>
        <v>&lt;1</v>
      </c>
      <c r="L249" s="257" t="str">
        <f>IF(COUNT('Weekly Data'!AN249:AQ249)=0,"",IF(AVERAGE('Weekly Data'!AN249:AQ249)&lt;0.55,"&lt;1",AVERAGE('Weekly Data'!AN249:AQ249)))</f>
        <v>&lt;1</v>
      </c>
      <c r="M249" s="257" t="str">
        <f>IF(COUNT('Weekly Data'!AR249:AV249)=0,"",IF(AVERAGE('Weekly Data'!AR249:AV249)&lt;0.55,"&lt;1",AVERAGE('Weekly Data'!AR249:AV249)))</f>
        <v>&lt;1</v>
      </c>
      <c r="N249" s="257" t="str">
        <f>IF(COUNT('Weekly Data'!AW249:AZ249)=0,"",IF(AVERAGE('Weekly Data'!AW249:AZ249)&lt;0.55,"&lt;1",AVERAGE('Weekly Data'!AW249:AZ249)))</f>
        <v>&lt;1</v>
      </c>
      <c r="O249" s="257" t="str">
        <f>IF(COUNT('Weekly Data'!BA249:BD249)=0,"",IF(AVERAGE('Weekly Data'!BA249:BD249)&lt;0.55,"&lt;1",AVERAGE('Weekly Data'!BA249:BD249)))</f>
        <v/>
      </c>
      <c r="P249" s="257"/>
      <c r="Q249" s="257" t="str">
        <f>IF(COUNT('Weekly Data'!E249:BD249)=0,"",IF(AVERAGE('Weekly Data'!E249:BD249)&lt;0.55,"&lt;1",AVERAGE('Weekly Data'!E249:BD249)))</f>
        <v>&lt;1</v>
      </c>
      <c r="R249" s="257" t="str">
        <f>IF(COUNT('Weekly Data'!E249:BD249)=0,"",IF(MIN('Weekly Data'!E249:BD249)&lt;0.55,"&lt;1",MIN('Weekly Data'!E249:BD249)))</f>
        <v>&lt;1</v>
      </c>
      <c r="S249" s="257">
        <f>IF(COUNT('Weekly Data'!E249:BD249)=0,"",IF(MAX('Weekly Data'!E249:BD249)&lt;0.55,"&lt;1",MAX('Weekly Data'!E249:BD249)))</f>
        <v>1</v>
      </c>
      <c r="T249" s="293"/>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row>
    <row r="250" spans="1:256">
      <c r="A250" s="1"/>
      <c r="B250" s="258"/>
      <c r="C250" s="257"/>
      <c r="D250" s="246"/>
      <c r="E250" s="246"/>
      <c r="F250" s="246"/>
      <c r="G250" s="246"/>
      <c r="H250" s="257"/>
      <c r="I250" s="246"/>
      <c r="J250" s="246"/>
      <c r="K250" s="246"/>
      <c r="L250" s="257"/>
      <c r="M250" s="246"/>
      <c r="N250" s="246"/>
      <c r="O250" s="246"/>
      <c r="P250" s="246"/>
      <c r="Q250" s="247"/>
      <c r="R250" s="247"/>
      <c r="S250" s="247"/>
      <c r="T250" s="293"/>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row>
    <row r="251" spans="1:256">
      <c r="A251" s="1"/>
      <c r="B251" s="245" t="str">
        <f>'Weekly Data'!A251</f>
        <v>BIOLOGICAL</v>
      </c>
      <c r="C251" s="256"/>
      <c r="D251" s="246"/>
      <c r="E251" s="246"/>
      <c r="F251" s="246" t="s">
        <v>356</v>
      </c>
      <c r="G251" s="246"/>
      <c r="H251" s="257"/>
      <c r="I251" s="246"/>
      <c r="J251" s="246"/>
      <c r="K251" s="246"/>
      <c r="L251" s="257"/>
      <c r="M251" s="246"/>
      <c r="N251" s="246"/>
      <c r="O251" s="246"/>
      <c r="P251" s="246"/>
      <c r="Q251" s="247"/>
      <c r="R251" s="247"/>
      <c r="S251" s="247"/>
      <c r="T251" s="293"/>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row>
    <row r="252" spans="1:256">
      <c r="A252" s="1"/>
      <c r="B252" s="258"/>
      <c r="C252" s="257"/>
      <c r="D252" s="246"/>
      <c r="E252" s="246"/>
      <c r="F252" s="246"/>
      <c r="G252" s="246"/>
      <c r="H252" s="246"/>
      <c r="I252" s="246"/>
      <c r="J252" s="246"/>
      <c r="K252" s="246"/>
      <c r="L252" s="246"/>
      <c r="M252" s="246"/>
      <c r="N252" s="246"/>
      <c r="O252" s="246"/>
      <c r="P252" s="246"/>
      <c r="Q252" s="246"/>
      <c r="R252" s="246"/>
      <c r="S252" s="246"/>
      <c r="T252" s="293"/>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row>
    <row r="253" spans="1:256">
      <c r="A253" s="1"/>
      <c r="B253" s="258" t="str">
        <f>'Weekly Data'!A253</f>
        <v>Blue Green Algae</v>
      </c>
      <c r="C253" s="257" t="str">
        <f>'Weekly Data'!B253</f>
        <v>per litre</v>
      </c>
      <c r="D253" s="257" t="str">
        <f>IF(COUNT('Weekly Data'!E253:I253)=0,"",IF(AVERAGE('Weekly Data'!E253:I253)&lt;150,"&lt;200",AVERAGE('Weekly Data'!E253:I253)))</f>
        <v>&lt;200</v>
      </c>
      <c r="E253" s="257" t="str">
        <f>IF(COUNT('Weekly Data'!J253:M253)=0,"",IF(AVERAGE('Weekly Data'!J253:M253)&lt;150,"&lt;200",AVERAGE('Weekly Data'!J253:M253)))</f>
        <v>&lt;200</v>
      </c>
      <c r="F253" s="257">
        <f>IF(COUNT('Weekly Data'!N253:Q253)=0,"",IF(AVERAGE('Weekly Data'!N253:Q253)&lt;150,"&lt;200",AVERAGE('Weekly Data'!N253:Q253)))</f>
        <v>300</v>
      </c>
      <c r="G253" s="257">
        <f>IF(COUNT('Weekly Data'!R253:V253)=0,"",IF(AVERAGE('Weekly Data'!R253:V253)&lt;150,"&lt;200",AVERAGE('Weekly Data'!R253:V253)))</f>
        <v>160</v>
      </c>
      <c r="H253" s="257">
        <f>IF(COUNT('Weekly Data'!W253:Z253)=0,"",IF(AVERAGE('Weekly Data'!W253:Z253)&lt;150,"&lt;200",AVERAGE('Weekly Data'!W253:Z253)))</f>
        <v>400</v>
      </c>
      <c r="I253" s="257">
        <f>IF(COUNT('Weekly Data'!AA253:AD253)=0,"",IF(AVERAGE('Weekly Data'!AA253:AD253)&lt;150,"&lt;200",AVERAGE('Weekly Data'!AA253:AD253)))</f>
        <v>6250</v>
      </c>
      <c r="J253" s="257">
        <f>IF(COUNT('Weekly Data'!AE253:AI253)=0,"",IF(AVERAGE('Weekly Data'!AE253:AI253)&lt;150,"&lt;200",AVERAGE('Weekly Data'!AE253:AI253)))</f>
        <v>8350</v>
      </c>
      <c r="K253" s="257">
        <f>IF(COUNT('Weekly Data'!AJ253:AM253)=0,"",IF(AVERAGE('Weekly Data'!AJ253:AM253)&lt;150,"&lt;200",AVERAGE('Weekly Data'!AJ253:AM253)))</f>
        <v>14650</v>
      </c>
      <c r="L253" s="257">
        <f>IF(COUNT('Weekly Data'!AN253:AQ253)=0,"",IF(AVERAGE('Weekly Data'!AN253:AQ253)&lt;150,"&lt;200",AVERAGE('Weekly Data'!AN253:AQ253)))</f>
        <v>13200</v>
      </c>
      <c r="M253" s="257">
        <f>IF(COUNT('Weekly Data'!AR253:AV253)=0,"",IF(AVERAGE('Weekly Data'!AR253:AV253)&lt;150,"&lt;200",AVERAGE('Weekly Data'!AR253:AV253)))</f>
        <v>4240</v>
      </c>
      <c r="N253" s="257">
        <f>IF(COUNT('Weekly Data'!AW253:AZ253)=0,"",IF(AVERAGE('Weekly Data'!AW253:AZ253)&lt;150,"&lt;200",AVERAGE('Weekly Data'!AW253:AZ253)))</f>
        <v>955</v>
      </c>
      <c r="O253" s="257">
        <f>IF(COUNT('Weekly Data'!BA253:BD253)=0,"",IF(AVERAGE('Weekly Data'!BA253:BD253)&lt;150,"&lt;200",AVERAGE('Weekly Data'!BA253:BD253)))</f>
        <v>666.66666666666663</v>
      </c>
      <c r="P253" s="257"/>
      <c r="Q253" s="257">
        <f>IF(COUNT('Weekly Data'!E253:BD253)=0,"",IF(AVERAGE('Weekly Data'!E253:BD253)&lt;150,"&lt;200",AVERAGE('Weekly Data'!E253:BD253)))</f>
        <v>4179.583333333333</v>
      </c>
      <c r="R253" s="257" t="str">
        <f>IF(COUNT('Weekly Data'!E253:BD253)=0,"",IF(MIN('Weekly Data'!E253:BD253)&lt;150,"&lt;200",MIN('Weekly Data'!E253:BD253)))</f>
        <v>&lt;200</v>
      </c>
      <c r="S253" s="257">
        <f>IF(COUNT('Weekly Data'!E253:BD253)=0,"",IF(MAX('Weekly Data'!E253:BD253)&lt;150,"&lt;200",MAX('Weekly Data'!E253:BD253)))</f>
        <v>41800</v>
      </c>
      <c r="T253" s="293"/>
      <c r="U253" s="259">
        <f>COUNT('Weekly Data'!E253:BC253)</f>
        <v>48</v>
      </c>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row>
    <row r="254" spans="1:256">
      <c r="A254" s="1"/>
      <c r="B254" s="258" t="str">
        <f>'Weekly Data'!A254</f>
        <v>Green Algae</v>
      </c>
      <c r="C254" s="257" t="str">
        <f>'Weekly Data'!B254</f>
        <v>per litre</v>
      </c>
      <c r="D254" s="257">
        <f>IF(COUNT('Weekly Data'!E254:I254)=0,"",IF(AVERAGE('Weekly Data'!E254:I254)&lt;150,"&lt;200",AVERAGE('Weekly Data'!E254:I254)))</f>
        <v>12250</v>
      </c>
      <c r="E254" s="257">
        <f>IF(COUNT('Weekly Data'!J254:M254)=0,"",IF(AVERAGE('Weekly Data'!J254:M254)&lt;150,"&lt;200",AVERAGE('Weekly Data'!J254:M254)))</f>
        <v>23066.666666666668</v>
      </c>
      <c r="F254" s="257">
        <f>IF(COUNT('Weekly Data'!N254:Q254)=0,"",IF(AVERAGE('Weekly Data'!N254:Q254)&lt;150,"&lt;200",AVERAGE('Weekly Data'!N254:Q254)))</f>
        <v>37650</v>
      </c>
      <c r="G254" s="257">
        <f>IF(COUNT('Weekly Data'!R254:V254)=0,"",IF(AVERAGE('Weekly Data'!R254:V254)&lt;150,"&lt;200",AVERAGE('Weekly Data'!R254:V254)))</f>
        <v>39600</v>
      </c>
      <c r="H254" s="257">
        <f>IF(COUNT('Weekly Data'!W254:Z254)=0,"",IF(AVERAGE('Weekly Data'!W254:Z254)&lt;150,"&lt;200",AVERAGE('Weekly Data'!W254:Z254)))</f>
        <v>150</v>
      </c>
      <c r="I254" s="257">
        <f>IF(COUNT('Weekly Data'!AA254:AD254)=0,"",IF(AVERAGE('Weekly Data'!AA254:AD254)&lt;150,"&lt;200",AVERAGE('Weekly Data'!AA254:AD254)))</f>
        <v>1450</v>
      </c>
      <c r="J254" s="257">
        <f>IF(COUNT('Weekly Data'!AE254:AI254)=0,"",IF(AVERAGE('Weekly Data'!AE254:AI254)&lt;150,"&lt;200",AVERAGE('Weekly Data'!AE254:AI254)))</f>
        <v>7600</v>
      </c>
      <c r="K254" s="257">
        <f>IF(COUNT('Weekly Data'!AJ254:AM254)=0,"",IF(AVERAGE('Weekly Data'!AJ254:AM254)&lt;150,"&lt;200",AVERAGE('Weekly Data'!AJ254:AM254)))</f>
        <v>9450</v>
      </c>
      <c r="L254" s="257">
        <f>IF(COUNT('Weekly Data'!AN254:AQ254)=0,"",IF(AVERAGE('Weekly Data'!AN254:AQ254)&lt;150,"&lt;200",AVERAGE('Weekly Data'!AN254:AQ254)))</f>
        <v>450</v>
      </c>
      <c r="M254" s="257">
        <f>IF(COUNT('Weekly Data'!AR254:AV254)=0,"",IF(AVERAGE('Weekly Data'!AR254:AV254)&lt;150,"&lt;200",AVERAGE('Weekly Data'!AR254:AV254)))</f>
        <v>320</v>
      </c>
      <c r="N254" s="257">
        <f>IF(COUNT('Weekly Data'!AW254:AZ254)=0,"",IF(AVERAGE('Weekly Data'!AW254:AZ254)&lt;150,"&lt;200",AVERAGE('Weekly Data'!AW254:AZ254)))</f>
        <v>550</v>
      </c>
      <c r="O254" s="257">
        <f>IF(COUNT('Weekly Data'!BA254:BD254)=0,"",IF(AVERAGE('Weekly Data'!BA254:BD254)&lt;150,"&lt;200",AVERAGE('Weekly Data'!BA254:BD254)))</f>
        <v>1533.3333333333333</v>
      </c>
      <c r="P254" s="257"/>
      <c r="Q254" s="257">
        <f>IF(COUNT('Weekly Data'!E254:BD254)=0,"",IF(AVERAGE('Weekly Data'!E254:BD254)&lt;150,"&lt;200",AVERAGE('Weekly Data'!E254:BD254)))</f>
        <v>11491.666666666666</v>
      </c>
      <c r="R254" s="257" t="str">
        <f>IF(COUNT('Weekly Data'!E254:BD254)=0,"",IF(MIN('Weekly Data'!E254:BD254)&lt;150,"&lt;200",MIN('Weekly Data'!E254:BD254)))</f>
        <v>&lt;200</v>
      </c>
      <c r="S254" s="257">
        <f>IF(COUNT('Weekly Data'!E254:BD254)=0,"",IF(MAX('Weekly Data'!E254:BD254)&lt;150,"&lt;200",MAX('Weekly Data'!E254:BD254)))</f>
        <v>112800</v>
      </c>
      <c r="T254" s="293"/>
      <c r="U254" s="259">
        <f>COUNT('Weekly Data'!E254:BC254)</f>
        <v>48</v>
      </c>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row>
    <row r="255" spans="1:256">
      <c r="A255" s="1"/>
      <c r="B255" s="258" t="str">
        <f>'Weekly Data'!A255</f>
        <v>Diatoms</v>
      </c>
      <c r="C255" s="257" t="str">
        <f>'Weekly Data'!B255</f>
        <v>per litre</v>
      </c>
      <c r="D255" s="257" t="str">
        <f>IF(COUNT('Weekly Data'!E255:I255)=0,"",IF(AVERAGE('Weekly Data'!E255:I255)&lt;150,"&lt;200",AVERAGE('Weekly Data'!E255:I255)))</f>
        <v>&lt;200</v>
      </c>
      <c r="E255" s="257" t="str">
        <f>IF(COUNT('Weekly Data'!J255:M255)=0,"",IF(AVERAGE('Weekly Data'!J255:M255)&lt;150,"&lt;200",AVERAGE('Weekly Data'!J255:M255)))</f>
        <v>&lt;200</v>
      </c>
      <c r="F255" s="257" t="str">
        <f>IF(COUNT('Weekly Data'!N255:Q255)=0,"",IF(AVERAGE('Weekly Data'!N255:Q255)&lt;150,"&lt;200",AVERAGE('Weekly Data'!N255:Q255)))</f>
        <v>&lt;200</v>
      </c>
      <c r="G255" s="257" t="str">
        <f>IF(COUNT('Weekly Data'!R255:V255)=0,"",IF(AVERAGE('Weekly Data'!R255:V255)&lt;150,"&lt;200",AVERAGE('Weekly Data'!R255:V255)))</f>
        <v>&lt;200</v>
      </c>
      <c r="H255" s="257" t="str">
        <f>IF(COUNT('Weekly Data'!W255:Z255)=0,"",IF(AVERAGE('Weekly Data'!W255:Z255)&lt;150,"&lt;200",AVERAGE('Weekly Data'!W255:Z255)))</f>
        <v>&lt;200</v>
      </c>
      <c r="I255" s="257">
        <f>IF(COUNT('Weekly Data'!AA255:AD255)=0,"",IF(AVERAGE('Weekly Data'!AA255:AD255)&lt;150,"&lt;200",AVERAGE('Weekly Data'!AA255:AD255)))</f>
        <v>300</v>
      </c>
      <c r="J255" s="257">
        <f>IF(COUNT('Weekly Data'!AE255:AI255)=0,"",IF(AVERAGE('Weekly Data'!AE255:AI255)&lt;150,"&lt;200",AVERAGE('Weekly Data'!AE255:AI255)))</f>
        <v>800</v>
      </c>
      <c r="K255" s="257">
        <f>IF(COUNT('Weekly Data'!AJ255:AM255)=0,"",IF(AVERAGE('Weekly Data'!AJ255:AM255)&lt;150,"&lt;200",AVERAGE('Weekly Data'!AJ255:AM255)))</f>
        <v>300</v>
      </c>
      <c r="L255" s="257">
        <f>IF(COUNT('Weekly Data'!AN255:AQ255)=0,"",IF(AVERAGE('Weekly Data'!AN255:AQ255)&lt;150,"&lt;200",AVERAGE('Weekly Data'!AN255:AQ255)))</f>
        <v>400</v>
      </c>
      <c r="M255" s="257">
        <f>IF(COUNT('Weekly Data'!AR255:AV255)=0,"",IF(AVERAGE('Weekly Data'!AR255:AV255)&lt;150,"&lt;200",AVERAGE('Weekly Data'!AR255:AV255)))</f>
        <v>360</v>
      </c>
      <c r="N255" s="257" t="str">
        <f>IF(COUNT('Weekly Data'!AW255:AZ255)=0,"",IF(AVERAGE('Weekly Data'!AW255:AZ255)&lt;150,"&lt;200",AVERAGE('Weekly Data'!AW255:AZ255)))</f>
        <v>&lt;200</v>
      </c>
      <c r="O255" s="257">
        <f>IF(COUNT('Weekly Data'!BA255:BD255)=0,"",IF(AVERAGE('Weekly Data'!BA255:BD255)&lt;150,"&lt;200",AVERAGE('Weekly Data'!BA255:BD255)))</f>
        <v>266.66666666666669</v>
      </c>
      <c r="P255" s="257"/>
      <c r="Q255" s="257">
        <f>IF(COUNT('Weekly Data'!E255:BD255)=0,"",IF(AVERAGE('Weekly Data'!E255:BD255)&lt;150,"&lt;200",AVERAGE('Weekly Data'!E255:BD255)))</f>
        <v>220.83333333333334</v>
      </c>
      <c r="R255" s="257" t="str">
        <f>IF(COUNT('Weekly Data'!E255:BD255)=0,"",IF(MIN('Weekly Data'!E255:BD255)&lt;150,"&lt;200",MIN('Weekly Data'!E255:BD255)))</f>
        <v>&lt;200</v>
      </c>
      <c r="S255" s="257">
        <f>IF(COUNT('Weekly Data'!E255:BD255)=0,"",IF(MAX('Weekly Data'!E255:BD255)&lt;150,"&lt;200",MAX('Weekly Data'!E255:BD255)))</f>
        <v>1400</v>
      </c>
      <c r="T255" s="293"/>
      <c r="U255" s="259">
        <f>COUNT('Weekly Data'!E255:BC255)</f>
        <v>48</v>
      </c>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row>
    <row r="256" spans="1:256">
      <c r="A256" s="1"/>
      <c r="B256" s="258" t="str">
        <f>'Weekly Data'!A256</f>
        <v>Flagellates</v>
      </c>
      <c r="C256" s="257" t="str">
        <f>'Weekly Data'!B256</f>
        <v>per litre</v>
      </c>
      <c r="D256" s="257" t="str">
        <f>IF(COUNT('Weekly Data'!E256:I256)=0,"",IF(AVERAGE('Weekly Data'!E256:I256)&lt;150,"&lt;200",AVERAGE('Weekly Data'!E256:I256)))</f>
        <v>&lt;200</v>
      </c>
      <c r="E256" s="257" t="str">
        <f>IF(COUNT('Weekly Data'!J256:M256)=0,"",IF(AVERAGE('Weekly Data'!J256:M256)&lt;150,"&lt;200",AVERAGE('Weekly Data'!J256:M256)))</f>
        <v>&lt;200</v>
      </c>
      <c r="F256" s="257" t="str">
        <f>IF(COUNT('Weekly Data'!N256:Q256)=0,"",IF(AVERAGE('Weekly Data'!N256:Q256)&lt;150,"&lt;200",AVERAGE('Weekly Data'!N256:Q256)))</f>
        <v>&lt;200</v>
      </c>
      <c r="G256" s="257" t="str">
        <f>IF(COUNT('Weekly Data'!R256:V256)=0,"",IF(AVERAGE('Weekly Data'!R256:V256)&lt;150,"&lt;200",AVERAGE('Weekly Data'!R256:V256)))</f>
        <v>&lt;200</v>
      </c>
      <c r="H256" s="257" t="str">
        <f>IF(COUNT('Weekly Data'!W256:Z256)=0,"",IF(AVERAGE('Weekly Data'!W256:Z256)&lt;150,"&lt;200",AVERAGE('Weekly Data'!W256:Z256)))</f>
        <v>&lt;200</v>
      </c>
      <c r="I256" s="257" t="str">
        <f>IF(COUNT('Weekly Data'!AA256:AD256)=0,"",IF(AVERAGE('Weekly Data'!AA256:AD256)&lt;150,"&lt;200",AVERAGE('Weekly Data'!AA256:AD256)))</f>
        <v>&lt;200</v>
      </c>
      <c r="J256" s="257" t="str">
        <f>IF(COUNT('Weekly Data'!AE256:AI256)=0,"",IF(AVERAGE('Weekly Data'!AE256:AI256)&lt;150,"&lt;200",AVERAGE('Weekly Data'!AE256:AI256)))</f>
        <v>&lt;200</v>
      </c>
      <c r="K256" s="257" t="str">
        <f>IF(COUNT('Weekly Data'!AJ256:AM256)=0,"",IF(AVERAGE('Weekly Data'!AJ256:AM256)&lt;150,"&lt;200",AVERAGE('Weekly Data'!AJ256:AM256)))</f>
        <v>&lt;200</v>
      </c>
      <c r="L256" s="257" t="str">
        <f>IF(COUNT('Weekly Data'!AN256:AQ256)=0,"",IF(AVERAGE('Weekly Data'!AN256:AQ256)&lt;150,"&lt;200",AVERAGE('Weekly Data'!AN256:AQ256)))</f>
        <v>&lt;200</v>
      </c>
      <c r="M256" s="257" t="str">
        <f>IF(COUNT('Weekly Data'!AR256:AV256)=0,"",IF(AVERAGE('Weekly Data'!AR256:AV256)&lt;150,"&lt;200",AVERAGE('Weekly Data'!AR256:AV256)))</f>
        <v>&lt;200</v>
      </c>
      <c r="N256" s="257" t="str">
        <f>IF(COUNT('Weekly Data'!AW256:AZ256)=0,"",IF(AVERAGE('Weekly Data'!AW256:AZ256)&lt;150,"&lt;200",AVERAGE('Weekly Data'!AW256:AZ256)))</f>
        <v>&lt;200</v>
      </c>
      <c r="O256" s="257">
        <f>IF(COUNT('Weekly Data'!BA256:BD256)=0,"",IF(AVERAGE('Weekly Data'!BA256:BD256)&lt;150,"&lt;200",AVERAGE('Weekly Data'!BA256:BD256)))</f>
        <v>200</v>
      </c>
      <c r="P256" s="257"/>
      <c r="Q256" s="257" t="str">
        <f>IF(COUNT('Weekly Data'!E256:BD256)=0,"",IF(AVERAGE('Weekly Data'!E256:BD256)&lt;150,"&lt;200",AVERAGE('Weekly Data'!E256:BD256)))</f>
        <v>&lt;200</v>
      </c>
      <c r="R256" s="257" t="str">
        <f>IF(COUNT('Weekly Data'!E256:BD256)=0,"",IF(MIN('Weekly Data'!E256:BD256)&lt;150,"&lt;200",MIN('Weekly Data'!E256:BD256)))</f>
        <v>&lt;200</v>
      </c>
      <c r="S256" s="257">
        <f>IF(COUNT('Weekly Data'!E256:BD256)=0,"",IF(MAX('Weekly Data'!E256:BD256)&lt;150,"&lt;200",MAX('Weekly Data'!E256:BD256)))</f>
        <v>400</v>
      </c>
      <c r="T256" s="293"/>
      <c r="U256" s="259">
        <f>COUNT('Weekly Data'!E256:BC256)</f>
        <v>48</v>
      </c>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row>
    <row r="257" spans="1:256">
      <c r="A257" s="1"/>
      <c r="B257" s="258" t="str">
        <f>'Weekly Data'!A257</f>
        <v>Crustaceans</v>
      </c>
      <c r="C257" s="257" t="str">
        <f>'Weekly Data'!B257</f>
        <v>per litre</v>
      </c>
      <c r="D257" s="257" t="str">
        <f>IF(COUNT('Weekly Data'!E257:I257)=0,"",IF(AVERAGE('Weekly Data'!E257:I257)&lt;1.5,"&lt;2",AVERAGE('Weekly Data'!E257:I257)))</f>
        <v>&lt;2</v>
      </c>
      <c r="E257" s="257" t="str">
        <f>IF(COUNT('Weekly Data'!J257:M257)=0,"",IF(AVERAGE('Weekly Data'!J257:M257)&lt;1.5,"&lt;2",AVERAGE('Weekly Data'!J257:M257)))</f>
        <v>&lt;2</v>
      </c>
      <c r="F257" s="257" t="str">
        <f>IF(COUNT('Weekly Data'!N257:Q257)=0,"",IF(AVERAGE('Weekly Data'!N257:Q257)&lt;1.5,"&lt;2",AVERAGE('Weekly Data'!N257:Q257)))</f>
        <v>&lt;2</v>
      </c>
      <c r="G257" s="257" t="str">
        <f>IF(COUNT('Weekly Data'!R257:V257)=0,"",IF(AVERAGE('Weekly Data'!R257:V257)&lt;1.5,"&lt;2",AVERAGE('Weekly Data'!R257:V257)))</f>
        <v>&lt;2</v>
      </c>
      <c r="H257" s="257" t="str">
        <f>IF(COUNT('Weekly Data'!W257:Z257)=0,"",IF(AVERAGE('Weekly Data'!W257:Z257)&lt;1.5,"&lt;2",AVERAGE('Weekly Data'!W257:Z257)))</f>
        <v>&lt;2</v>
      </c>
      <c r="I257" s="257" t="str">
        <f>IF(COUNT('Weekly Data'!AA257:AD257)=0,"",IF(AVERAGE('Weekly Data'!AA257:AD257)&lt;1.5,"&lt;2",AVERAGE('Weekly Data'!AA257:AD257)))</f>
        <v>&lt;2</v>
      </c>
      <c r="J257" s="257" t="str">
        <f>IF(COUNT('Weekly Data'!AE257:AI257)=0,"",IF(AVERAGE('Weekly Data'!AE257:AI257)&lt;1.5,"&lt;2",AVERAGE('Weekly Data'!AE257:AI257)))</f>
        <v>&lt;2</v>
      </c>
      <c r="K257" s="257" t="str">
        <f>IF(COUNT('Weekly Data'!AJ257:AM257)=0,"",IF(AVERAGE('Weekly Data'!AJ257:AM257)&lt;1.5,"&lt;2",AVERAGE('Weekly Data'!AJ257:AM257)))</f>
        <v>&lt;2</v>
      </c>
      <c r="L257" s="257" t="str">
        <f>IF(COUNT('Weekly Data'!AN257:AQ257)=0,"",IF(AVERAGE('Weekly Data'!AN257:AQ257)&lt;1.5,"&lt;2",AVERAGE('Weekly Data'!AN257:AQ257)))</f>
        <v>&lt;2</v>
      </c>
      <c r="M257" s="257" t="str">
        <f>IF(COUNT('Weekly Data'!AR257:AV257)=0,"",IF(AVERAGE('Weekly Data'!AR257:AV257)&lt;1.5,"&lt;2",AVERAGE('Weekly Data'!AR257:AV257)))</f>
        <v>&lt;2</v>
      </c>
      <c r="N257" s="257" t="str">
        <f>IF(COUNT('Weekly Data'!AW257:AZ257)=0,"",IF(AVERAGE('Weekly Data'!AW257:AZ257)&lt;1.5,"&lt;2",AVERAGE('Weekly Data'!AW257:AZ257)))</f>
        <v>&lt;2</v>
      </c>
      <c r="O257" s="257" t="str">
        <f>IF(COUNT('Weekly Data'!BA257:BD257)=0,"",IF(AVERAGE('Weekly Data'!BA257:BD257)&lt;1.5,"&lt;2",AVERAGE('Weekly Data'!BA257:BD257)))</f>
        <v>&lt;2</v>
      </c>
      <c r="P257" s="257"/>
      <c r="Q257" s="257" t="str">
        <f>IF(COUNT('Weekly Data'!E257:BD257)=0,"",IF(AVERAGE('Weekly Data'!E257:BD257)&lt;1.5,"&lt;2",AVERAGE('Weekly Data'!E257:BD257)))</f>
        <v>&lt;2</v>
      </c>
      <c r="R257" s="257" t="str">
        <f>IF(COUNT('Weekly Data'!E257:BD257)=0,"",IF(MIN('Weekly Data'!E257:BD257)&lt;1.5,"&lt;2",MIN('Weekly Data'!E257:BD257)))</f>
        <v>&lt;2</v>
      </c>
      <c r="S257" s="257" t="str">
        <f>IF(COUNT('Weekly Data'!E257:BD257)=0,"",IF(MAX('Weekly Data'!E257:BD257)&lt;1.5,"&lt;2",MAX('Weekly Data'!E257:BD257)))</f>
        <v>&lt;2</v>
      </c>
      <c r="T257" s="293"/>
      <c r="U257" s="259">
        <f>COUNT('Weekly Data'!E257:BC257)</f>
        <v>48</v>
      </c>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row>
    <row r="258" spans="1:256">
      <c r="A258" s="1"/>
      <c r="B258" s="258" t="str">
        <f>'Weekly Data'!A258</f>
        <v>Nematodes</v>
      </c>
      <c r="C258" s="257" t="str">
        <f>'Weekly Data'!B258</f>
        <v>per litre</v>
      </c>
      <c r="D258" s="257" t="str">
        <f>IF(COUNT('Weekly Data'!E258:I258)=0,"",IF(AVERAGE('Weekly Data'!E258:I258)&lt;150,"&lt;200",AVERAGE('Weekly Data'!E258:I258)))</f>
        <v>&lt;200</v>
      </c>
      <c r="E258" s="257" t="str">
        <f>IF(COUNT('Weekly Data'!J258:M258)=0,"",IF(AVERAGE('Weekly Data'!J258:M258)&lt;150,"&lt;200",AVERAGE('Weekly Data'!J258:M258)))</f>
        <v>&lt;200</v>
      </c>
      <c r="F258" s="257" t="str">
        <f>IF(COUNT('Weekly Data'!N258:Q258)=0,"",IF(AVERAGE('Weekly Data'!N258:Q258)&lt;150,"&lt;200",AVERAGE('Weekly Data'!N258:Q258)))</f>
        <v>&lt;200</v>
      </c>
      <c r="G258" s="257" t="str">
        <f>IF(COUNT('Weekly Data'!R258:V258)=0,"",IF(AVERAGE('Weekly Data'!R258:V258)&lt;150,"&lt;200",AVERAGE('Weekly Data'!R258:V258)))</f>
        <v>&lt;200</v>
      </c>
      <c r="H258" s="257" t="str">
        <f>IF(COUNT('Weekly Data'!W258:Z258)=0,"",IF(AVERAGE('Weekly Data'!W258:Z258)&lt;150,"&lt;200",AVERAGE('Weekly Data'!W258:Z258)))</f>
        <v>&lt;200</v>
      </c>
      <c r="I258" s="257" t="str">
        <f>IF(COUNT('Weekly Data'!AA258:AD258)=0,"",IF(AVERAGE('Weekly Data'!AA258:AD258)&lt;150,"&lt;200",AVERAGE('Weekly Data'!AA258:AD258)))</f>
        <v>&lt;200</v>
      </c>
      <c r="J258" s="257" t="str">
        <f>IF(COUNT('Weekly Data'!AE258:AI258)=0,"",IF(AVERAGE('Weekly Data'!AE258:AI258)&lt;150,"&lt;200",AVERAGE('Weekly Data'!AE258:AI258)))</f>
        <v>&lt;200</v>
      </c>
      <c r="K258" s="257" t="str">
        <f>IF(COUNT('Weekly Data'!AJ258:AM258)=0,"",IF(AVERAGE('Weekly Data'!AJ258:AM258)&lt;150,"&lt;200",AVERAGE('Weekly Data'!AJ258:AM258)))</f>
        <v>&lt;200</v>
      </c>
      <c r="L258" s="257" t="str">
        <f>IF(COUNT('Weekly Data'!AN258:AQ258)=0,"",IF(AVERAGE('Weekly Data'!AN258:AQ258)&lt;150,"&lt;200",AVERAGE('Weekly Data'!AN258:AQ258)))</f>
        <v>&lt;200</v>
      </c>
      <c r="M258" s="257" t="str">
        <f>IF(COUNT('Weekly Data'!AR258:AV258)=0,"",IF(AVERAGE('Weekly Data'!AR258:AV258)&lt;150,"&lt;200",AVERAGE('Weekly Data'!AR258:AV258)))</f>
        <v>&lt;200</v>
      </c>
      <c r="N258" s="257" t="str">
        <f>IF(COUNT('Weekly Data'!AW258:AZ258)=0,"",IF(AVERAGE('Weekly Data'!AW258:AZ258)&lt;150,"&lt;200",AVERAGE('Weekly Data'!AW258:AZ258)))</f>
        <v>&lt;200</v>
      </c>
      <c r="O258" s="257" t="str">
        <f>IF(COUNT('Weekly Data'!BA258:BD258)=0,"",IF(AVERAGE('Weekly Data'!BA258:BD258)&lt;150,"&lt;200",AVERAGE('Weekly Data'!BA258:BD258)))</f>
        <v>&lt;200</v>
      </c>
      <c r="P258" s="257"/>
      <c r="Q258" s="257" t="str">
        <f>IF(COUNT('Weekly Data'!E258:BD258)=0,"",IF(AVERAGE('Weekly Data'!E258:BD258)&lt;150,"&lt;200",AVERAGE('Weekly Data'!E258:BD258)))</f>
        <v>&lt;200</v>
      </c>
      <c r="R258" s="257" t="str">
        <f>IF(COUNT('Weekly Data'!E258:BD258)=0,"",IF(MIN('Weekly Data'!E258:BD258)&lt;150,"&lt;200",MIN('Weekly Data'!E258:BD258)))</f>
        <v>&lt;200</v>
      </c>
      <c r="S258" s="257" t="str">
        <f>IF(COUNT('Weekly Data'!E258:BD258)=0,"",IF(MAX('Weekly Data'!E258:BD258)&lt;150,"&lt;200",MAX('Weekly Data'!E258:BD258)))</f>
        <v>&lt;200</v>
      </c>
      <c r="T258" s="293"/>
      <c r="U258" s="259">
        <f>COUNT('Weekly Data'!E258:BC258)</f>
        <v>48</v>
      </c>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row>
    <row r="259" spans="1:256">
      <c r="A259" s="1"/>
      <c r="B259" s="258" t="str">
        <f>'Weekly Data'!A259</f>
        <v>Rotifers</v>
      </c>
      <c r="C259" s="257" t="str">
        <f>'Weekly Data'!B259</f>
        <v>per litre</v>
      </c>
      <c r="D259" s="257" t="str">
        <f>IF(COUNT('Weekly Data'!E259:I259)=0,"",IF(AVERAGE('Weekly Data'!E259:I259)&lt;150,"&lt;200",AVERAGE('Weekly Data'!E259:I259)))</f>
        <v>&lt;200</v>
      </c>
      <c r="E259" s="257" t="str">
        <f>IF(COUNT('Weekly Data'!J259:M259)=0,"",IF(AVERAGE('Weekly Data'!J259:M259)&lt;150,"&lt;200",AVERAGE('Weekly Data'!J259:M259)))</f>
        <v>&lt;200</v>
      </c>
      <c r="F259" s="257" t="str">
        <f>IF(COUNT('Weekly Data'!N259:Q259)=0,"",IF(AVERAGE('Weekly Data'!N259:Q259)&lt;150,"&lt;200",AVERAGE('Weekly Data'!N259:Q259)))</f>
        <v>&lt;200</v>
      </c>
      <c r="G259" s="257" t="str">
        <f>IF(COUNT('Weekly Data'!R259:V259)=0,"",IF(AVERAGE('Weekly Data'!R259:V259)&lt;150,"&lt;200",AVERAGE('Weekly Data'!R259:V259)))</f>
        <v>&lt;200</v>
      </c>
      <c r="H259" s="257" t="str">
        <f>IF(COUNT('Weekly Data'!W259:Z259)=0,"",IF(AVERAGE('Weekly Data'!W259:Z259)&lt;150,"&lt;200",AVERAGE('Weekly Data'!W259:Z259)))</f>
        <v>&lt;200</v>
      </c>
      <c r="I259" s="257" t="str">
        <f>IF(COUNT('Weekly Data'!AA259:AD259)=0,"",IF(AVERAGE('Weekly Data'!AA259:AD259)&lt;150,"&lt;200",AVERAGE('Weekly Data'!AA259:AD259)))</f>
        <v>&lt;200</v>
      </c>
      <c r="J259" s="257" t="str">
        <f>IF(COUNT('Weekly Data'!AE259:AI259)=0,"",IF(AVERAGE('Weekly Data'!AE259:AI259)&lt;150,"&lt;200",AVERAGE('Weekly Data'!AE259:AI259)))</f>
        <v>&lt;200</v>
      </c>
      <c r="K259" s="257">
        <f>IF(COUNT('Weekly Data'!AJ259:AM259)=0,"",IF(AVERAGE('Weekly Data'!AJ259:AM259)&lt;150,"&lt;200",AVERAGE('Weekly Data'!AJ259:AM259)))</f>
        <v>150</v>
      </c>
      <c r="L259" s="257">
        <f>IF(COUNT('Weekly Data'!AN259:AQ259)=0,"",IF(AVERAGE('Weekly Data'!AN259:AQ259)&lt;150,"&lt;200",AVERAGE('Weekly Data'!AN259:AQ259)))</f>
        <v>250</v>
      </c>
      <c r="M259" s="257" t="str">
        <f>IF(COUNT('Weekly Data'!AR259:AV259)=0,"",IF(AVERAGE('Weekly Data'!AR259:AV259)&lt;150,"&lt;200",AVERAGE('Weekly Data'!AR259:AV259)))</f>
        <v>&lt;200</v>
      </c>
      <c r="N259" s="257" t="str">
        <f>IF(COUNT('Weekly Data'!AW259:AZ259)=0,"",IF(AVERAGE('Weekly Data'!AW259:AZ259)&lt;150,"&lt;200",AVERAGE('Weekly Data'!AW259:AZ259)))</f>
        <v>&lt;200</v>
      </c>
      <c r="O259" s="257" t="str">
        <f>IF(COUNT('Weekly Data'!BA259:BD259)=0,"",IF(AVERAGE('Weekly Data'!BA259:BD259)&lt;150,"&lt;200",AVERAGE('Weekly Data'!BA259:BD259)))</f>
        <v>&lt;200</v>
      </c>
      <c r="P259" s="257"/>
      <c r="Q259" s="257" t="str">
        <f>IF(COUNT('Weekly Data'!E259:BD259)=0,"",IF(AVERAGE('Weekly Data'!E259:BD259)&lt;150,"&lt;200",AVERAGE('Weekly Data'!E259:BD259)))</f>
        <v>&lt;200</v>
      </c>
      <c r="R259" s="257" t="str">
        <f>IF(COUNT('Weekly Data'!E259:BD259)=0,"",IF(MIN('Weekly Data'!E259:BD259)&lt;150,"&lt;200",MIN('Weekly Data'!E259:BD259)))</f>
        <v>&lt;200</v>
      </c>
      <c r="S259" s="257">
        <f>IF(COUNT('Weekly Data'!E259:BD259)=0,"",IF(MAX('Weekly Data'!E259:BD259)&lt;150,"&lt;200",MAX('Weekly Data'!E259:BD259)))</f>
        <v>400</v>
      </c>
      <c r="T259" s="293"/>
      <c r="U259" s="259">
        <f>COUNT('Weekly Data'!E259:BC259)</f>
        <v>48</v>
      </c>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row>
    <row r="260" spans="1:256">
      <c r="A260" s="1"/>
      <c r="B260" s="258" t="str">
        <f>'Weekly Data'!A260</f>
        <v>Other</v>
      </c>
      <c r="C260" s="257" t="str">
        <f>'Weekly Data'!B260</f>
        <v>per litre</v>
      </c>
      <c r="D260" s="257" t="str">
        <f>IF(COUNT('Weekly Data'!E260:I260)=0,"",IF(AVERAGE('Weekly Data'!E260:I260)&lt;150,"&lt;200",AVERAGE('Weekly Data'!E260:I260)))</f>
        <v>&lt;200</v>
      </c>
      <c r="E260" s="257" t="str">
        <f>IF(COUNT('Weekly Data'!J260:M260)=0,"",IF(AVERAGE('Weekly Data'!J260:M260)&lt;150,"&lt;200",AVERAGE('Weekly Data'!J260:M260)))</f>
        <v>&lt;200</v>
      </c>
      <c r="F260" s="257" t="str">
        <f>IF(COUNT('Weekly Data'!N260:Q260)=0,"",IF(AVERAGE('Weekly Data'!N260:Q260)&lt;150,"&lt;200",AVERAGE('Weekly Data'!N260:Q260)))</f>
        <v>&lt;200</v>
      </c>
      <c r="G260" s="257" t="str">
        <f>IF(COUNT('Weekly Data'!R260:V260)=0,"",IF(AVERAGE('Weekly Data'!R260:V260)&lt;150,"&lt;200",AVERAGE('Weekly Data'!R260:V260)))</f>
        <v>&lt;200</v>
      </c>
      <c r="H260" s="257" t="str">
        <f>IF(COUNT('Weekly Data'!W260:Z260)=0,"",IF(AVERAGE('Weekly Data'!W260:Z260)&lt;150,"&lt;200",AVERAGE('Weekly Data'!W260:Z260)))</f>
        <v>&lt;200</v>
      </c>
      <c r="I260" s="257" t="str">
        <f>IF(COUNT('Weekly Data'!AA260:AD260)=0,"",IF(AVERAGE('Weekly Data'!AA260:AD260)&lt;150,"&lt;200",AVERAGE('Weekly Data'!AA260:AD260)))</f>
        <v>&lt;200</v>
      </c>
      <c r="J260" s="257" t="str">
        <f>IF(COUNT('Weekly Data'!AE260:AI260)=0,"",IF(AVERAGE('Weekly Data'!AE260:AI260)&lt;150,"&lt;200",AVERAGE('Weekly Data'!AE260:AI260)))</f>
        <v>&lt;200</v>
      </c>
      <c r="K260" s="257" t="str">
        <f>IF(COUNT('Weekly Data'!AJ260:AM260)=0,"",IF(AVERAGE('Weekly Data'!AJ260:AM260)&lt;150,"&lt;200",AVERAGE('Weekly Data'!AJ260:AM260)))</f>
        <v>&lt;200</v>
      </c>
      <c r="L260" s="257" t="str">
        <f>IF(COUNT('Weekly Data'!AN260:AQ260)=0,"",IF(AVERAGE('Weekly Data'!AN260:AQ260)&lt;150,"&lt;200",AVERAGE('Weekly Data'!AN260:AQ260)))</f>
        <v>&lt;200</v>
      </c>
      <c r="M260" s="257" t="str">
        <f>IF(COUNT('Weekly Data'!AR260:AV260)=0,"",IF(AVERAGE('Weekly Data'!AR260:AV260)&lt;150,"&lt;200",AVERAGE('Weekly Data'!AR260:AV260)))</f>
        <v>&lt;200</v>
      </c>
      <c r="N260" s="257" t="str">
        <f>IF(COUNT('Weekly Data'!AW260:AZ260)=0,"",IF(AVERAGE('Weekly Data'!AW260:AZ260)&lt;150,"&lt;200",AVERAGE('Weekly Data'!AW260:AZ260)))</f>
        <v>&lt;200</v>
      </c>
      <c r="O260" s="257" t="str">
        <f>IF(COUNT('Weekly Data'!BA260:BD260)=0,"",IF(AVERAGE('Weekly Data'!BA260:BD260)&lt;150,"&lt;200",AVERAGE('Weekly Data'!BA260:BD260)))</f>
        <v>&lt;200</v>
      </c>
      <c r="P260" s="257"/>
      <c r="Q260" s="257" t="str">
        <f>IF(COUNT('Weekly Data'!E260:BD260)=0,"",IF(AVERAGE('Weekly Data'!E260:BD260)&lt;150,"&lt;200",AVERAGE('Weekly Data'!E260:BD260)))</f>
        <v>&lt;200</v>
      </c>
      <c r="R260" s="257" t="str">
        <f>IF(COUNT('Weekly Data'!E260:BD260)=0,"",IF(MIN('Weekly Data'!E260:BD260)&lt;150,"&lt;200",MIN('Weekly Data'!E260:BD260)))</f>
        <v>&lt;200</v>
      </c>
      <c r="S260" s="257" t="str">
        <f>IF(COUNT('Weekly Data'!E260:BD260)=0,"",IF(MAX('Weekly Data'!E260:BD260)&lt;150,"&lt;200",MAX('Weekly Data'!E260:BD260)))</f>
        <v>&lt;200</v>
      </c>
      <c r="T260" s="293"/>
      <c r="U260" s="259">
        <f>COUNT('Weekly Data'!E260:BC260)</f>
        <v>48</v>
      </c>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row>
    <row r="261" spans="1:256">
      <c r="A261" s="1"/>
      <c r="B261" s="258"/>
      <c r="C261" s="257"/>
      <c r="D261" s="246"/>
      <c r="E261" s="246"/>
      <c r="F261" s="246"/>
      <c r="G261" s="246"/>
      <c r="H261" s="257"/>
      <c r="I261" s="246"/>
      <c r="J261" s="246"/>
      <c r="K261" s="246"/>
      <c r="L261" s="246"/>
      <c r="M261" s="246"/>
      <c r="N261" s="246"/>
      <c r="O261" s="246"/>
      <c r="P261" s="246"/>
      <c r="Q261" s="246"/>
      <c r="R261" s="246"/>
      <c r="S261" s="246"/>
      <c r="T261" s="293"/>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row>
    <row r="262" spans="1:256">
      <c r="A262" s="1"/>
      <c r="B262" s="245" t="str">
        <f>'Weekly Data'!A262</f>
        <v>BACTERIOLOGICAL</v>
      </c>
      <c r="C262" s="257"/>
      <c r="D262" s="246"/>
      <c r="E262" s="246"/>
      <c r="F262" s="246"/>
      <c r="G262" s="246"/>
      <c r="H262" s="257"/>
      <c r="I262" s="246"/>
      <c r="J262" s="246"/>
      <c r="K262" s="246"/>
      <c r="L262" s="246"/>
      <c r="M262" s="246"/>
      <c r="N262" s="246"/>
      <c r="O262" s="246"/>
      <c r="P262" s="246"/>
      <c r="Q262" s="246"/>
      <c r="R262" s="246"/>
      <c r="S262" s="246"/>
      <c r="T262" s="293"/>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row>
    <row r="263" spans="1:256">
      <c r="A263" s="1"/>
      <c r="B263" s="258"/>
      <c r="C263" s="257"/>
      <c r="D263" s="246"/>
      <c r="E263" s="246"/>
      <c r="F263" s="246"/>
      <c r="G263" s="246"/>
      <c r="H263" s="257"/>
      <c r="I263" s="246"/>
      <c r="J263" s="246"/>
      <c r="K263" s="246"/>
      <c r="L263" s="246"/>
      <c r="M263" s="246"/>
      <c r="N263" s="246"/>
      <c r="O263" s="246"/>
      <c r="P263" s="246"/>
      <c r="Q263" s="246"/>
      <c r="R263" s="246"/>
      <c r="S263" s="246"/>
      <c r="T263" s="293"/>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row>
    <row r="264" spans="1:256">
      <c r="A264" s="1"/>
      <c r="B264" s="258" t="str">
        <f>'Weekly Data'!A264</f>
        <v>Total Coliforms</v>
      </c>
      <c r="C264" s="257" t="str">
        <f>'Weekly Data'!B264</f>
        <v>per 100 ml</v>
      </c>
      <c r="D264" s="257" t="str">
        <f>IF(COUNT('Weekly Data'!E264:I264)=0,"",IF(AVERAGE('Weekly Data'!E264:I264)&lt;0.55,"&lt;1",AVERAGE('Weekly Data'!E264:I264)))</f>
        <v>&lt;1</v>
      </c>
      <c r="E264" s="257" t="str">
        <f>IF(COUNT('Weekly Data'!J264:M264)=0,"",IF(AVERAGE('Weekly Data'!J264:M264)&lt;0.55,"&lt;1",AVERAGE('Weekly Data'!J264:M264)))</f>
        <v>&lt;1</v>
      </c>
      <c r="F264" s="257" t="str">
        <f>IF(COUNT('Weekly Data'!N264:Q264)=0,"",IF(AVERAGE('Weekly Data'!N264:Q264)&lt;0.55,"&lt;1",AVERAGE('Weekly Data'!N264:Q264)))</f>
        <v>&lt;1</v>
      </c>
      <c r="G264" s="257" t="str">
        <f>IF(COUNT('Weekly Data'!R264:V264)=0,"",IF(AVERAGE('Weekly Data'!R264:V264)&lt;0.55,"&lt;1",AVERAGE('Weekly Data'!R264:V264)))</f>
        <v>&lt;1</v>
      </c>
      <c r="H264" s="257" t="str">
        <f>IF(COUNT('Weekly Data'!W264:Z264)=0,"",IF(AVERAGE('Weekly Data'!W264:Z264)&lt;0.55,"&lt;1",AVERAGE('Weekly Data'!W264:Z264)))</f>
        <v>&lt;1</v>
      </c>
      <c r="I264" s="257" t="str">
        <f>IF(COUNT('Weekly Data'!AA264:AD264)=0,"",IF(AVERAGE('Weekly Data'!AA264:AD264)&lt;0.55,"&lt;1",AVERAGE('Weekly Data'!AA264:AD264)))</f>
        <v>&lt;1</v>
      </c>
      <c r="J264" s="257" t="str">
        <f>IF(COUNT('Weekly Data'!AE264:AI264)=0,"",IF(AVERAGE('Weekly Data'!AE264:AI264)&lt;0.55,"&lt;1",AVERAGE('Weekly Data'!AE264:AI264)))</f>
        <v>&lt;1</v>
      </c>
      <c r="K264" s="257" t="str">
        <f>IF(COUNT('Weekly Data'!AJ264:AM264)=0,"",IF(AVERAGE('Weekly Data'!AJ264:AM264)&lt;0.55,"&lt;1",AVERAGE('Weekly Data'!AJ264:AM264)))</f>
        <v>&lt;1</v>
      </c>
      <c r="L264" s="257" t="str">
        <f>IF(COUNT('Weekly Data'!AN264:AQ264)=0,"",IF(AVERAGE('Weekly Data'!AN264:AQ264)&lt;0.55,"&lt;1",AVERAGE('Weekly Data'!AN264:AQ264)))</f>
        <v>&lt;1</v>
      </c>
      <c r="M264" s="257" t="str">
        <f>IF(COUNT('Weekly Data'!AR264:AV264)=0,"",IF(AVERAGE('Weekly Data'!AR264:AV264)&lt;0.55,"&lt;1",AVERAGE('Weekly Data'!AR264:AV264)))</f>
        <v>&lt;1</v>
      </c>
      <c r="N264" s="257" t="str">
        <f>IF(COUNT('Weekly Data'!AW264:AZ264)=0,"",IF(AVERAGE('Weekly Data'!AW264:AZ264)&lt;0.55,"&lt;1",AVERAGE('Weekly Data'!AW264:AZ264)))</f>
        <v>&lt;1</v>
      </c>
      <c r="O264" s="257" t="str">
        <f>IF(COUNT('Weekly Data'!BA264:BD264)=0,"",IF(AVERAGE('Weekly Data'!BA264:BD264)&lt;0.55,"&lt;1",AVERAGE('Weekly Data'!BA264:BD264)))</f>
        <v>&lt;1</v>
      </c>
      <c r="P264" s="257"/>
      <c r="Q264" s="257" t="str">
        <f>IF(COUNT('Weekly Data'!E264:BD264)=0,"",IF(AVERAGE('Weekly Data'!E264:BD264)&lt;0.55,"&lt;1",AVERAGE('Weekly Data'!E264:BD264)))</f>
        <v>&lt;1</v>
      </c>
      <c r="R264" s="257" t="str">
        <f>IF(COUNT('Weekly Data'!E264:BD264)=0,"",IF(MIN('Weekly Data'!E264:BD264)&lt;0.55,"&lt;1",MIN('Weekly Data'!E264:BD264)))</f>
        <v>&lt;1</v>
      </c>
      <c r="S264" s="257" t="str">
        <f>IF(COUNT('Weekly Data'!E264:BD264)=0,"",IF(MAX('Weekly Data'!E264:BD264)&lt;0.55,"&lt;1",MAX('Weekly Data'!E264:BD264)))</f>
        <v>&lt;1</v>
      </c>
      <c r="T264" s="293"/>
      <c r="U264" s="259">
        <f>COUNT('Weekly Data'!E264:BC264)</f>
        <v>50</v>
      </c>
      <c r="V264" s="310">
        <f>U264*4</f>
        <v>200</v>
      </c>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row>
    <row r="265" spans="1:256">
      <c r="A265" s="38" t="s">
        <v>357</v>
      </c>
      <c r="B265" s="258" t="str">
        <f>'Weekly Data'!A265</f>
        <v>Faecal Coliforms</v>
      </c>
      <c r="C265" s="257" t="str">
        <f>'Weekly Data'!B265</f>
        <v>per 100 ml</v>
      </c>
      <c r="D265" s="257" t="str">
        <f>IF(COUNT('Weekly Data'!E265:I265)=0,"",IF(AVERAGE('Weekly Data'!E265:I265)&lt;0.55,"&lt;1",AVERAGE('Weekly Data'!E265:I265)))</f>
        <v/>
      </c>
      <c r="E265" s="257" t="str">
        <f>IF(COUNT('Weekly Data'!J265:M265)=0,"",IF(AVERAGE('Weekly Data'!J265:M265)&lt;0.55,"&lt;1",AVERAGE('Weekly Data'!J265:M265)))</f>
        <v/>
      </c>
      <c r="F265" s="257" t="str">
        <f>IF(COUNT('Weekly Data'!N265:Q265)=0,"",IF(AVERAGE('Weekly Data'!N265:Q265)&lt;0.55,"&lt;1",AVERAGE('Weekly Data'!N265:Q265)))</f>
        <v/>
      </c>
      <c r="G265" s="257" t="str">
        <f>IF(COUNT('Weekly Data'!R265:V265)=0,"",IF(AVERAGE('Weekly Data'!R265:V265)&lt;0.55,"&lt;1",AVERAGE('Weekly Data'!R265:V265)))</f>
        <v/>
      </c>
      <c r="H265" s="257" t="str">
        <f>IF(COUNT('Weekly Data'!W265:Z265)=0,"",IF(AVERAGE('Weekly Data'!W265:Z265)&lt;0.55,"&lt;1",AVERAGE('Weekly Data'!W265:Z265)))</f>
        <v/>
      </c>
      <c r="I265" s="257" t="str">
        <f>IF(COUNT('Weekly Data'!AA265:AD265)=0,"",IF(AVERAGE('Weekly Data'!AA265:AD265)&lt;0.55,"&lt;1",AVERAGE('Weekly Data'!AA265:AD265)))</f>
        <v/>
      </c>
      <c r="J265" s="257" t="str">
        <f>IF(COUNT('Weekly Data'!AE265:AI265)=0,"",IF(AVERAGE('Weekly Data'!AE265:AI265)&lt;0.55,"&lt;1",AVERAGE('Weekly Data'!AE265:AI265)))</f>
        <v/>
      </c>
      <c r="K265" s="257" t="str">
        <f>IF(COUNT('Weekly Data'!AJ265:AM265)=0,"",IF(AVERAGE('Weekly Data'!AJ265:AM265)&lt;0.55,"&lt;1",AVERAGE('Weekly Data'!AJ265:AM265)))</f>
        <v/>
      </c>
      <c r="L265" s="257" t="str">
        <f>IF(COUNT('Weekly Data'!AN265:AQ265)=0,"",IF(AVERAGE('Weekly Data'!AN265:AQ265)&lt;0.55,"&lt;1",AVERAGE('Weekly Data'!AN265:AQ265)))</f>
        <v/>
      </c>
      <c r="M265" s="257" t="str">
        <f>IF(COUNT('Weekly Data'!AR265:AV265)=0,"",IF(AVERAGE('Weekly Data'!AR265:AV265)&lt;0.55,"&lt;1",AVERAGE('Weekly Data'!AR265:AV265)))</f>
        <v/>
      </c>
      <c r="N265" s="257" t="str">
        <f>IF(COUNT('Weekly Data'!AW265:AZ265)=0,"",IF(AVERAGE('Weekly Data'!AW265:AZ265)&lt;0.55,"&lt;1",AVERAGE('Weekly Data'!AW265:AZ265)))</f>
        <v/>
      </c>
      <c r="O265" s="257" t="str">
        <f>IF(COUNT('Weekly Data'!BA265:BD265)=0,"",IF(AVERAGE('Weekly Data'!BA265:BD265)&lt;0.55,"&lt;1",AVERAGE('Weekly Data'!BA265:BD265)))</f>
        <v/>
      </c>
      <c r="P265" s="257"/>
      <c r="Q265" s="257" t="str">
        <f>IF(COUNT('Weekly Data'!E265:BD265)=0,"",IF(AVERAGE('Weekly Data'!E265:BD265)&lt;0.55,"&lt;1",AVERAGE('Weekly Data'!E265:BD265)))</f>
        <v/>
      </c>
      <c r="R265" s="257" t="str">
        <f>IF(COUNT('Weekly Data'!E265:BD265)=0,"",IF(MIN('Weekly Data'!E265:BD265)&lt;0.55,"&lt;1",MIN('Weekly Data'!E265:BD265)))</f>
        <v/>
      </c>
      <c r="S265" s="257" t="str">
        <f>IF(COUNT('Weekly Data'!E265:BD265)=0,"",IF(MAX('Weekly Data'!E265:BD265)&lt;0.55,"&lt;1",MAX('Weekly Data'!E265:BD265)))</f>
        <v/>
      </c>
      <c r="T265" s="293"/>
      <c r="U265" s="259">
        <f>COUNT('Weekly Data'!E265:BC265)</f>
        <v>0</v>
      </c>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row>
    <row r="266" spans="1:256">
      <c r="A266" s="1"/>
      <c r="B266" s="258" t="str">
        <f>'Weekly Data'!A266</f>
        <v>Faecal Streptococci</v>
      </c>
      <c r="C266" s="257" t="str">
        <f>'Weekly Data'!B266</f>
        <v>per 100 ml</v>
      </c>
      <c r="D266" s="257" t="str">
        <f>IF(COUNT('Weekly Data'!E266:I266)=0,"",IF(AVERAGE('Weekly Data'!E266:I266)&lt;0.55,"&lt;1",AVERAGE('Weekly Data'!E266:I266)))</f>
        <v>&lt;1</v>
      </c>
      <c r="E266" s="257" t="str">
        <f>IF(COUNT('Weekly Data'!J266:M266)=0,"",IF(AVERAGE('Weekly Data'!J266:M266)&lt;0.55,"&lt;1",AVERAGE('Weekly Data'!J266:M266)))</f>
        <v>&lt;1</v>
      </c>
      <c r="F266" s="257" t="str">
        <f>IF(COUNT('Weekly Data'!N266:Q266)=0,"",IF(AVERAGE('Weekly Data'!N266:Q266)&lt;0.55,"&lt;1",AVERAGE('Weekly Data'!N266:Q266)))</f>
        <v>&lt;1</v>
      </c>
      <c r="G266" s="257" t="str">
        <f>IF(COUNT('Weekly Data'!R266:V266)=0,"",IF(AVERAGE('Weekly Data'!R266:V266)&lt;0.55,"&lt;1",AVERAGE('Weekly Data'!R266:V266)))</f>
        <v>&lt;1</v>
      </c>
      <c r="H266" s="257" t="str">
        <f>IF(COUNT('Weekly Data'!W266:Z266)=0,"",IF(AVERAGE('Weekly Data'!W266:Z266)&lt;0.55,"&lt;1",AVERAGE('Weekly Data'!W266:Z266)))</f>
        <v>&lt;1</v>
      </c>
      <c r="I266" s="257" t="str">
        <f>IF(COUNT('Weekly Data'!AA266:AD266)=0,"",IF(AVERAGE('Weekly Data'!AA266:AD266)&lt;0.55,"&lt;1",AVERAGE('Weekly Data'!AA266:AD266)))</f>
        <v>&lt;1</v>
      </c>
      <c r="J266" s="257" t="str">
        <f>IF(COUNT('Weekly Data'!AE266:AI266)=0,"",IF(AVERAGE('Weekly Data'!AE266:AI266)&lt;0.55,"&lt;1",AVERAGE('Weekly Data'!AE266:AI266)))</f>
        <v>&lt;1</v>
      </c>
      <c r="K266" s="257" t="str">
        <f>IF(COUNT('Weekly Data'!AJ266:AM266)=0,"",IF(AVERAGE('Weekly Data'!AJ266:AM266)&lt;0.55,"&lt;1",AVERAGE('Weekly Data'!AJ266:AM266)))</f>
        <v>&lt;1</v>
      </c>
      <c r="L266" s="257" t="str">
        <f>IF(COUNT('Weekly Data'!AN266:AQ266)=0,"",IF(AVERAGE('Weekly Data'!AN266:AQ266)&lt;0.55,"&lt;1",AVERAGE('Weekly Data'!AN266:AQ266)))</f>
        <v>&lt;1</v>
      </c>
      <c r="M266" s="257" t="str">
        <f>IF(COUNT('Weekly Data'!AR266:AV266)=0,"",IF(AVERAGE('Weekly Data'!AR266:AV266)&lt;0.55,"&lt;1",AVERAGE('Weekly Data'!AR266:AV266)))</f>
        <v>&lt;1</v>
      </c>
      <c r="N266" s="257" t="str">
        <f>IF(COUNT('Weekly Data'!AW266:AZ266)=0,"",IF(AVERAGE('Weekly Data'!AW266:AZ266)&lt;0.55,"&lt;1",AVERAGE('Weekly Data'!AW266:AZ266)))</f>
        <v>&lt;1</v>
      </c>
      <c r="O266" s="257" t="str">
        <f>IF(COUNT('Weekly Data'!BA266:BD266)=0,"",IF(AVERAGE('Weekly Data'!BA266:BD266)&lt;0.55,"&lt;1",AVERAGE('Weekly Data'!BA266:BD266)))</f>
        <v>&lt;1</v>
      </c>
      <c r="P266" s="257"/>
      <c r="Q266" s="257" t="str">
        <f>IF(COUNT('Weekly Data'!E266:BD266)=0,"",IF(AVERAGE('Weekly Data'!E266:BD266)&lt;0.55,"&lt;1",AVERAGE('Weekly Data'!E266:BD266)))</f>
        <v>&lt;1</v>
      </c>
      <c r="R266" s="257" t="str">
        <f>IF(COUNT('Weekly Data'!E266:BD266)=0,"",IF(MIN('Weekly Data'!E266:BD266)&lt;0.55,"&lt;1",MIN('Weekly Data'!E266:BD266)))</f>
        <v>&lt;1</v>
      </c>
      <c r="S266" s="257" t="str">
        <f>IF(COUNT('Weekly Data'!E266:BD266)=0,"",IF(MAX('Weekly Data'!E266:BD266)&lt;0.55,"&lt;1",MAX('Weekly Data'!E266:BD266)))</f>
        <v>&lt;1</v>
      </c>
      <c r="T266" s="293"/>
      <c r="U266" s="259">
        <f>COUNT('Weekly Data'!E266:BC266)</f>
        <v>50</v>
      </c>
      <c r="V266" s="310">
        <f>U266*4</f>
        <v>200</v>
      </c>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row>
    <row r="267" spans="1:256">
      <c r="A267" s="1"/>
      <c r="B267" s="258" t="str">
        <f>'Weekly Data'!A267</f>
        <v>Standard Plate Count</v>
      </c>
      <c r="C267" s="257" t="str">
        <f>'Weekly Data'!B267</f>
        <v>per 1 mL</v>
      </c>
      <c r="D267" s="247" t="str">
        <f>IF(COUNT('Weekly Data'!E267:I267)=0,"",IF(AVERAGE('Weekly Data'!E267:I267)&lt;0.055,"&lt;0.1",AVERAGE('Weekly Data'!E267:I267)))</f>
        <v>&lt;0.1</v>
      </c>
      <c r="E267" s="247" t="str">
        <f>IF(COUNT('Weekly Data'!J267:M267)=0,"",IF(AVERAGE('Weekly Data'!J267:M267)&lt;0.055,"&lt;0.1",AVERAGE('Weekly Data'!J267:M267)))</f>
        <v>&lt;0.1</v>
      </c>
      <c r="F267" s="247" t="str">
        <f>IF(COUNT('Weekly Data'!N267:Q267)=0,"",IF(AVERAGE('Weekly Data'!N267:Q267)&lt;0.055,"&lt;0.1",AVERAGE('Weekly Data'!N267:Q267)))</f>
        <v>&lt;0.1</v>
      </c>
      <c r="G267" s="247" t="str">
        <f>IF(COUNT('Weekly Data'!R267:V267)=0,"",IF(AVERAGE('Weekly Data'!R267:V267)&lt;0.055,"&lt;0.1",AVERAGE('Weekly Data'!R267:V267)))</f>
        <v>&lt;0.1</v>
      </c>
      <c r="H267" s="247" t="str">
        <f>IF(COUNT('Weekly Data'!W267:Z267)=0,"",IF(AVERAGE('Weekly Data'!W267:Z267)&lt;0.055,"&lt;0.1",AVERAGE('Weekly Data'!W267:Z267)))</f>
        <v>&lt;0.1</v>
      </c>
      <c r="I267" s="247">
        <f>IF(COUNT('Weekly Data'!AA267:AD267)=0,"",IF(AVERAGE('Weekly Data'!AA267:AD267)&lt;0.055,"&lt;0.1",AVERAGE('Weekly Data'!AA267:AD267)))</f>
        <v>0.11499999999999999</v>
      </c>
      <c r="J267" s="247">
        <f>IF(COUNT('Weekly Data'!AE267:AI267)=0,"",IF(AVERAGE('Weekly Data'!AE267:AI267)&lt;0.055,"&lt;0.1",AVERAGE('Weekly Data'!AE267:AI267)))</f>
        <v>8.9599999999999991</v>
      </c>
      <c r="K267" s="247">
        <f>IF(COUNT('Weekly Data'!AJ267:AM267)=0,"",IF(AVERAGE('Weekly Data'!AJ267:AM267)&lt;0.055,"&lt;0.1",AVERAGE('Weekly Data'!AJ267:AM267)))</f>
        <v>10.1</v>
      </c>
      <c r="L267" s="247">
        <f>IF(COUNT('Weekly Data'!AN267:AQ267)=0,"",IF(AVERAGE('Weekly Data'!AN267:AQ267)&lt;0.055,"&lt;0.1",AVERAGE('Weekly Data'!AN267:AQ267)))</f>
        <v>3.6249999999999996</v>
      </c>
      <c r="M267" s="247">
        <f>IF(COUNT('Weekly Data'!AR267:AV267)=0,"",IF(AVERAGE('Weekly Data'!AR267:AV267)&lt;0.055,"&lt;0.1",AVERAGE('Weekly Data'!AR267:AV267)))</f>
        <v>1.24</v>
      </c>
      <c r="N267" s="247">
        <f>IF(COUNT('Weekly Data'!AW267:AZ267)=0,"",IF(AVERAGE('Weekly Data'!AW267:AZ267)&lt;0.055,"&lt;0.1",AVERAGE('Weekly Data'!AW267:AZ267)))</f>
        <v>0.25499999999999995</v>
      </c>
      <c r="O267" s="247" t="str">
        <f>IF(COUNT('Weekly Data'!BA267:BD267)=0,"",IF(AVERAGE('Weekly Data'!BA267:BD267)&lt;0.055,"&lt;0.1",AVERAGE('Weekly Data'!BA267:BD267)))</f>
        <v>&lt;0.1</v>
      </c>
      <c r="P267" s="247"/>
      <c r="Q267" s="247">
        <f>IF(COUNT('Weekly Data'!E267:BD267)=0,"",IF(AVERAGE('Weekly Data'!E267:BD267)&lt;0.055,"&lt;0.1",AVERAGE('Weekly Data'!E267:BD267)))</f>
        <v>2.1139215686274504</v>
      </c>
      <c r="R267" s="247" t="str">
        <f>IF(COUNT('Weekly Data'!E267:BD267)=0,"",IF(MIN('Weekly Data'!E267:BD267)&lt;0.055,"&lt;0.1",MIN('Weekly Data'!E267:BD267)))</f>
        <v>&lt;0.1</v>
      </c>
      <c r="S267" s="247">
        <f>IF(COUNT('Weekly Data'!E267:BD267)=0,"",IF(MAX('Weekly Data'!E267:BD267)&lt;0.055,"&lt;0.1",MAX('Weekly Data'!E267:BD267)))</f>
        <v>35</v>
      </c>
      <c r="T267" s="293"/>
      <c r="U267" s="259">
        <f>COUNT('Weekly Data'!E267:BC267)</f>
        <v>50</v>
      </c>
      <c r="V267" s="310">
        <f>U267*5</f>
        <v>250</v>
      </c>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row>
    <row r="268" spans="1:256">
      <c r="A268" s="1"/>
      <c r="B268" s="258"/>
      <c r="C268" s="257"/>
      <c r="D268" s="247"/>
      <c r="E268" s="247"/>
      <c r="F268" s="247"/>
      <c r="G268" s="247"/>
      <c r="H268" s="247"/>
      <c r="I268" s="247"/>
      <c r="J268" s="247"/>
      <c r="K268" s="247"/>
      <c r="L268" s="247"/>
      <c r="M268" s="247"/>
      <c r="N268" s="247"/>
      <c r="O268" s="247"/>
      <c r="P268" s="247"/>
      <c r="Q268" s="247"/>
      <c r="R268" s="247"/>
      <c r="S268" s="247"/>
      <c r="T268" s="293"/>
      <c r="U268" s="259"/>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row>
    <row r="269" spans="1:256">
      <c r="A269" s="1"/>
      <c r="B269" s="38" t="s">
        <v>358</v>
      </c>
      <c r="C269" s="294"/>
      <c r="D269" s="294"/>
      <c r="E269" s="294"/>
      <c r="F269" s="294"/>
      <c r="G269" s="294"/>
      <c r="H269" s="335"/>
      <c r="I269" s="294"/>
      <c r="J269" s="294"/>
      <c r="K269" s="294"/>
      <c r="L269" s="335"/>
      <c r="M269" s="294"/>
      <c r="N269" s="294"/>
      <c r="O269" s="294"/>
      <c r="P269" s="294"/>
      <c r="Q269" s="296"/>
      <c r="R269" s="296"/>
      <c r="S269" s="296"/>
      <c r="T269" s="293"/>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row>
    <row r="270" spans="1:256">
      <c r="A270" s="1"/>
      <c r="B270" s="293"/>
      <c r="C270" s="429"/>
      <c r="D270" s="293"/>
      <c r="E270" s="293"/>
      <c r="F270" s="293"/>
      <c r="G270" s="293"/>
      <c r="H270" s="293"/>
      <c r="I270" s="293"/>
      <c r="J270" s="293"/>
      <c r="K270" s="293"/>
      <c r="L270" s="293"/>
      <c r="M270" s="293"/>
      <c r="N270" s="293"/>
      <c r="O270" s="293"/>
      <c r="P270" s="293"/>
      <c r="Q270" s="293"/>
      <c r="R270" s="293"/>
      <c r="S270" s="293"/>
      <c r="T270" s="293"/>
      <c r="U270" s="273" t="s">
        <v>359</v>
      </c>
      <c r="V270" s="357"/>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row>
    <row r="271" spans="1:256">
      <c r="A271" s="1"/>
      <c r="B271" s="293"/>
      <c r="C271" s="429"/>
      <c r="D271" s="293"/>
      <c r="E271" s="293"/>
      <c r="F271" s="293"/>
      <c r="G271" s="293"/>
      <c r="H271" s="293"/>
      <c r="I271" s="293"/>
      <c r="J271" s="293"/>
      <c r="K271" s="293"/>
      <c r="L271" s="293"/>
      <c r="M271" s="293"/>
      <c r="N271" s="293"/>
      <c r="O271" s="293"/>
      <c r="P271" s="293"/>
      <c r="Q271" s="293"/>
      <c r="R271" s="293"/>
      <c r="S271" s="293"/>
      <c r="T271" s="293"/>
      <c r="U271" s="274"/>
      <c r="V271" s="357"/>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row>
    <row r="272" spans="1:256">
      <c r="A272" s="1"/>
      <c r="B272" s="1"/>
      <c r="C272" s="294"/>
      <c r="D272" s="1"/>
      <c r="E272" s="294"/>
      <c r="F272" s="294"/>
      <c r="G272" s="294"/>
      <c r="H272" s="294"/>
      <c r="I272" s="294"/>
      <c r="J272" s="294"/>
      <c r="K272" s="294"/>
      <c r="L272" s="294"/>
      <c r="M272" s="294"/>
      <c r="N272" s="294"/>
      <c r="O272" s="294"/>
      <c r="P272" s="294"/>
      <c r="Q272" s="294"/>
      <c r="R272" s="294"/>
      <c r="S272" s="294"/>
      <c r="T272" s="293"/>
      <c r="U272" s="275"/>
      <c r="V272" s="357"/>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row>
    <row r="273" spans="1:256">
      <c r="A273" s="1"/>
      <c r="B273" s="1"/>
      <c r="C273" s="294"/>
      <c r="D273" s="1"/>
      <c r="E273" s="276"/>
      <c r="F273" s="276"/>
      <c r="G273" s="276"/>
      <c r="H273" s="276"/>
      <c r="I273" s="276"/>
      <c r="J273" s="276"/>
      <c r="K273" s="276"/>
      <c r="L273" s="276"/>
      <c r="M273" s="276"/>
      <c r="N273" s="276"/>
      <c r="O273" s="276"/>
      <c r="P273" s="276"/>
      <c r="Q273" s="276"/>
      <c r="R273" s="276"/>
      <c r="S273" s="276"/>
      <c r="T273" s="293"/>
      <c r="U273" s="274">
        <f>SUM(U15:U267)</f>
        <v>6672</v>
      </c>
      <c r="V273" s="357"/>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row>
    <row r="274" spans="1:256">
      <c r="A274" s="1"/>
      <c r="B274" s="1"/>
      <c r="C274" s="294"/>
      <c r="D274" s="1"/>
      <c r="E274" s="276"/>
      <c r="F274" s="276"/>
      <c r="G274" s="276"/>
      <c r="H274" s="276"/>
      <c r="I274" s="276"/>
      <c r="J274" s="276"/>
      <c r="K274" s="276"/>
      <c r="L274" s="276"/>
      <c r="M274" s="276"/>
      <c r="N274" s="276"/>
      <c r="O274" s="276"/>
      <c r="P274" s="276"/>
      <c r="Q274" s="276"/>
      <c r="R274" s="276"/>
      <c r="S274" s="276"/>
      <c r="T274" s="293"/>
      <c r="U274" s="275"/>
      <c r="V274" s="357"/>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row>
    <row r="275" spans="1:256">
      <c r="A275" s="1"/>
      <c r="B275" s="1"/>
      <c r="C275" s="294"/>
      <c r="D275" s="1"/>
      <c r="E275" s="1"/>
      <c r="F275" s="1"/>
      <c r="G275" s="1"/>
      <c r="H275" s="1"/>
      <c r="I275" s="1"/>
      <c r="J275" s="1"/>
      <c r="K275" s="1"/>
      <c r="L275" s="1"/>
      <c r="M275" s="1"/>
      <c r="N275" s="1"/>
      <c r="O275" s="1"/>
      <c r="P275" s="1"/>
      <c r="Q275" s="1"/>
      <c r="R275" s="1"/>
      <c r="S275" s="1"/>
      <c r="T275" s="1"/>
      <c r="U275" s="395"/>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row>
    <row r="276" spans="1:256">
      <c r="A276" s="1"/>
      <c r="B276" s="1"/>
      <c r="C276" s="294"/>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row>
    <row r="277" spans="1:256">
      <c r="A277" s="1"/>
      <c r="B277" s="1"/>
      <c r="C277" s="294"/>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row>
    <row r="278" spans="1:256">
      <c r="A278" s="1"/>
      <c r="B278" s="1"/>
      <c r="C278" s="294"/>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row>
    <row r="279" spans="1:256">
      <c r="A279" s="1"/>
      <c r="B279" s="1"/>
      <c r="C279" s="294"/>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row>
    <row r="280" spans="1:256">
      <c r="A280" s="1"/>
      <c r="B280" s="1"/>
      <c r="C280" s="294"/>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row>
    <row r="281" spans="1:256">
      <c r="A281" s="1"/>
      <c r="B281" s="1"/>
      <c r="C281" s="294"/>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row>
    <row r="282" spans="1:256">
      <c r="A282" s="1"/>
      <c r="B282" s="1"/>
      <c r="C282" s="294"/>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row>
    <row r="283" spans="1:256">
      <c r="A283" s="1"/>
      <c r="B283" s="1"/>
      <c r="C283" s="294"/>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row>
    <row r="284" spans="1:256">
      <c r="A284" s="1"/>
      <c r="B284" s="1"/>
      <c r="C284" s="294"/>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row>
    <row r="285" spans="1:256">
      <c r="A285" s="1"/>
      <c r="B285" s="1"/>
      <c r="C285" s="294"/>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row>
    <row r="286" spans="1:256">
      <c r="A286" s="1"/>
      <c r="B286" s="1"/>
      <c r="C286" s="294"/>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row>
    <row r="287" spans="1:256">
      <c r="A287" s="1"/>
      <c r="B287" s="1"/>
      <c r="C287" s="294"/>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row>
    <row r="288" spans="1:256">
      <c r="A288" s="1"/>
      <c r="B288" s="1"/>
      <c r="C288" s="294"/>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row>
    <row r="289" spans="1:256">
      <c r="A289" s="1"/>
      <c r="B289" s="1"/>
      <c r="C289" s="294"/>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row>
    <row r="290" spans="1:256">
      <c r="A290" s="1"/>
      <c r="B290" s="1"/>
      <c r="C290" s="294"/>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row>
    <row r="291" spans="1:256">
      <c r="A291" s="1"/>
      <c r="B291" s="1"/>
      <c r="C291" s="294"/>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row>
    <row r="292" spans="1:256">
      <c r="A292" s="1"/>
      <c r="B292" s="1"/>
      <c r="C292" s="294"/>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row>
    <row r="293" spans="1:256">
      <c r="A293" s="1"/>
      <c r="B293" s="1"/>
      <c r="C293" s="294"/>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row>
    <row r="294" spans="1:256">
      <c r="A294" s="1"/>
      <c r="B294" s="1"/>
      <c r="C294" s="294"/>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row>
    <row r="295" spans="1:256">
      <c r="A295" s="1"/>
      <c r="B295" s="1"/>
      <c r="C295" s="294"/>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row>
    <row r="296" spans="1:256">
      <c r="A296" s="1"/>
      <c r="B296" s="1"/>
      <c r="C296" s="294"/>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row>
    <row r="297" spans="1:256">
      <c r="A297" s="1"/>
      <c r="B297" s="1"/>
      <c r="C297" s="294"/>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row>
    <row r="298" spans="1:256">
      <c r="A298" s="1"/>
      <c r="B298" s="1"/>
      <c r="C298" s="294"/>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row>
    <row r="299" spans="1:256">
      <c r="A299" s="1"/>
      <c r="B299" s="1"/>
      <c r="C299" s="294"/>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row>
    <row r="300" spans="1:256">
      <c r="A300" s="1"/>
      <c r="B300" s="1"/>
      <c r="C300" s="294"/>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row>
    <row r="301" spans="1:256">
      <c r="A301" s="1"/>
      <c r="B301" s="1"/>
      <c r="C301" s="294"/>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row>
    <row r="302" spans="1:256">
      <c r="A302" s="1"/>
      <c r="B302" s="1"/>
      <c r="C302" s="294"/>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row>
    <row r="303" spans="1:256">
      <c r="A303" s="1"/>
      <c r="B303" s="1"/>
      <c r="C303" s="294"/>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row>
    <row r="304" spans="1:256">
      <c r="A304" s="1"/>
      <c r="B304" s="1"/>
      <c r="C304" s="294"/>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row>
    <row r="305" spans="1:256">
      <c r="A305" s="1"/>
      <c r="B305" s="1"/>
      <c r="C305" s="294"/>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row>
    <row r="306" spans="1:256">
      <c r="A306" s="1"/>
      <c r="B306" s="1"/>
      <c r="C306" s="294"/>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row>
    <row r="307" spans="1:256">
      <c r="A307" s="1"/>
      <c r="B307" s="1"/>
      <c r="C307" s="294"/>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row>
    <row r="308" spans="1:256">
      <c r="A308" s="1"/>
      <c r="B308" s="1"/>
      <c r="C308" s="294"/>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row>
    <row r="309" spans="1:256">
      <c r="A309" s="1"/>
      <c r="B309" s="1"/>
      <c r="C309" s="294"/>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row>
    <row r="310" spans="1:256">
      <c r="A310" s="1"/>
      <c r="B310" s="1"/>
      <c r="C310" s="294"/>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row>
    <row r="311" spans="1:256">
      <c r="A311" s="1"/>
      <c r="B311" s="1"/>
      <c r="C311" s="294"/>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row>
    <row r="312" spans="1:256">
      <c r="A312" s="1"/>
      <c r="B312" s="1"/>
      <c r="C312" s="294"/>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row>
    <row r="313" spans="1:256">
      <c r="A313" s="1"/>
      <c r="B313" s="1"/>
      <c r="C313" s="294"/>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row>
    <row r="314" spans="1:256">
      <c r="A314" s="1"/>
      <c r="B314" s="1"/>
      <c r="C314" s="294"/>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row>
    <row r="315" spans="1:256">
      <c r="A315" s="1"/>
      <c r="B315" s="1"/>
      <c r="C315" s="294"/>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row>
    <row r="316" spans="1:256">
      <c r="A316" s="1"/>
      <c r="B316" s="1"/>
      <c r="C316" s="294"/>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row>
    <row r="317" spans="1:256">
      <c r="A317" s="1"/>
      <c r="B317" s="1"/>
      <c r="C317" s="294"/>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row>
    <row r="318" spans="1:256">
      <c r="A318" s="1"/>
      <c r="B318" s="1"/>
      <c r="C318" s="294"/>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row>
    <row r="319" spans="1:256">
      <c r="A319" s="1"/>
      <c r="B319" s="1"/>
      <c r="C319" s="294"/>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row>
    <row r="320" spans="1:256">
      <c r="A320" s="1"/>
      <c r="B320" s="1"/>
      <c r="C320" s="294"/>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row>
    <row r="321" spans="1:256">
      <c r="A321" s="1"/>
      <c r="B321" s="1"/>
      <c r="C321" s="294"/>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row>
    <row r="322" spans="1:256">
      <c r="A322" s="1"/>
      <c r="B322" s="1"/>
      <c r="C322" s="294"/>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row>
    <row r="323" spans="1:256">
      <c r="A323" s="1"/>
      <c r="B323" s="1"/>
      <c r="C323" s="294"/>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4:IV34"/>
  <sheetViews>
    <sheetView zoomScale="87" zoomScaleNormal="87" workbookViewId="0"/>
  </sheetViews>
  <sheetFormatPr baseColWidth="10" defaultColWidth="8.7109375" defaultRowHeight="16"/>
  <cols>
    <col min="1" max="256" width="9.7109375" style="134" customWidth="1"/>
  </cols>
  <sheetData>
    <row r="34" spans="1:1">
      <c r="A34" s="134">
        <v>35796</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109</vt:i4>
      </vt:variant>
    </vt:vector>
  </HeadingPairs>
  <TitlesOfParts>
    <vt:vector size="122" baseType="lpstr">
      <vt:lpstr>Weekly Data</vt:lpstr>
      <vt:lpstr>Lagoons</vt:lpstr>
      <vt:lpstr>WTP DOC Profile</vt:lpstr>
      <vt:lpstr>CW THMFP</vt:lpstr>
      <vt:lpstr>preGAC THMFP</vt:lpstr>
      <vt:lpstr>Month Avg</vt:lpstr>
      <vt:lpstr>DOC % Removal</vt:lpstr>
      <vt:lpstr>Raw dAl vs pH</vt:lpstr>
      <vt:lpstr>preCl2 vs chTHM</vt:lpstr>
      <vt:lpstr>CHARTS</vt:lpstr>
      <vt:lpstr>RTW</vt:lpstr>
      <vt:lpstr>MACRO</vt:lpstr>
      <vt:lpstr>O2 Table</vt:lpstr>
      <vt:lpstr>_10CRT_AL_TOTAL</vt:lpstr>
      <vt:lpstr>_11CRT_ALUM\DOC</vt:lpstr>
      <vt:lpstr>_12CRT_BICARBONATE</vt:lpstr>
      <vt:lpstr>_13CRT_BROMIDE</vt:lpstr>
      <vt:lpstr>_14CRT_CALCIUM</vt:lpstr>
      <vt:lpstr>_15CRT_CARBONATE</vt:lpstr>
      <vt:lpstr>_16CRT_CHLORIDE</vt:lpstr>
      <vt:lpstr>_17CRT_CHLOROPHYLL</vt:lpstr>
      <vt:lpstr>_18CRT_DISS_AL_CW</vt:lpstr>
      <vt:lpstr>_19CRT_DISS_AL_RAW</vt:lpstr>
      <vt:lpstr>_1CA_TEMP</vt:lpstr>
      <vt:lpstr>_20CRT_DOC</vt:lpstr>
      <vt:lpstr>_21CRT_DOC___REM</vt:lpstr>
      <vt:lpstr>_22CRT_DOC_254_NM</vt:lpstr>
      <vt:lpstr>_23CRT_DOC__GAC</vt:lpstr>
      <vt:lpstr>_24CRT_F_CW_DOSE</vt:lpstr>
      <vt:lpstr>_25CRT_FE_DIS.</vt:lpstr>
      <vt:lpstr>_26CRT_FE_MN_PRECL</vt:lpstr>
      <vt:lpstr>_27CRT_FE_TOTAL</vt:lpstr>
      <vt:lpstr>_28CRT_FILT._12_AL</vt:lpstr>
      <vt:lpstr>_29CRT_FILTER_1_AL</vt:lpstr>
      <vt:lpstr>_2CRT__DO_COMPARE</vt:lpstr>
      <vt:lpstr>_30CRT_FLUORIDE</vt:lpstr>
      <vt:lpstr>_31CRT_LANG_INDEX</vt:lpstr>
      <vt:lpstr>_32CRT_MAGNESIUM</vt:lpstr>
      <vt:lpstr>_33CRT_MN_DIS.</vt:lpstr>
      <vt:lpstr>_34CRT_MN_TOTAL</vt:lpstr>
      <vt:lpstr>_35CRT_NH4_N</vt:lpstr>
      <vt:lpstr>_36CRT_NITRATE</vt:lpstr>
      <vt:lpstr>_37CRT_ODOUR_CWPRE</vt:lpstr>
      <vt:lpstr>_38CRT_ODOUR_RAW</vt:lpstr>
      <vt:lpstr>_39CRT_ORGANIC_N</vt:lpstr>
      <vt:lpstr>_3CRT__DO_CW</vt:lpstr>
      <vt:lpstr>_40CRT_ORTHO_PHOS</vt:lpstr>
      <vt:lpstr>_41CRT_P_OR_CW_ALT</vt:lpstr>
      <vt:lpstr>_42CRT_P_ALKALIN</vt:lpstr>
      <vt:lpstr>_43CRT_POTASSIUM</vt:lpstr>
      <vt:lpstr>_44CRT_PREGAC_AL_D</vt:lpstr>
      <vt:lpstr>_45CRT_PREGAC_AL_T</vt:lpstr>
      <vt:lpstr>_46CRT_RAW_ODOUR</vt:lpstr>
      <vt:lpstr>_47CRT_RAWDOC_TCL2</vt:lpstr>
      <vt:lpstr>_48CRT_SDTHMFP_CW</vt:lpstr>
      <vt:lpstr>_49CRT_SDTHMFPPGAC</vt:lpstr>
      <vt:lpstr>_4CRT__ERROR_CW</vt:lpstr>
      <vt:lpstr>_50CRT_SODIUM</vt:lpstr>
      <vt:lpstr>_51CRT_SULPHATE</vt:lpstr>
      <vt:lpstr>_52CRT_T_DOC___GON</vt:lpstr>
      <vt:lpstr>_53CRT_T_ALKALIN</vt:lpstr>
      <vt:lpstr>_54CRT_TOC</vt:lpstr>
      <vt:lpstr>_55CRT_TOTAL_HARD</vt:lpstr>
      <vt:lpstr>_56CRT_UV254\DOC</vt:lpstr>
      <vt:lpstr>_57CTR_C.F.__DOC</vt:lpstr>
      <vt:lpstr>_58CW_AL_PREYEAR</vt:lpstr>
      <vt:lpstr>_59CWTHM_RETURN</vt:lpstr>
      <vt:lpstr>_5CRT__ERROR_RAW</vt:lpstr>
      <vt:lpstr>_60DISSOLVED_IRON</vt:lpstr>
      <vt:lpstr>_61DISSOLVED_MN</vt:lpstr>
      <vt:lpstr>_62DOC__REMO._BY_C</vt:lpstr>
      <vt:lpstr>_63DOC__REMOVAL</vt:lpstr>
      <vt:lpstr>_64DOC_RETURN</vt:lpstr>
      <vt:lpstr>_65F__CW_ACTUAL</vt:lpstr>
      <vt:lpstr>_66FILTER_1_AL</vt:lpstr>
      <vt:lpstr>_67PREGAC_AL_DIS.</vt:lpstr>
      <vt:lpstr>_68PREGAC_AL_TOTAL</vt:lpstr>
      <vt:lpstr>_69RETURN_HOME</vt:lpstr>
      <vt:lpstr>_6CRT__AL_DIS</vt:lpstr>
      <vt:lpstr>_70RN_CWALK</vt:lpstr>
      <vt:lpstr>_71RN_CWCA</vt:lpstr>
      <vt:lpstr>_72RN_CWCL</vt:lpstr>
      <vt:lpstr>_73RN_CWLI</vt:lpstr>
      <vt:lpstr>_74RN_CWPH</vt:lpstr>
      <vt:lpstr>_75RN_CWSO4</vt:lpstr>
      <vt:lpstr>_76RN_CWTDS</vt:lpstr>
      <vt:lpstr>_77RN_CWTEMP</vt:lpstr>
      <vt:lpstr>_78RN_RAWALK</vt:lpstr>
      <vt:lpstr>_79RN_RAWCA</vt:lpstr>
      <vt:lpstr>_7CRT_ALGAE_CW</vt:lpstr>
      <vt:lpstr>_80RN_RAWCL</vt:lpstr>
      <vt:lpstr>_81RN_RAWLI</vt:lpstr>
      <vt:lpstr>_82RN_RAWPH</vt:lpstr>
      <vt:lpstr>_83RN_RAWSO4</vt:lpstr>
      <vt:lpstr>_84RN_RAWTDS</vt:lpstr>
      <vt:lpstr>_85RN_RAWTEMP</vt:lpstr>
      <vt:lpstr>_86TABLE_OXYGEN</vt:lpstr>
      <vt:lpstr>_87TOTAL_DOC__GONE</vt:lpstr>
      <vt:lpstr>_88TOTAL_MN</vt:lpstr>
      <vt:lpstr>_8CRT_ALGAE_RAW</vt:lpstr>
      <vt:lpstr>_9CRT_AL_PART</vt:lpstr>
      <vt:lpstr>_SO4</vt:lpstr>
      <vt:lpstr>\0</vt:lpstr>
      <vt:lpstr>\C</vt:lpstr>
      <vt:lpstr>\H</vt:lpstr>
      <vt:lpstr>ALK</vt:lpstr>
      <vt:lpstr>ALRT1</vt:lpstr>
      <vt:lpstr>CA</vt:lpstr>
      <vt:lpstr>CHECK</vt:lpstr>
      <vt:lpstr>CHEMLIST</vt:lpstr>
      <vt:lpstr>CHOICE</vt:lpstr>
      <vt:lpstr>CHOICEPICK</vt:lpstr>
      <vt:lpstr>CL</vt:lpstr>
      <vt:lpstr>FLUORIDE</vt:lpstr>
      <vt:lpstr>JANWK1</vt:lpstr>
      <vt:lpstr>LANGINDEX</vt:lpstr>
      <vt:lpstr>PH</vt:lpstr>
      <vt:lpstr>Print_Area</vt:lpstr>
      <vt:lpstr>TDS</vt:lpstr>
      <vt:lpstr>TEMP</vt:lpstr>
      <vt:lpstr>TOC</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Anthony Baron</cp:lastModifiedBy>
  <cp:revision/>
  <dcterms:created xsi:type="dcterms:W3CDTF">2022-01-24T17:56:20Z</dcterms:created>
  <dcterms:modified xsi:type="dcterms:W3CDTF">2022-01-24T18:17:54Z</dcterms:modified>
  <cp:category/>
  <cp:contentStatus/>
</cp:coreProperties>
</file>