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ino/Desktop/dataScience/github_repos/crowdfunding_goal_analysis/excel-challenge/"/>
    </mc:Choice>
  </mc:AlternateContent>
  <xr:revisionPtr revIDLastSave="0" documentId="13_ncr:1_{A45EB861-79BE-1948-9A1B-0D2DBA012389}" xr6:coauthVersionLast="47" xr6:coauthVersionMax="47" xr10:uidLastSave="{00000000-0000-0000-0000-000000000000}"/>
  <bookViews>
    <workbookView xWindow="2700" yWindow="1440" windowWidth="32540" windowHeight="19800" activeTab="1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countifSheet" sheetId="7" r:id="rId5"/>
    <sheet name="statisticalAnalysis" sheetId="8" r:id="rId6"/>
  </sheets>
  <definedNames>
    <definedName name="_xlnm._FilterDatabase" localSheetId="0" hidden="1">crowdFunding!$R$1:$R$1001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8" l="1"/>
  <c r="K9" i="8"/>
  <c r="K8" i="8"/>
  <c r="K7" i="8"/>
  <c r="K6" i="8"/>
  <c r="K5" i="8"/>
  <c r="H9" i="8"/>
  <c r="H10" i="8"/>
  <c r="H8" i="8"/>
  <c r="H7" i="8"/>
  <c r="H6" i="8"/>
  <c r="H5" i="8"/>
  <c r="D13" i="7"/>
  <c r="D12" i="7"/>
  <c r="D11" i="7"/>
  <c r="D10" i="7"/>
  <c r="D9" i="7"/>
  <c r="D8" i="7"/>
  <c r="D7" i="7"/>
  <c r="D6" i="7"/>
  <c r="D5" i="7"/>
  <c r="C13" i="7"/>
  <c r="C12" i="7"/>
  <c r="C11" i="7"/>
  <c r="C10" i="7"/>
  <c r="C9" i="7"/>
  <c r="C8" i="7"/>
  <c r="C7" i="7"/>
  <c r="C6" i="7"/>
  <c r="C5" i="7"/>
  <c r="B13" i="7"/>
  <c r="B12" i="7"/>
  <c r="B11" i="7"/>
  <c r="B10" i="7"/>
  <c r="B9" i="7"/>
  <c r="B8" i="7"/>
  <c r="B7" i="7"/>
  <c r="B6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10" i="7" l="1"/>
  <c r="F10" i="7" s="1"/>
  <c r="E9" i="7"/>
  <c r="H9" i="7" s="1"/>
  <c r="E4" i="7"/>
  <c r="H4" i="7" s="1"/>
  <c r="G4" i="7"/>
  <c r="G10" i="7"/>
  <c r="E8" i="7"/>
  <c r="H8" i="7" s="1"/>
  <c r="E7" i="7"/>
  <c r="F7" i="7" s="1"/>
  <c r="F9" i="7"/>
  <c r="E6" i="7"/>
  <c r="H6" i="7" s="1"/>
  <c r="E3" i="7"/>
  <c r="G3" i="7" s="1"/>
  <c r="E13" i="7"/>
  <c r="G13" i="7" s="1"/>
  <c r="E5" i="7"/>
  <c r="F5" i="7" s="1"/>
  <c r="E12" i="7"/>
  <c r="F12" i="7" s="1"/>
  <c r="E11" i="7"/>
  <c r="G11" i="7" s="1"/>
  <c r="E2" i="7"/>
  <c r="G2" i="7" s="1"/>
  <c r="G9" i="7" l="1"/>
  <c r="F11" i="7"/>
  <c r="H10" i="7"/>
  <c r="F4" i="7"/>
  <c r="H13" i="7"/>
  <c r="G5" i="7"/>
  <c r="F6" i="7"/>
  <c r="H2" i="7"/>
  <c r="H11" i="7"/>
  <c r="H7" i="7"/>
  <c r="G7" i="7"/>
  <c r="F2" i="7"/>
  <c r="G6" i="7"/>
  <c r="H3" i="7"/>
  <c r="H5" i="7"/>
  <c r="G8" i="7"/>
  <c r="G12" i="7"/>
  <c r="F3" i="7"/>
  <c r="H12" i="7"/>
  <c r="F8" i="7"/>
  <c r="F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<sst xmlns="http://schemas.openxmlformats.org/spreadsheetml/2006/main" count="7067" uniqueCount="2119">
  <si>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</si>
  <si>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</si>
  <si>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</si>
  <si>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</si>
  <si>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</si>
  <si>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</si>
  <si>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</si>
  <si>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</si>
  <si>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</si>
  <si>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</si>
  <si>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</si>
  <si>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</si>
  <si>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</si>
  <si>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</si>
  <si>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</si>
  <si>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</si>
  <si>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</si>
  <si>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</si>
  <si>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</si>
  <si>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</si>
  <si>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</si>
  <si>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</si>
  <si>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</si>
  <si>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</si>
  <si>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</si>
  <si>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</si>
  <si>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</si>
  <si>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</si>
  <si>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</si>
  <si>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</si>
  <si>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</si>
  <si>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</si>
  <si>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</si>
  <si>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</si>
  <si>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</si>
  <si>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</si>
  <si>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</si>
  <si>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</si>
  <si>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</si>
  <si>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</si>
  <si>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</si>
  <si>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</si>
  <si>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</si>
  <si>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</si>
  <si>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</si>
  <si>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</si>
  <si>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</si>
  <si>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</si>
  <si>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</si>
  <si>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</si>
  <si>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</si>
  <si>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</si>
  <si>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</si>
  <si>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</si>
  <si>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</si>
  <si>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</si>
  <si>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</si>
  <si>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</si>
  <si>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</si>
  <si>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</si>
  <si>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</si>
  <si>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</si>
  <si>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</si>
  <si>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</si>
  <si>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</si>
  <si>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</si>
  <si>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</si>
  <si>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</si>
  <si>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</si>
  <si>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</si>
  <si>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</si>
  <si>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</si>
  <si>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</si>
  <si>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</si>
  <si>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</si>
  <si>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</si>
  <si>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</si>
  <si>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</si>
  <si>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</si>
  <si>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</si>
  <si>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</si>
  <si>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</si>
  <si>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</si>
  <si>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</si>
  <si>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</si>
  <si>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</si>
  <si>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</si>
  <si>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</si>
  <si>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</si>
  <si>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</si>
  <si>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</si>
  <si>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</si>
  <si>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</si>
  <si>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</si>
  <si>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</si>
  <si>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</si>
  <si>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</si>
  <si>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</si>
  <si>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</si>
  <si>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</si>
  <si>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</si>
  <si>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</si>
  <si>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</si>
  <si>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</si>
  <si>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</si>
  <si>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</si>
  <si>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</si>
  <si>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</si>
  <si>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</si>
  <si>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</si>
  <si>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</si>
  <si>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</si>
  <si>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</si>
  <si>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</si>
  <si>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</si>
  <si>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</si>
  <si>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</si>
  <si>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</si>
  <si>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</si>
  <si>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</si>
  <si>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</si>
  <si>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</si>
  <si>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</si>
  <si>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</si>
  <si>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</si>
  <si>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</si>
  <si>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</si>
  <si>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</si>
  <si>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</si>
  <si>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</si>
  <si>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</si>
  <si>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</si>
  <si>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</si>
  <si>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</si>
  <si>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</si>
  <si>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</si>
  <si>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</si>
  <si>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</si>
  <si>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</si>
  <si>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</si>
  <si>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</si>
  <si>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</si>
  <si>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</si>
  <si>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</si>
  <si>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</si>
  <si>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</si>
  <si>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</si>
  <si>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</si>
  <si>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</si>
  <si>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</si>
  <si>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</si>
  <si>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</si>
  <si>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</si>
  <si>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</si>
  <si>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</si>
  <si>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</si>
  <si>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</si>
  <si>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</si>
  <si>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</si>
  <si>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</si>
  <si>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</si>
  <si>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</si>
  <si>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</si>
  <si>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</si>
  <si>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</si>
  <si>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</si>
  <si>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</si>
  <si>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</si>
  <si>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</si>
  <si>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</si>
  <si>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</si>
  <si>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</si>
  <si>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</si>
  <si>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</si>
  <si>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</si>
  <si>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</si>
  <si>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</si>
  <si>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</si>
  <si>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</si>
  <si>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</si>
  <si>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</si>
  <si>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</si>
  <si>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</si>
  <si>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</si>
  <si>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</si>
  <si>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</si>
  <si>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</si>
  <si>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</si>
  <si>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</si>
  <si>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</si>
  <si>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</si>
  <si>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</si>
  <si>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</si>
  <si>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</si>
  <si>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</si>
  <si>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</si>
  <si>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</si>
  <si>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</si>
  <si>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</si>
  <si>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</si>
  <si>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</si>
  <si>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</si>
  <si>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</si>
  <si>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</si>
  <si>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</si>
  <si>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</si>
  <si>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</si>
  <si>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</si>
  <si>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</si>
  <si>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</si>
  <si>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</si>
  <si>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</si>
  <si>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</si>
  <si>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</si>
  <si>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</si>
  <si>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</si>
  <si>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</si>
  <si>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</si>
  <si>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</si>
  <si>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</si>
  <si>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</si>
  <si>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</si>
  <si>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</si>
  <si>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</si>
  <si>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</si>
  <si>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</si>
  <si>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</si>
  <si>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</si>
  <si>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</si>
  <si>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</si>
  <si>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</si>
  <si>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</si>
  <si>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</si>
  <si>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</si>
  <si>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</si>
  <si>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</si>
  <si>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</si>
  <si>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</si>
  <si>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</si>
  <si>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</si>
  <si>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</si>
  <si>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</si>
  <si>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</si>
  <si>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</si>
  <si>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</si>
  <si>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</si>
  <si>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</si>
  <si>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</si>
  <si>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</si>
  <si>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</si>
  <si>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</si>
  <si>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</si>
  <si>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</si>
  <si>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</si>
  <si>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</si>
  <si>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</si>
  <si>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</si>
  <si>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</si>
  <si>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</si>
  <si>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</si>
  <si>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</si>
  <si>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</si>
  <si>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</si>
  <si>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</si>
  <si>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</si>
  <si>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</si>
  <si>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</si>
  <si>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</si>
  <si>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</si>
  <si>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</si>
  <si>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</si>
  <si>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</si>
  <si>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</si>
  <si>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</si>
  <si>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</si>
  <si>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</si>
  <si>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</si>
  <si>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</si>
  <si>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</si>
  <si>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</si>
  <si>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</si>
  <si>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</si>
  <si>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</si>
  <si>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</si>
  <si>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</si>
  <si>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</si>
  <si>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</si>
  <si>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</si>
  <si>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</si>
  <si>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</si>
  <si>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</si>
  <si>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</si>
  <si>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</si>
  <si>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</si>
  <si>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</si>
  <si>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</si>
  <si>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</si>
  <si>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</si>
  <si>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</si>
  <si>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</si>
  <si>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</si>
  <si>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</si>
  <si>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</si>
  <si>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</si>
  <si>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</si>
  <si>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</si>
  <si>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</si>
  <si>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</si>
  <si>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</si>
  <si>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</si>
  <si>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</si>
  <si>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</si>
  <si>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</si>
  <si>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</si>
  <si>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</si>
  <si>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</si>
  <si>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</si>
  <si>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</si>
  <si>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</si>
  <si>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</si>
  <si>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</si>
  <si>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</si>
  <si>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</si>
  <si>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</si>
  <si>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</si>
  <si>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</si>
  <si>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</si>
  <si>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</si>
  <si>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</si>
  <si>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</si>
  <si>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</si>
  <si>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</si>
  <si>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</si>
  <si>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</si>
  <si>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</si>
  <si>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</si>
  <si>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</si>
  <si>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</si>
  <si>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</si>
  <si>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</si>
  <si>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</si>
  <si>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</si>
  <si>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</si>
  <si>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</si>
  <si>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</si>
  <si>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</si>
  <si>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</si>
  <si>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</si>
  <si>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</si>
  <si>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</si>
  <si>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</si>
  <si>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</si>
  <si>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</si>
  <si>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</si>
  <si>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</si>
  <si>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</si>
  <si>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</si>
  <si>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</si>
  <si>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</si>
  <si>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</si>
  <si>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</si>
  <si>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</si>
  <si>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</si>
  <si>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</si>
  <si>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</si>
  <si>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</si>
  <si>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</si>
  <si>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</si>
  <si>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</si>
  <si>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</si>
  <si>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</si>
  <si>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</si>
  <si>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</si>
  <si>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</si>
  <si>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</si>
  <si>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</si>
  <si>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</si>
  <si>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</si>
  <si>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</si>
  <si>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</si>
  <si>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</si>
  <si>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</si>
  <si>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</si>
  <si>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</si>
  <si>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</si>
  <si>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</si>
  <si>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</si>
  <si>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</si>
  <si>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</si>
  <si>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</si>
  <si>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</si>
  <si>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</si>
  <si>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</si>
  <si>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</si>
  <si>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</si>
  <si>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</si>
  <si>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</si>
  <si>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</si>
  <si>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</si>
  <si>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</si>
  <si>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</si>
  <si>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</si>
  <si>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</si>
  <si>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</si>
  <si>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</si>
  <si>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</si>
  <si>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</si>
  <si>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</si>
  <si>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</si>
  <si>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</si>
  <si>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</si>
  <si>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</si>
  <si>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</si>
  <si>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</si>
  <si>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</si>
  <si>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</si>
  <si>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</si>
  <si>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</si>
  <si>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</si>
  <si>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</si>
  <si>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</si>
  <si>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</si>
  <si>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</si>
  <si>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</si>
  <si>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</si>
  <si>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</si>
  <si>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</si>
  <si>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</si>
  <si>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</si>
  <si>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</si>
  <si>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</si>
  <si>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</si>
  <si>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</si>
  <si>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</si>
  <si>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</si>
  <si>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</si>
  <si>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</si>
  <si>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</si>
  <si>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</si>
  <si>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</si>
  <si>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</si>
  <si>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</si>
  <si>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</si>
  <si>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</si>
  <si>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</si>
  <si>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</si>
  <si>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</si>
  <si>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</si>
  <si>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</si>
  <si>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</si>
  <si>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</si>
  <si>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</si>
  <si>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</si>
  <si>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</si>
  <si>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</si>
  <si>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</si>
  <si>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</si>
  <si>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</si>
  <si>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</si>
  <si>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</si>
  <si>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</si>
  <si>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</si>
  <si>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</si>
  <si>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</si>
  <si>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</si>
  <si>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</si>
  <si>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</si>
  <si>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</si>
  <si>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</si>
  <si>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</si>
  <si>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</si>
  <si>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</si>
  <si>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</si>
  <si>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</si>
  <si>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</si>
  <si>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</si>
  <si>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</si>
  <si>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</si>
  <si>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</si>
  <si>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</si>
  <si>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</si>
  <si>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</si>
  <si>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</si>
  <si>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</si>
  <si>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</si>
  <si>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</si>
  <si>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</si>
  <si>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</si>
  <si>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</si>
  <si>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</si>
  <si>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</si>
  <si>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</si>
  <si>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</si>
  <si>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</si>
  <si>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</si>
  <si>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</si>
  <si>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</si>
  <si>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</si>
  <si>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</si>
  <si>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</si>
  <si>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</si>
  <si>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</si>
  <si>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</si>
  <si>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</si>
  <si>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</si>
  <si>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</si>
  <si>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</si>
  <si>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</si>
  <si>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</si>
  <si>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</si>
  <si>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</si>
  <si>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</si>
  <si>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</si>
  <si>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</si>
  <si>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</si>
  <si>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</si>
  <si>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</si>
  <si>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</si>
  <si>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</si>
  <si>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</si>
  <si>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</si>
  <si>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</si>
  <si>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</si>
  <si>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</si>
  <si>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</si>
  <si>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</si>
  <si>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</si>
  <si>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</si>
  <si>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</si>
  <si>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</si>
  <si>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</si>
  <si>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</si>
  <si>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</si>
  <si>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</si>
  <si>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</si>
  <si>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</si>
  <si>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</si>
  <si>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</si>
  <si>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</si>
  <si>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</si>
  <si>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</si>
  <si>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</si>
  <si>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</si>
  <si>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</si>
  <si>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</si>
  <si>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</si>
  <si>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</si>
  <si>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</si>
  <si>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</si>
  <si>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</si>
  <si>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</si>
  <si>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</si>
  <si>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</si>
  <si>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</si>
  <si>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</si>
  <si>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</si>
  <si>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</si>
  <si>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</si>
  <si>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</si>
  <si>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</si>
  <si>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</si>
  <si>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</si>
  <si>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</si>
  <si>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</si>
  <si>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</si>
  <si>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</si>
  <si>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</si>
  <si>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</si>
  <si>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</si>
  <si>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</si>
  <si>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</si>
  <si>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</si>
  <si>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</si>
  <si>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</si>
  <si>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</si>
  <si>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</si>
  <si>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</si>
  <si>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</si>
  <si>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</si>
  <si>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</si>
  <si>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</si>
  <si>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</si>
  <si>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</si>
  <si>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</si>
  <si>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</si>
  <si>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</si>
  <si>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</si>
  <si>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</si>
  <si>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</si>
  <si>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</si>
  <si>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</si>
  <si>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</si>
  <si>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</si>
  <si>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</si>
  <si>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</si>
  <si>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</si>
  <si>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</si>
  <si>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</si>
  <si>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</si>
  <si>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</si>
  <si>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</si>
  <si>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</si>
  <si>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</si>
  <si>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</si>
  <si>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</si>
  <si>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</si>
  <si>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</si>
  <si>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</si>
  <si>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</si>
  <si>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</si>
  <si>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</si>
  <si>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</si>
  <si>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</si>
  <si>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</si>
  <si>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</si>
  <si>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</si>
  <si>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</si>
  <si>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</si>
  <si>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</si>
  <si>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</si>
  <si>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</si>
  <si>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</si>
  <si>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</si>
  <si>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</si>
  <si>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</si>
  <si>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</si>
  <si>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</si>
  <si>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</si>
  <si>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</si>
  <si>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</si>
  <si>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</si>
  <si>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</si>
  <si>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</si>
  <si>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</si>
  <si>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</si>
  <si>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</si>
  <si>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</si>
  <si>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</si>
  <si>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</si>
  <si>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</si>
  <si>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</si>
  <si>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</si>
  <si>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</si>
  <si>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</si>
  <si>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</si>
  <si>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</si>
  <si>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</si>
  <si>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</si>
  <si>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</si>
  <si>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</si>
  <si>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</si>
  <si>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</si>
  <si>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</si>
  <si>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</si>
  <si>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</si>
  <si>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</si>
  <si>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</si>
  <si>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</si>
  <si>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</si>
  <si>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</si>
  <si>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</si>
  <si>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</si>
  <si>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</si>
  <si>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</si>
  <si>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</si>
  <si>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</si>
  <si>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</si>
  <si>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</si>
  <si>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</si>
  <si>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</si>
  <si>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</si>
  <si>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</si>
  <si>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</si>
  <si>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</si>
  <si>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</si>
  <si>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</si>
  <si>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</si>
  <si>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</si>
  <si>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</si>
  <si>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</si>
  <si>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</si>
  <si>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</si>
  <si>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</si>
  <si>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</si>
  <si>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</si>
  <si>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</si>
  <si>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</si>
  <si>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</si>
  <si>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</si>
  <si>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</si>
  <si>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</si>
  <si>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</si>
  <si>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</si>
  <si>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</si>
  <si>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</si>
  <si>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</si>
  <si>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</si>
  <si>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</si>
  <si>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</si>
  <si>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</si>
  <si>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</si>
  <si>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</si>
  <si>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</si>
  <si>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</si>
  <si>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</si>
  <si>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</si>
  <si>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</si>
  <si>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</si>
  <si>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</si>
  <si>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</si>
  <si>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</si>
  <si>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</si>
  <si>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</si>
  <si>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</si>
  <si>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</si>
  <si>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</si>
  <si>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</si>
  <si>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</si>
  <si>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</si>
  <si>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</si>
  <si>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</si>
  <si>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</si>
  <si>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</si>
  <si>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</si>
  <si>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</si>
  <si>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</si>
  <si>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</si>
  <si>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</si>
  <si>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</si>
  <si>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</si>
  <si>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</si>
  <si>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</si>
  <si>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</si>
  <si>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</si>
  <si>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</si>
  <si>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</si>
  <si>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</si>
  <si>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</si>
  <si>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</si>
  <si>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</si>
  <si>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</si>
  <si>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</si>
  <si>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</si>
  <si>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</si>
  <si>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</si>
  <si>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</si>
  <si>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</si>
  <si>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</si>
  <si>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</si>
  <si>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</si>
  <si>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</si>
  <si>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</si>
  <si>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</si>
  <si>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</si>
  <si>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</si>
  <si>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</si>
  <si>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</si>
  <si>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</si>
  <si>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</si>
  <si>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</si>
  <si>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</si>
  <si>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</si>
  <si>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</si>
  <si>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</si>
  <si>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</si>
  <si>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</si>
  <si>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</si>
  <si>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</si>
  <si>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</si>
  <si>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</si>
  <si>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</si>
  <si>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</si>
  <si>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</si>
  <si>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</si>
  <si>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</si>
  <si>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</si>
  <si>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</si>
  <si>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</si>
  <si>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</si>
  <si>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</si>
  <si>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</si>
  <si>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</si>
  <si>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</si>
  <si>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</si>
  <si>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</si>
  <si>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</si>
  <si>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</si>
  <si>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</si>
  <si>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</si>
  <si>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</si>
  <si>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</si>
  <si>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</si>
  <si>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</si>
  <si>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</si>
  <si>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</si>
  <si>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</si>
  <si>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</si>
  <si>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</si>
  <si>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</si>
  <si>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</si>
  <si>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</si>
  <si>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</si>
  <si>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</si>
  <si>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</si>
  <si>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</si>
  <si>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</si>
  <si>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</si>
  <si>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</si>
  <si>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</si>
  <si>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</si>
  <si>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</si>
  <si>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</si>
  <si>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</si>
  <si>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</si>
  <si>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</si>
  <si>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</si>
  <si>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</si>
  <si>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</si>
  <si>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</si>
  <si>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</si>
  <si>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</si>
  <si>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</si>
  <si>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</si>
  <si>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</si>
  <si>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</si>
  <si>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</si>
  <si>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</si>
  <si>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</si>
  <si>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</si>
  <si>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</si>
  <si>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</si>
  <si>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</si>
  <si>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</si>
  <si>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</si>
  <si>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</si>
  <si>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</si>
  <si>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</si>
  <si>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</si>
  <si>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</si>
  <si>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</si>
  <si>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</si>
  <si>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</si>
  <si>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</si>
  <si>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</si>
  <si>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</si>
  <si>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</si>
  <si>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</si>
  <si>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</si>
  <si>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</si>
  <si>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</si>
  <si>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</si>
  <si>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</si>
  <si>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</si>
  <si>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</si>
  <si>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</si>
  <si>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</si>
  <si>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</si>
  <si>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</si>
  <si>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</si>
  <si>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</si>
  <si>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</si>
  <si>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</si>
  <si>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</si>
  <si>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</si>
  <si>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</si>
  <si>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</si>
  <si>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</si>
  <si>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</si>
  <si>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</si>
  <si>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</si>
  <si>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</si>
  <si>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</si>
  <si>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</si>
  <si>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</si>
  <si>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</si>
  <si>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</si>
  <si>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</si>
  <si>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</si>
  <si>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</si>
  <si>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</si>
  <si>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</si>
  <si>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</si>
  <si>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</si>
  <si>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</si>
  <si>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</si>
  <si>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</si>
  <si>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</si>
  <si>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</si>
  <si>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</si>
  <si>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</si>
  <si>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</si>
  <si>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</si>
  <si>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</si>
  <si>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</si>
  <si>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</si>
  <si>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</si>
  <si>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</si>
  <si>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</si>
  <si>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</si>
  <si>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</si>
  <si>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</si>
  <si>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</si>
  <si>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</si>
  <si>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</si>
  <si>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</si>
  <si>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</si>
  <si>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</si>
  <si>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</si>
  <si>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</si>
  <si>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</si>
  <si>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</si>
  <si>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</si>
  <si>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</si>
  <si>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</si>
  <si>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</si>
  <si>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</si>
  <si>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</si>
  <si>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</si>
  <si>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</si>
  <si>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</si>
  <si>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</si>
  <si>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</si>
  <si>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</si>
  <si>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</si>
  <si>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</si>
  <si>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</si>
  <si>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</si>
  <si>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</si>
  <si>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</si>
  <si>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</si>
  <si>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</si>
  <si>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</si>
  <si>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</si>
  <si>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</si>
  <si>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</si>
  <si>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</si>
  <si>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</si>
  <si>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</si>
  <si>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</si>
  <si>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</si>
  <si>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</si>
  <si>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</si>
  <si>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</si>
  <si>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</si>
  <si>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</si>
  <si>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</si>
  <si>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</si>
  <si>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</si>
  <si>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</si>
  <si>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</si>
  <si>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</si>
  <si>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</si>
  <si>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</si>
  <si>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</si>
  <si>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</si>
  <si>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</si>
  <si>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</si>
  <si>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</si>
  <si>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</si>
  <si>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</si>
  <si>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</si>
  <si>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</si>
  <si>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</si>
  <si>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</si>
  <si>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</si>
  <si>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</si>
  <si>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</si>
  <si>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</si>
  <si>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</si>
  <si>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</si>
  <si>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</si>
  <si>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</si>
  <si>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</si>
  <si>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</si>
  <si>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</si>
  <si>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</si>
  <si>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</si>
  <si>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</si>
  <si>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</si>
  <si>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</si>
  <si>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</si>
  <si>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</si>
  <si>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</si>
  <si>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</si>
  <si>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</si>
  <si>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</si>
  <si>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</si>
  <si>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</si>
  <si>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</si>
  <si>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</si>
  <si>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</si>
  <si>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</si>
  <si>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</si>
  <si>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</si>
  <si>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</si>
  <si>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</si>
  <si>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</si>
  <si>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</si>
  <si>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</si>
  <si>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</si>
  <si>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</si>
  <si>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</si>
  <si>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</si>
  <si>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</si>
  <si>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</si>
  <si>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</si>
  <si>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</si>
  <si>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</si>
  <si>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</si>
  <si>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</si>
  <si>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</si>
  <si>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</si>
  <si>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</si>
  <si>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</si>
  <si>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</si>
  <si>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</si>
  <si>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</si>
  <si>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</si>
  <si>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</si>
  <si>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</si>
  <si>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</si>
  <si>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</si>
  <si>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</si>
  <si>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</si>
  <si>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</si>
  <si>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</si>
  <si>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</si>
  <si>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</si>
  <si>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</si>
  <si>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</si>
  <si>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</si>
  <si>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</si>
  <si>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</si>
  <si>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</si>
  <si>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</si>
  <si>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</si>
  <si>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</si>
  <si>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</si>
  <si>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</si>
  <si>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</si>
  <si>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</si>
  <si>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</si>
  <si>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</si>
  <si>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</si>
  <si>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</si>
  <si>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</si>
  <si>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</si>
  <si>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</si>
  <si>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</si>
  <si>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</si>
  <si>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</si>
  <si>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</si>
  <si>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</si>
  <si>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</si>
  <si>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</si>
  <si>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</si>
  <si>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</si>
  <si>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</si>
  <si>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</si>
  <si>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</si>
  <si>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</si>
  <si>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</si>
  <si>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</si>
  <si>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</si>
  <si>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</si>
  <si>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</si>
  <si>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</si>
  <si>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</si>
  <si>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</si>
  <si>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</si>
  <si>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</si>
  <si>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</si>
  <si>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</si>
  <si>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</si>
  <si>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</si>
  <si>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</si>
  <si>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</si>
  <si>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</si>
  <si>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</si>
  <si>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</si>
  <si>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</si>
  <si>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</si>
  <si>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</si>
  <si>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</si>
  <si>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</si>
  <si>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</si>
  <si>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</si>
  <si>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</si>
  <si>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</si>
  <si>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</si>
  <si>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</si>
  <si>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</si>
  <si>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</si>
  <si>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</si>
  <si>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</si>
  <si>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</si>
  <si>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</si>
  <si>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</si>
  <si>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</si>
  <si>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</si>
  <si>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</si>
  <si>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</si>
  <si>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</si>
  <si>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</si>
  <si>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</si>
  <si>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</si>
  <si>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</si>
  <si>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</si>
  <si>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</si>
  <si>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</si>
  <si>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</si>
  <si>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</si>
  <si>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</si>
  <si>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</si>
  <si>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</si>
  <si>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</si>
  <si>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</si>
  <si>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</si>
  <si>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</si>
  <si>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</si>
  <si>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</si>
  <si>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</si>
  <si>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</si>
  <si>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</si>
  <si>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</si>
  <si>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</si>
  <si>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</si>
  <si>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</si>
  <si>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</si>
  <si>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</si>
  <si>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</si>
  <si>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</si>
  <si>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</si>
  <si>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</si>
  <si>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</si>
  <si>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</si>
  <si>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</si>
  <si>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</si>
  <si>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</si>
  <si>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</si>
  <si>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</si>
  <si>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</si>
  <si>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</si>
  <si>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</si>
  <si>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</si>
  <si>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</si>
  <si>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</si>
  <si>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</si>
  <si>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</si>
  <si>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</si>
  <si>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</si>
  <si>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</si>
  <si>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</si>
  <si>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</si>
  <si>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</si>
  <si>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</si>
  <si>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</si>
  <si>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</si>
  <si>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</si>
  <si>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</si>
  <si>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</si>
  <si>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</si>
  <si>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</si>
  <si>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</si>
  <si>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</si>
  <si>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</si>
  <si>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</si>
  <si>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</si>
  <si>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</si>
  <si>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</si>
  <si>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</si>
  <si>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</si>
  <si>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</si>
  <si>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</si>
  <si>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</si>
  <si>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</si>
  <si>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</si>
  <si>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</si>
  <si>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</si>
  <si>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</si>
  <si>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</si>
  <si>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</si>
  <si>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</si>
  <si>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</si>
  <si>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</si>
  <si>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</si>
  <si>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</si>
  <si>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</si>
  <si>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</si>
  <si>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</si>
  <si>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</si>
  <si>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</si>
  <si>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</si>
  <si>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</si>
  <si>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</si>
  <si>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</si>
  <si>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</si>
  <si>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</si>
  <si>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</si>
  <si>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</si>
  <si>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</si>
  <si>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</si>
  <si>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</si>
  <si>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</si>
  <si>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</si>
  <si>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</si>
  <si>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</si>
  <si>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</si>
  <si>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</si>
  <si>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</si>
  <si>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</si>
  <si>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</si>
  <si>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</si>
  <si>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</si>
  <si>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</si>
  <si>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</si>
  <si>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</si>
  <si>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</si>
  <si>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</si>
  <si>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</si>
  <si>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</si>
  <si>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</si>
  <si>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</si>
  <si>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</si>
  <si>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</si>
  <si>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</si>
  <si>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</si>
  <si>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</si>
  <si>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</si>
  <si>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</si>
  <si>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</si>
  <si>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</si>
  <si>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</si>
  <si>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</si>
  <si>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</si>
  <si>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</si>
  <si>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</si>
  <si>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</si>
  <si>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</si>
  <si>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</si>
  <si>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</si>
  <si>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</si>
  <si>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</si>
  <si>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</si>
  <si>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</si>
  <si>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</si>
  <si>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</si>
  <si>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</si>
  <si>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</si>
  <si>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</si>
  <si>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</si>
  <si>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</si>
  <si>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</si>
  <si>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</si>
  <si>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</si>
  <si>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</si>
  <si>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</si>
  <si>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</si>
  <si>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</si>
  <si>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</si>
  <si>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</si>
  <si>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</si>
  <si>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</si>
  <si>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</si>
  <si>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</si>
  <si>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</si>
  <si>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</si>
  <si>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</si>
  <si>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</si>
  <si>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</si>
  <si>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</si>
  <si>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</si>
  <si>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</si>
  <si>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</si>
  <si>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</si>
  <si>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</si>
  <si>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</si>
  <si>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</si>
  <si>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</si>
  <si>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</si>
  <si>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</si>
  <si>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</si>
  <si>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</si>
  <si>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</si>
  <si>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</si>
  <si>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</si>
  <si>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</si>
  <si>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</si>
  <si>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</si>
  <si>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</si>
  <si>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</si>
  <si>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</si>
  <si>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</si>
  <si>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</si>
  <si>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</si>
  <si>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</si>
  <si>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</si>
  <si>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</si>
  <si>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</si>
  <si>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</si>
  <si>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</si>
  <si>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</si>
  <si>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</si>
  <si>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</si>
  <si>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</si>
  <si>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</si>
  <si>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</si>
  <si>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</si>
  <si>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</si>
  <si>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</si>
  <si>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</si>
  <si>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</si>
  <si>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</si>
  <si>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</si>
  <si>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</si>
  <si>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</si>
  <si>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</si>
  <si>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</si>
  <si>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</si>
  <si>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</si>
  <si>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</si>
  <si>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</si>
  <si>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</si>
  <si>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</si>
  <si>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</si>
  <si>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</si>
  <si>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</si>
  <si>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</si>
  <si>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</si>
  <si>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</si>
  <si>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</si>
  <si>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</si>
  <si>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</si>
  <si>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</si>
  <si>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</si>
  <si>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</si>
  <si>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</si>
  <si>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</si>
  <si>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</si>
  <si>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</si>
  <si>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</si>
  <si>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</si>
  <si>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</si>
  <si>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</si>
  <si>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</si>
  <si>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</si>
  <si>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</si>
  <si>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</si>
  <si>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</si>
  <si>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</si>
  <si>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</si>
  <si>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</si>
  <si>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</si>
  <si>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</si>
  <si>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</si>
  <si>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</si>
  <si>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</si>
  <si>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</si>
  <si>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</si>
  <si>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</si>
  <si>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</si>
  <si>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</si>
  <si>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</si>
  <si>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</si>
  <si>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</si>
  <si>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</si>
  <si>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</si>
  <si>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</si>
  <si>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</si>
  <si>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</si>
  <si>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</si>
  <si>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</si>
  <si>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</si>
  <si>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</si>
  <si>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</si>
  <si>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</si>
  <si>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</si>
  <si>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</si>
  <si>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</si>
  <si>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</si>
  <si>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</si>
  <si>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</si>
  <si>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</si>
  <si>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</si>
  <si>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</si>
  <si>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</si>
  <si>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</si>
  <si>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</si>
  <si>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</si>
  <si>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</si>
  <si>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</si>
  <si>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</si>
  <si>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</si>
  <si>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</si>
  <si>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</si>
  <si>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</si>
  <si>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</si>
  <si>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</si>
  <si>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</si>
  <si>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</si>
  <si>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</si>
  <si>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</si>
  <si>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</si>
  <si>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</si>
  <si>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</si>
  <si>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</si>
  <si>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</si>
  <si>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</si>
  <si>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</si>
  <si>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</si>
  <si>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</si>
  <si>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</si>
  <si>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</si>
  <si>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</si>
  <si>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</si>
  <si>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</si>
  <si>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</si>
  <si>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</si>
  <si>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</si>
  <si>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</si>
  <si>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</si>
  <si>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</si>
  <si>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</si>
  <si>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</si>
  <si>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</si>
  <si>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</si>
  <si>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</si>
  <si>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</si>
  <si>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</si>
  <si>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</si>
  <si>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</si>
  <si>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</si>
  <si>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</si>
  <si>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</si>
  <si>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</si>
  <si>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</si>
  <si>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</si>
  <si>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</si>
  <si>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</si>
  <si>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</si>
  <si>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</si>
  <si>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</si>
  <si>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</si>
  <si>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</si>
  <si>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</si>
  <si>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</si>
  <si>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</si>
  <si>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</si>
  <si>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</si>
  <si>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</si>
  <si>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</si>
  <si>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</si>
  <si>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</si>
  <si>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</si>
  <si>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</si>
  <si>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</si>
  <si>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</si>
  <si>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</si>
  <si>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</si>
  <si>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</si>
  <si>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</si>
  <si>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</si>
  <si>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</si>
  <si>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</si>
  <si>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</si>
  <si>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</si>
  <si>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</si>
  <si>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</si>
  <si>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</si>
  <si>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</si>
  <si>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</si>
  <si>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</si>
  <si>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</si>
  <si>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</si>
  <si>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</si>
  <si>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</si>
  <si>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</si>
  <si>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</si>
  <si>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</si>
  <si>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</si>
  <si>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</si>
  <si>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</si>
  <si>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</si>
  <si>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</si>
  <si>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</si>
  <si>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</si>
  <si>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</si>
  <si>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</si>
  <si>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</si>
  <si>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</si>
  <si>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</si>
  <si>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</si>
  <si>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</si>
  <si>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</si>
  <si>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</si>
  <si>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</si>
  <si>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</si>
  <si>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</si>
  <si>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</si>
  <si>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</si>
  <si>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</si>
  <si>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</si>
  <si>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</si>
  <si>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</si>
  <si>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</si>
  <si>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</si>
  <si>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</si>
  <si>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</si>
  <si>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</si>
  <si>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</si>
  <si>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</si>
  <si>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</si>
  <si>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</si>
  <si>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</si>
  <si>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</si>
  <si>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</si>
  <si>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</si>
  <si>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</si>
  <si>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</si>
  <si>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</si>
  <si>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</si>
  <si>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</si>
  <si>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</si>
  <si>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</si>
  <si>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</si>
  <si>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</si>
  <si>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</si>
  <si>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</si>
  <si>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</si>
  <si>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</si>
  <si>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</si>
  <si>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</si>
  <si>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</si>
  <si>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</si>
  <si>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</si>
  <si>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</si>
  <si>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</si>
  <si>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</si>
  <si>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</si>
  <si>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</si>
  <si>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</si>
  <si>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</si>
  <si>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</si>
  <si>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</si>
  <si>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</si>
  <si>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</si>
  <si>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</si>
  <si>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</si>
  <si>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</si>
  <si>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</si>
  <si>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</si>
  <si>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</si>
  <si>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</si>
  <si>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</si>
  <si>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</si>
  <si>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</si>
  <si>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</si>
  <si>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</si>
  <si>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</si>
  <si>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</si>
  <si>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</si>
  <si>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</si>
  <si>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</si>
  <si>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</si>
  <si>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</si>
  <si>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</si>
  <si>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</si>
  <si>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</si>
  <si>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</si>
  <si>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</si>
  <si>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</si>
  <si>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</si>
  <si>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</si>
  <si>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</si>
  <si>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</si>
  <si>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</si>
  <si>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</si>
  <si>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</si>
  <si>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</si>
  <si>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</si>
  <si>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</si>
  <si>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</si>
  <si>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</si>
  <si>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</si>
  <si>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</si>
  <si>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</si>
  <si>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</si>
  <si>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</si>
  <si>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</si>
  <si>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</si>
  <si>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</si>
  <si>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</si>
  <si>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</si>
  <si>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</si>
  <si>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</si>
  <si>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</si>
  <si>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</si>
  <si>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</si>
  <si>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</si>
  <si>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</si>
  <si>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</si>
  <si>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</si>
  <si>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</si>
  <si>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</si>
  <si>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</si>
  <si>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</si>
  <si>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</si>
  <si>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</si>
  <si>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</si>
  <si>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</si>
  <si>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</si>
  <si>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</si>
  <si>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</si>
  <si>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</si>
  <si>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</si>
  <si>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</si>
  <si>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</si>
  <si>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</si>
  <si>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</si>
  <si>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</si>
  <si>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</si>
  <si>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</si>
  <si>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</si>
  <si>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</si>
  <si>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</si>
  <si>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</si>
  <si>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</si>
  <si>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</si>
  <si>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</si>
  <si>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</si>
  <si>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</si>
  <si>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</si>
  <si>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</si>
  <si>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</si>
  <si>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</si>
  <si>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</si>
  <si>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</si>
  <si>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</si>
  <si>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</si>
  <si>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</si>
  <si>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</si>
  <si>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</si>
  <si>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</si>
  <si>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</si>
  <si>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</si>
  <si>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</si>
  <si>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</si>
  <si>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</si>
  <si>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</si>
  <si>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</si>
  <si>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</si>
  <si>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</si>
  <si>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</si>
  <si>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</si>
  <si>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</si>
  <si>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</si>
  <si>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</si>
  <si>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</si>
  <si>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</si>
  <si>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</si>
  <si>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</si>
  <si>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</si>
  <si>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</si>
  <si>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</si>
  <si>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</si>
  <si>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</si>
  <si>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</si>
  <si>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</si>
  <si>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</si>
  <si>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</si>
  <si>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</si>
  <si>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</si>
  <si>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</si>
  <si>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</si>
  <si>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</si>
  <si>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</si>
  <si>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</si>
  <si>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</si>
  <si>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</si>
  <si>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</si>
  <si>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</si>
  <si>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</si>
  <si>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</si>
  <si>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</si>
  <si>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</si>
  <si>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</si>
  <si>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</si>
  <si>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</si>
  <si>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</si>
  <si>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</si>
  <si>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</si>
  <si>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</si>
  <si>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</si>
  <si>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</si>
  <si>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</si>
  <si>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</si>
  <si>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</si>
  <si>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</si>
  <si>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</si>
  <si>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</si>
  <si>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</si>
  <si>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</si>
  <si>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</si>
  <si>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</si>
  <si>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</si>
  <si>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</si>
  <si>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</si>
  <si>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</si>
  <si>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</si>
  <si>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</si>
  <si>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</si>
  <si>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</si>
  <si>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</si>
  <si>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</si>
  <si>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</si>
  <si>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</si>
  <si>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</si>
  <si>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</si>
  <si>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</si>
  <si>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</si>
  <si>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</si>
  <si>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</si>
  <si>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</si>
  <si>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</si>
  <si>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</si>
  <si>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</si>
  <si>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</si>
  <si>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</si>
  <si>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</si>
  <si>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</si>
  <si>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</si>
  <si>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</si>
  <si>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</si>
  <si>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</si>
  <si>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</si>
  <si>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</si>
  <si>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</si>
  <si>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</si>
  <si>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</si>
  <si>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</si>
  <si>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</si>
  <si>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</si>
  <si>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</si>
  <si>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</si>
  <si>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</si>
  <si>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</si>
  <si>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</si>
  <si>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</si>
  <si>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</si>
  <si>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</si>
  <si>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</si>
  <si>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</si>
  <si>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</si>
  <si>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</si>
  <si>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</si>
  <si>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</si>
  <si>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</si>
  <si>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</si>
  <si>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</si>
  <si>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</si>
  <si>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</si>
  <si>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</si>
  <si>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</si>
  <si>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</si>
  <si>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</si>
  <si>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</si>
  <si>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</si>
  <si>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</si>
  <si>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</si>
  <si>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</si>
  <si>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</si>
  <si>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</si>
  <si>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</si>
  <si>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</si>
  <si>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</si>
  <si>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</si>
  <si>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</si>
  <si>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</si>
  <si>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</si>
  <si>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</si>
  <si>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</si>
  <si>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</si>
  <si>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</si>
  <si>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</si>
  <si>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</si>
  <si>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</si>
  <si>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</si>
  <si>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</si>
  <si>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</si>
  <si>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</si>
  <si>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</si>
  <si>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</si>
  <si>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</si>
  <si>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</si>
  <si>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</si>
  <si>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</si>
  <si>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</si>
  <si>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</si>
  <si>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</si>
  <si>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</si>
  <si>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</si>
  <si>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</si>
  <si>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</si>
  <si>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</si>
  <si>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</si>
  <si>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</si>
  <si>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</si>
  <si>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</si>
  <si>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</si>
  <si>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</si>
  <si>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</si>
  <si>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</si>
  <si>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</si>
  <si>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</si>
  <si>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</si>
  <si>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</si>
  <si>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</si>
  <si>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</si>
  <si>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</si>
  <si>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</si>
  <si>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</si>
  <si>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</si>
  <si>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</si>
  <si>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</si>
  <si>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</si>
  <si>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</si>
  <si>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</si>
  <si>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</si>
  <si>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</si>
  <si>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</si>
  <si>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</si>
  <si>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</si>
  <si>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</si>
  <si>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</si>
  <si>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</si>
  <si>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</si>
  <si>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</si>
  <si>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</si>
  <si>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</si>
  <si>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</si>
  <si>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</si>
  <si>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</si>
  <si>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</si>
  <si>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</si>
  <si>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</si>
  <si>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</si>
  <si>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</si>
  <si>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</si>
  <si>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</si>
  <si>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</si>
  <si>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</si>
  <si>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</si>
  <si>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</si>
  <si>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</si>
  <si>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</si>
  <si>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</si>
  <si>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</si>
  <si>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</si>
  <si>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</si>
  <si>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</si>
  <si>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</si>
  <si>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</si>
  <si>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</si>
  <si>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</si>
  <si>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</si>
  <si>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</si>
  <si>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</si>
  <si>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</si>
  <si>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</si>
  <si>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</si>
  <si>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</si>
  <si>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</si>
  <si>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</si>
  <si>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</si>
  <si>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</si>
  <si>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</si>
  <si>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</si>
  <si>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</si>
  <si>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</si>
  <si>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</si>
  <si>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</si>
  <si>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</si>
  <si>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</si>
  <si>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</si>
  <si>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</si>
  <si>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</si>
  <si>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</si>
  <si>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</si>
  <si>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</si>
  <si>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</si>
  <si>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</si>
  <si>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</si>
  <si>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</si>
  <si>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</si>
  <si>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</si>
  <si>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</si>
  <si>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</si>
  <si>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</si>
  <si>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</si>
  <si>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</si>
  <si>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</si>
  <si>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</si>
  <si>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</si>
  <si>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</si>
  <si>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</si>
  <si>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</si>
  <si>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</si>
  <si>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</si>
  <si>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</si>
  <si>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</si>
  <si>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</si>
  <si>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</si>
  <si>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</si>
  <si>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</si>
  <si>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</si>
  <si>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</si>
  <si>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</si>
  <si>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</si>
  <si>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</si>
  <si>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</si>
  <si>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</si>
  <si>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</si>
  <si>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</si>
  <si>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</si>
  <si>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</si>
  <si>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</si>
  <si>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</si>
  <si>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</si>
  <si>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</si>
  <si>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</si>
  <si>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</si>
  <si>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</si>
  <si>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</si>
  <si>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</si>
  <si>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</si>
  <si>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</si>
  <si>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</si>
  <si>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</si>
  <si>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</si>
  <si>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</si>
  <si>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</si>
  <si>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</si>
  <si>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</si>
  <si>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</si>
  <si>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</si>
  <si>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</si>
  <si>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</si>
  <si>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</si>
  <si>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</si>
  <si>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</si>
  <si>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</si>
  <si>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</si>
  <si>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</si>
  <si>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</si>
  <si>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</si>
  <si>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</si>
  <si>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</si>
  <si>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</si>
  <si>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</si>
  <si>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</si>
  <si>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</si>
  <si>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</si>
  <si>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</si>
  <si>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</si>
  <si>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</si>
  <si>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</si>
  <si>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</si>
  <si>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</si>
  <si>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</si>
  <si>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</si>
  <si>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</si>
  <si>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</si>
  <si>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</si>
  <si>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</si>
  <si>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</si>
  <si>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</si>
  <si>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</si>
  <si>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</si>
  <si>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</si>
  <si>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</si>
  <si>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</si>
  <si>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</si>
  <si>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</si>
  <si>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</si>
  <si>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</si>
  <si>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</si>
  <si>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</si>
  <si>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</si>
  <si>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</si>
  <si>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</si>
  <si>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</si>
  <si>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</si>
  <si>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</si>
  <si>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</si>
  <si>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</si>
  <si>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</si>
  <si>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</si>
  <si>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</si>
  <si>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</si>
  <si>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</si>
  <si>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</si>
  <si>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</si>
  <si>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</si>
  <si>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</si>
  <si>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</si>
  <si>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</si>
  <si>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</si>
  <si>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</si>
  <si>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</si>
  <si>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</si>
  <si>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</si>
  <si>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</si>
  <si>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</si>
  <si>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</si>
  <si>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</si>
  <si>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</si>
  <si>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</si>
  <si>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</si>
  <si>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</si>
  <si>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</si>
  <si>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</si>
  <si>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</si>
  <si>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</si>
  <si>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</si>
  <si>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</si>
  <si>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</si>
  <si>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</si>
  <si>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</si>
  <si>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</si>
  <si>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</si>
  <si>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</si>
  <si>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</si>
  <si>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</si>
  <si>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</si>
  <si>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</si>
  <si>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</si>
  <si>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</si>
  <si>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</si>
  <si>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</si>
  <si>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</si>
  <si>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</si>
  <si>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</si>
  <si>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</si>
  <si>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</si>
  <si>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</si>
  <si>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</si>
  <si>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</si>
  <si>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</si>
  <si>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</si>
  <si>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</si>
  <si>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</si>
  <si>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</si>
  <si>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</si>
  <si>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</si>
  <si>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</si>
  <si>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</si>
  <si>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</si>
  <si>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</si>
  <si>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</si>
  <si>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</si>
  <si>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</si>
  <si>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</si>
  <si>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</si>
  <si>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</si>
  <si>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</si>
  <si>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</si>
  <si>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</si>
  <si>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</si>
  <si>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</si>
  <si>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</si>
  <si>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</si>
  <si>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</si>
  <si>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</si>
  <si>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</si>
  <si>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</si>
  <si>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</si>
  <si>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</si>
  <si>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</si>
  <si>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</si>
  <si>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</si>
  <si>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</si>
  <si>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</si>
  <si>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</si>
  <si>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</si>
  <si>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</si>
  <si>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</si>
  <si>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</si>
  <si>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</si>
  <si>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</si>
  <si>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</si>
  <si>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</si>
  <si>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</si>
  <si>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</si>
  <si>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</si>
  <si>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</si>
  <si>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</si>
  <si>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</si>
  <si>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</si>
  <si>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</si>
  <si>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</si>
  <si>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</si>
  <si>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</si>
  <si>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</si>
  <si>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</si>
  <si>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</si>
  <si>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</si>
  <si>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successful</t>
  </si>
  <si>
    <t>median successful</t>
  </si>
  <si>
    <t>min successful</t>
  </si>
  <si>
    <t>max successful</t>
  </si>
  <si>
    <t>variance successful</t>
  </si>
  <si>
    <t>std div successful</t>
  </si>
  <si>
    <t>mean failed</t>
  </si>
  <si>
    <t>median failed</t>
  </si>
  <si>
    <t>min failed</t>
  </si>
  <si>
    <t>max failed</t>
  </si>
  <si>
    <t>variance failed</t>
  </si>
  <si>
    <t>std div 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</si>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</sst>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2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468339438071647E-2"/>
          <c:y val="5.5555555555555552E-2"/>
          <c:w val="0.72190577500932163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F045-8395-0A7A6C9E8B78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0-F045-8395-0A7A6C9E8B78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10-F045-8395-0A7A6C9E8B78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10-F045-8395-0A7A6C9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41968"/>
        <c:axId val="223251024"/>
      </c:barChart>
      <c:catAx>
        <c:axId val="2233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1024"/>
        <c:crosses val="autoZero"/>
        <c:auto val="1"/>
        <c:lblAlgn val="ctr"/>
        <c:lblOffset val="100"/>
        <c:noMultiLvlLbl val="0"/>
      </c:catAx>
      <c:valAx>
        <c:axId val="2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4448634753209201E-3"/>
              <c:y val="-4.6339781765857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20067323202936E-3"/>
              <c:y val="2.415697403306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638553950635412E-3"/>
              <c:y val="6.52937101136469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8396728121800489E-2"/>
              <c:y val="-3.72876613773532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D1C-4642-8740-1A5164CF47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1C-4642-8740-1A5164CF47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D1C-4642-8740-1A5164CF47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1C-4642-8740-1A5164CF470D}"/>
              </c:ext>
            </c:extLst>
          </c:dPt>
          <c:dLbls>
            <c:dLbl>
              <c:idx val="0"/>
              <c:layout>
                <c:manualLayout>
                  <c:x val="-9.6220067323202936E-3"/>
                  <c:y val="2.41569740330682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1C-4642-8740-1A5164CF470D}"/>
                </c:ext>
              </c:extLst>
            </c:dLbl>
            <c:dLbl>
              <c:idx val="1"/>
              <c:layout>
                <c:manualLayout>
                  <c:x val="9.1638553950635412E-3"/>
                  <c:y val="6.529371011364696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1C-4642-8740-1A5164CF470D}"/>
                </c:ext>
              </c:extLst>
            </c:dLbl>
            <c:dLbl>
              <c:idx val="4"/>
              <c:layout>
                <c:manualLayout>
                  <c:x val="2.8396728121800489E-2"/>
                  <c:y val="-3.72876613773532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D1C-4642-8740-1A5164CF470D}"/>
                </c:ext>
              </c:extLst>
            </c:dLbl>
            <c:dLbl>
              <c:idx val="8"/>
              <c:layout>
                <c:manualLayout>
                  <c:x val="8.4448634753209201E-3"/>
                  <c:y val="-4.6339781765857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1C-4642-8740-1A5164CF47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C-4642-8740-1A5164CF470D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C-4642-8740-1A5164CF470D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C-4642-8740-1A5164CF470D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1C-4642-8740-1A5164CF470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9442-8C30-DF84389A799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7-9442-8C30-DF84389A799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7-9442-8C30-DF84389A799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7-9442-8C30-DF84389A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29919"/>
        <c:axId val="94019343"/>
      </c:barChart>
      <c:catAx>
        <c:axId val="94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343"/>
        <c:crosses val="autoZero"/>
        <c:auto val="1"/>
        <c:lblAlgn val="ctr"/>
        <c:lblOffset val="100"/>
        <c:noMultiLvlLbl val="0"/>
      </c:catAx>
      <c:valAx>
        <c:axId val="940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235212718753997E-2"/>
          <c:y val="2.0380406994580224E-2"/>
          <c:w val="0.7910424234220006"/>
          <c:h val="0.873104758009145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1147-A4FF-533F7C008A35}"/>
            </c:ext>
          </c:extLst>
        </c:ser>
        <c:ser>
          <c:idx val="1"/>
          <c:order val="1"/>
          <c:tx>
            <c:strRef>
              <c:f>pivotTable3!$C$5:$C$6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5-1147-A4FF-533F7C008A35}"/>
            </c:ext>
          </c:extLst>
        </c:ser>
        <c:ser>
          <c:idx val="2"/>
          <c:order val="2"/>
          <c:tx>
            <c:strRef>
              <c:f>pivotTable3!$D$5:$D$6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1147-A4FF-533F7C0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74207"/>
        <c:axId val="261186799"/>
      </c:lineChart>
      <c:catAx>
        <c:axId val="25177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86799"/>
        <c:crosses val="autoZero"/>
        <c:auto val="1"/>
        <c:lblAlgn val="ctr"/>
        <c:lblOffset val="100"/>
        <c:noMultiLvlLbl val="0"/>
      </c:catAx>
      <c:valAx>
        <c:axId val="2611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7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countifSheet!$F$1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6-B34C-836C-B20E24B076FC}"/>
            </c:ext>
          </c:extLst>
        </c:ser>
        <c:ser>
          <c:idx val="1"/>
          <c:order val="1"/>
          <c:tx>
            <c:strRef>
              <c:f>countifSheet!$G$1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6-B34C-836C-B20E24B076FC}"/>
            </c:ext>
          </c:extLst>
        </c:ser>
        <c:ser>
          <c:idx val="2"/>
          <c:order val="2"/>
          <c:tx>
            <c:strRef>
              <c:f>countifSheet!$H$1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6-B34C-836C-B20E24B0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344496"/>
        <c:axId val="429097456"/>
      </c:lineChart>
      <c:catAx>
        <c:axId val="4293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97456"/>
        <c:crosses val="autoZero"/>
        <c:auto val="1"/>
        <c:lblAlgn val="ctr"/>
        <c:lblOffset val="100"/>
        <c:noMultiLvlLbl val="0"/>
      </c:catAx>
      <c:valAx>
        <c:axId val="429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171450</xdr:rowOff>
    </xdr:from>
    <xdr:to>
      <xdr:col>13</xdr:col>
      <xdr:colOff>670560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815308-F341-C43E-8A6D-FD781B88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20</xdr:row>
      <xdr:rowOff>66040</xdr:rowOff>
    </xdr:from>
    <xdr:to>
      <xdr:col>13</xdr:col>
      <xdr:colOff>568960</xdr:colOff>
      <xdr:row>35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804F4C-122A-6C17-4819-91036120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114300</xdr:rowOff>
    </xdr:from>
    <xdr:to>
      <xdr:col>17</xdr:col>
      <xdr:colOff>304800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4B4AF-AE33-E518-1855-59C38151C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3</xdr:row>
      <xdr:rowOff>95250</xdr:rowOff>
    </xdr:from>
    <xdr:to>
      <xdr:col>15</xdr:col>
      <xdr:colOff>330200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AFC8A-2E79-4123-E284-915A63DB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107950</xdr:rowOff>
    </xdr:from>
    <xdr:to>
      <xdr:col>8</xdr:col>
      <xdr:colOff>254000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2CA9F-85E0-100C-09B9-10FEFCCCB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Pino" refreshedDate="44972.982355208333" createdVersion="8" refreshedVersion="8" minRefreshableVersion="3" recordCount="1001" xr:uid="{40CF6E8F-5BC7-5444-B1AD-B99F82E8AE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0D2C0-DE2F-A24C-B675-C4506A096D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EE5B-26DE-4D4C-84CA-DA678DF26CC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ACBE4-75D9-BE43-8069-CBECDD42297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S1" sqref="S1:S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6.6640625" customWidth="1"/>
    <col min="8" max="8" width="13" bestFit="1" customWidth="1"/>
    <col min="9" max="9" width="17" customWidth="1"/>
    <col min="12" max="12" width="11.1640625" bestFit="1" customWidth="1"/>
    <col min="13" max="13" width="21.33203125" customWidth="1"/>
    <col min="14" max="14" width="11.1640625" bestFit="1" customWidth="1"/>
    <col min="15" max="15" width="22" customWidth="1"/>
    <col min="18" max="18" width="28" bestFit="1" customWidth="1"/>
    <col min="19" max="20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0"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 t="shared" ref="I4:I67" si="2">IF(H4=0,0,ROUND(E4/H4,2))</f>
        <v>100.02</v>
      </c>
      <c r="J4" t="s">
        <v>26</v>
      </c>
      <c r="K4" t="s">
        <v>27</v>
      </c>
      <c r="L4">
        <v>1384668000</v>
      </c>
      <c r="M4" s="7">
        <f t="shared" si="0"/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E6/D6</f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7">
        <f t="shared" si="0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>
        <f t="shared" ref="I68:I131" si="6">IF(H68=0,0,ROUND(E68/H68,2))</f>
        <v>108.92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E70/D70</f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ref="M131:M194" si="8">(((L131/60)/60)/24)+DATE(1970,1,1)</f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>
        <f t="shared" ref="I132:I195" si="10">IF(H132=0,0,ROUND(E132/H132,2))</f>
        <v>28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E134/D134</f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ref="M195:M258" si="12">(((L195/60)/60)/24)+DATE(1970,1,1)</f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>
        <f t="shared" ref="I196:I259" si="14">IF(H196=0,0,ROUND(E196/H196,2))</f>
        <v>69.17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E198/D198</f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ref="M259:M322" si="16">(((L259/60)/60)/24)+DATE(1970,1,1)</f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>
        <f t="shared" ref="I260:I323" si="18">IF(H260=0,0,ROUND(E260/H260,2))</f>
        <v>72.17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E262/D262</f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ref="M323:M386" si="20">(((L323/60)/60)/24)+DATE(1970,1,1)</f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>
        <f t="shared" ref="I324:I387" si="22">IF(H324=0,0,ROUND(E324/H324,2))</f>
        <v>38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E326/D326</f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ref="M387:M450" si="24">(((L387/60)/60)/24)+DATE(1970,1,1)</f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>
        <f t="shared" ref="I388:I451" si="26">IF(H388=0,0,ROUND(E388/H388,2))</f>
        <v>96.96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E390/D390</f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ref="M451:M514" si="28">(((L451/60)/60)/24)+DATE(1970,1,1)</f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>
        <f t="shared" ref="I452:I515" si="30">IF(H452=0,0,ROUND(E452/H452,2))</f>
        <v>4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E454/D454</f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ref="M515:M578" si="32">(((L515/60)/60)/24)+DATE(1970,1,1)</f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>
        <f t="shared" ref="I516:I579" si="34">IF(H516=0,0,ROUND(E516/H516,2))</f>
        <v>58.95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E518/D518</f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ref="M579:M642" si="36">(((L579/60)/60)/24)+DATE(1970,1,1)</f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>
        <f t="shared" ref="I580:I643" si="38">IF(H580=0,0,ROUND(E580/H580,2))</f>
        <v>65.989999999999995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E582/D582</f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ref="M643:M706" si="40">(((L643/60)/60)/24)+DATE(1970,1,1)</f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>
        <f t="shared" ref="I644:I707" si="42">IF(H644=0,0,ROUND(E644/H644,2))</f>
        <v>103.74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E646/D646</f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ref="M707:M770" si="44">(((L707/60)/60)/24)+DATE(1970,1,1)</f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>
        <f t="shared" ref="I708:I771" si="46">IF(H708=0,0,ROUND(E708/H708,2))</f>
        <v>103.04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E710/D710</f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ref="M771:M834" si="48">(((L771/60)/60)/24)+DATE(1970,1,1)</f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>
        <f t="shared" ref="I772:I835" si="50">IF(H772=0,0,ROUND(E772/H772,2))</f>
        <v>53.9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E774/D774</f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2">(((L835/60)/60)/24)+DATE(1970,1,1)</f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>
        <f t="shared" ref="I836:I899" si="54">IF(H836=0,0,ROUND(E836/H836,2))</f>
        <v>94.35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E838/D838</f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ref="M899:M962" si="56">(((L899/60)/60)/24)+DATE(1970,1,1)</f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>
        <f t="shared" ref="I900:I963" si="58">IF(H900=0,0,ROUND(E900/H900,2))</f>
        <v>76.98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E902/D902</f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ref="M963:M1001" si="60">(((L963/60)/60)/24)+DATE(1970,1,1)</f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>
        <f t="shared" ref="I964:I1001" si="62">IF(H964=0,0,ROUND(E964/H964,2))</f>
        <v>40.06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E966/D966</f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0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R1:R1001" xr:uid="{00000000-0001-0000-0000-000000000000}"/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D5EC-C3DB-2E45-AAA1-7FFE142861BF}">
  <dimension ref="A1:P17"/>
  <sheetViews>
    <sheetView tabSelected="1" zoomScale="125" workbookViewId="0">
      <selection activeCell="O21" sqref="O21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7" spans="16:16" x14ac:dyDescent="0.2">
      <c r="P17" t="s">
        <v>2118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978-E407-4945-B2CE-8BD292E1F950}">
  <dimension ref="A1:F30"/>
  <sheetViews>
    <sheetView workbookViewId="0">
      <selection activeCell="J38" sqref="J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ED0-EA08-2F4C-AA29-C768D4C3477E}">
  <dimension ref="A2:E19"/>
  <sheetViews>
    <sheetView workbookViewId="0">
      <selection activeCell="O28" sqref="O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5" t="s">
        <v>2031</v>
      </c>
      <c r="B2" t="s">
        <v>2066</v>
      </c>
    </row>
    <row r="3" spans="1:5" x14ac:dyDescent="0.2">
      <c r="A3" s="5" t="s">
        <v>2085</v>
      </c>
      <c r="B3" t="s">
        <v>2066</v>
      </c>
    </row>
    <row r="5" spans="1:5" x14ac:dyDescent="0.2">
      <c r="A5" s="5" t="s">
        <v>2069</v>
      </c>
      <c r="B5" s="5" t="s">
        <v>2070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F8C-DF1C-1348-8141-F417131FE24B}">
  <dimension ref="A1:H13"/>
  <sheetViews>
    <sheetView workbookViewId="0">
      <selection activeCell="J25" sqref="J25"/>
    </sheetView>
  </sheetViews>
  <sheetFormatPr baseColWidth="10" defaultRowHeight="16" x14ac:dyDescent="0.2"/>
  <cols>
    <col min="1" max="1" width="26.6640625" customWidth="1"/>
    <col min="2" max="2" width="17.1640625" customWidth="1"/>
    <col min="3" max="3" width="14.6640625" customWidth="1"/>
    <col min="4" max="4" width="17" customWidth="1"/>
    <col min="5" max="5" width="14.6640625" customWidth="1"/>
    <col min="6" max="6" width="20.6640625" style="4" customWidth="1"/>
    <col min="7" max="7" width="17.33203125" style="4" customWidth="1"/>
    <col min="8" max="8" width="19.1640625" style="4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4">
        <f>ROUND(B2/E2,2)</f>
        <v>0.59</v>
      </c>
      <c r="G2" s="4">
        <f>ROUND(C2/E2,2)</f>
        <v>0.39</v>
      </c>
      <c r="H2" s="4">
        <f>ROUND(D2/E2, 2)</f>
        <v>0.02</v>
      </c>
    </row>
    <row r="3" spans="1:8" x14ac:dyDescent="0.2">
      <c r="A3" t="s">
        <v>2095</v>
      </c>
      <c r="B3">
        <f>COUNTIFS(crowdFunding!G:G, "successful", crowdFunding!D:D, "&gt;=1000", crowdFunding!D:D, "&lt;=4999")</f>
        <v>191</v>
      </c>
      <c r="C3">
        <f>COUNTIFS(crowdFunding!G:G, "failed", crowdFunding!D:D, "&gt;=1000",crowdFunding!D:D,"&lt;=4999")</f>
        <v>38</v>
      </c>
      <c r="D3">
        <f>COUNTIFS(crowdFunding!G:G, "canceled", crowdFunding!D:D, "&gt;=1000",crowdFunding!D:D,"&lt;=4999")</f>
        <v>2</v>
      </c>
      <c r="E3">
        <f>SUM(B3:D3)</f>
        <v>231</v>
      </c>
      <c r="F3" s="4">
        <f t="shared" ref="F3:F13" si="0">ROUND(B3/E3,2)</f>
        <v>0.83</v>
      </c>
      <c r="G3" s="4">
        <f t="shared" ref="G3:G13" si="1">ROUND(C3/E3,2)</f>
        <v>0.16</v>
      </c>
      <c r="H3" s="4">
        <f t="shared" ref="H3:H13" si="2">ROUND(D3/E3, 2)</f>
        <v>0.01</v>
      </c>
    </row>
    <row r="4" spans="1:8" x14ac:dyDescent="0.2">
      <c r="A4" t="s">
        <v>2096</v>
      </c>
      <c r="B4">
        <f>COUNTIFS(crowdFunding!G:G, "successful", crowdFunding!D:D, "&gt;=5000",crowdFunding!D:D,"&lt;=9999")</f>
        <v>164</v>
      </c>
      <c r="C4">
        <f>COUNTIFS(crowdFunding!G:G, "failed", crowdFunding!D:D, "&gt;=5000",crowdFunding!D:D,"&lt;=9999")</f>
        <v>126</v>
      </c>
      <c r="D4">
        <f>COUNTIFS(crowdFunding!G:G, "canceled", crowdFunding!D:D, "&gt;=5000",crowdFunding!D:D,"&lt;=9999")</f>
        <v>25</v>
      </c>
      <c r="E4">
        <f>SUM(B4:D4)</f>
        <v>315</v>
      </c>
      <c r="F4" s="4">
        <f t="shared" si="0"/>
        <v>0.52</v>
      </c>
      <c r="G4" s="4">
        <f t="shared" si="1"/>
        <v>0.4</v>
      </c>
      <c r="H4" s="4">
        <f t="shared" si="2"/>
        <v>0.08</v>
      </c>
    </row>
    <row r="5" spans="1:8" x14ac:dyDescent="0.2">
      <c r="A5" t="s">
        <v>2097</v>
      </c>
      <c r="B5">
        <f>COUNTIFS(crowdFunding!G:G, "successful", crowdFunding!D:D, "&gt;=10000",crowdFunding!D:D,"&lt;=14999")</f>
        <v>4</v>
      </c>
      <c r="C5">
        <f>COUNTIFS(crowdFunding!G:G, "failed", crowdFunding!D:D, "&gt;=10000",crowdFunding!D:D,"&lt;=14999")</f>
        <v>5</v>
      </c>
      <c r="D5">
        <f>COUNTIFS(crowdFunding!G:G, "canceled", crowdFunding!D:D, "&gt;=10000",crowdFunding!D:D,"&lt;=14999")</f>
        <v>0</v>
      </c>
      <c r="E5">
        <f t="shared" ref="E5:E13" si="3">SUM(B5:D5)</f>
        <v>9</v>
      </c>
      <c r="F5" s="4">
        <f t="shared" si="0"/>
        <v>0.44</v>
      </c>
      <c r="G5" s="4">
        <f t="shared" si="1"/>
        <v>0.56000000000000005</v>
      </c>
      <c r="H5" s="4">
        <f t="shared" si="2"/>
        <v>0</v>
      </c>
    </row>
    <row r="6" spans="1:8" x14ac:dyDescent="0.2">
      <c r="A6" t="s">
        <v>2098</v>
      </c>
      <c r="B6">
        <f>COUNTIFS(crowdFunding!G:G, "successful", crowdFunding!D:D, "&gt;=15000",crowdFunding!D:D,"&lt;=19999")</f>
        <v>10</v>
      </c>
      <c r="C6">
        <f>COUNTIFS(crowdFunding!G:G, "failed", crowdFunding!D:D, "&gt;=15000",crowdFunding!D:D,"&lt;=19999")</f>
        <v>0</v>
      </c>
      <c r="D6">
        <f>COUNTIFS(crowdFunding!G:G, "canceled", crowdFunding!D:D, "&gt;=15000",crowdFunding!D:D,"&lt;=19999")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">
      <c r="A7" t="s">
        <v>2099</v>
      </c>
      <c r="B7">
        <f>COUNTIFS(crowdFunding!G:G, "successful", crowdFunding!D:D, "&gt;=20000",crowdFunding!D:D,"&lt;=24999")</f>
        <v>7</v>
      </c>
      <c r="C7">
        <f>COUNTIFS(crowdFunding!G:G, "failed", crowdFunding!D:D, "&gt;=20000",crowdFunding!D:D,"&lt;=24999")</f>
        <v>0</v>
      </c>
      <c r="D7">
        <f>COUNTIFS(crowdFunding!G:G, "canceled", crowdFunding!D:D, "&gt;=20000",crowdFunding!D:D,"&lt;=24999")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2100</v>
      </c>
      <c r="B8">
        <f>COUNTIFS(crowdFunding!G:G, "successful", crowdFunding!D:D, "&gt;=25000",crowdFunding!D:D,"&lt;=29999")</f>
        <v>11</v>
      </c>
      <c r="C8">
        <f>COUNTIFS(crowdFunding!G:G, "failed", crowdFunding!D:D, "&gt;=25000",crowdFunding!D:D,"&lt;=29999")</f>
        <v>3</v>
      </c>
      <c r="D8">
        <f>COUNTIFS(crowdFunding!G:G, "canceled", crowdFunding!D:D, "&gt;=25000",crowdFunding!D:D,"&lt;=29999")</f>
        <v>0</v>
      </c>
      <c r="E8">
        <f t="shared" si="3"/>
        <v>14</v>
      </c>
      <c r="F8" s="4">
        <f t="shared" si="0"/>
        <v>0.79</v>
      </c>
      <c r="G8" s="4">
        <f t="shared" si="1"/>
        <v>0.21</v>
      </c>
      <c r="H8" s="4">
        <f t="shared" si="2"/>
        <v>0</v>
      </c>
    </row>
    <row r="9" spans="1:8" x14ac:dyDescent="0.2">
      <c r="A9" t="s">
        <v>2101</v>
      </c>
      <c r="B9">
        <f>COUNTIFS(crowdFunding!G:G, "successful", crowdFunding!D:D, "&gt;=30000",crowdFunding!D:D,"&lt;=34999")</f>
        <v>7</v>
      </c>
      <c r="C9">
        <f>COUNTIFS(crowdFunding!G:G, "failed", crowdFunding!D:D, "&gt;=30000",crowdFunding!D:D,"&lt;=34999")</f>
        <v>0</v>
      </c>
      <c r="D9">
        <f>COUNTIFS(crowdFunding!G:G, "canceled", crowdFunding!D:D, "&gt;=30000",crowdFunding!D:D,"&lt;=34999")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">
      <c r="A10" t="s">
        <v>2102</v>
      </c>
      <c r="B10">
        <f>COUNTIFS(crowdFunding!G:G, "successful", crowdFunding!D:D, "&gt;=35000",crowdFunding!D:D,"&lt;=39999")</f>
        <v>8</v>
      </c>
      <c r="C10">
        <f>COUNTIFS(crowdFunding!G:G, "failed", crowdFunding!D:D, "&gt;=35000",crowdFunding!D:D,"&lt;=39999")</f>
        <v>3</v>
      </c>
      <c r="D10">
        <f>COUNTIFS(crowdFunding!G:G, "canceled", crowdFunding!D:D, "&gt;=35000",crowdFunding!D:D,"&lt;=39999")</f>
        <v>1</v>
      </c>
      <c r="E10">
        <f t="shared" si="3"/>
        <v>12</v>
      </c>
      <c r="F10" s="4">
        <f t="shared" si="0"/>
        <v>0.67</v>
      </c>
      <c r="G10" s="4">
        <f t="shared" si="1"/>
        <v>0.25</v>
      </c>
      <c r="H10" s="4">
        <f t="shared" si="2"/>
        <v>0.08</v>
      </c>
    </row>
    <row r="11" spans="1:8" x14ac:dyDescent="0.2">
      <c r="A11" t="s">
        <v>2103</v>
      </c>
      <c r="B11">
        <f>COUNTIFS(crowdFunding!G:G, "successful", crowdFunding!D:D, "&gt;=40000",crowdFunding!D:D,"&lt;=44999")</f>
        <v>11</v>
      </c>
      <c r="C11">
        <f>COUNTIFS(crowdFunding!G:G, "failed", crowdFunding!D:D, "&gt;=40000",crowdFunding!D:D,"&lt;=45999")</f>
        <v>3</v>
      </c>
      <c r="D11">
        <f>COUNTIFS(crowdFunding!G:G, "canceled", crowdFunding!D:D, "&gt;=40000",crowdFunding!D:D,"&lt;=45999")</f>
        <v>0</v>
      </c>
      <c r="E11">
        <f t="shared" si="3"/>
        <v>14</v>
      </c>
      <c r="F11" s="4">
        <f t="shared" si="0"/>
        <v>0.79</v>
      </c>
      <c r="G11" s="4">
        <f t="shared" si="1"/>
        <v>0.21</v>
      </c>
      <c r="H11" s="4">
        <f t="shared" si="2"/>
        <v>0</v>
      </c>
    </row>
    <row r="12" spans="1:8" x14ac:dyDescent="0.2">
      <c r="A12" t="s">
        <v>2104</v>
      </c>
      <c r="B12">
        <f>COUNTIFS(crowdFunding!G:G, "successful", crowdFunding!D:D, "&gt;=45000",crowdFunding!D:D,"&lt;=49999")</f>
        <v>8</v>
      </c>
      <c r="C12">
        <f>COUNTIFS(crowdFunding!G:G, "failed", crowdFunding!D:D, "&gt;=45000",crowdFunding!D:D,"&lt;=49999")</f>
        <v>3</v>
      </c>
      <c r="D12">
        <f>COUNTIFS(crowdFunding!G:G, "canceled", crowdFunding!D:D, "&gt;=45000",crowdFunding!D:D,"&lt;=49999")</f>
        <v>0</v>
      </c>
      <c r="E12">
        <f t="shared" si="3"/>
        <v>11</v>
      </c>
      <c r="F12" s="4">
        <f t="shared" si="0"/>
        <v>0.73</v>
      </c>
      <c r="G12" s="4">
        <f t="shared" si="1"/>
        <v>0.27</v>
      </c>
      <c r="H12" s="4">
        <f t="shared" si="2"/>
        <v>0</v>
      </c>
    </row>
    <row r="13" spans="1:8" x14ac:dyDescent="0.2">
      <c r="A13" t="s">
        <v>2105</v>
      </c>
      <c r="B13">
        <f>COUNTIFS(crowdFunding!G:G, "successful", crowdFunding!D:D, "&gt;=50000")</f>
        <v>114</v>
      </c>
      <c r="C13">
        <f>COUNTIFS(crowdFunding!G:G,"failed",crowdFunding!D:D,"&gt;=50000")</f>
        <v>163</v>
      </c>
      <c r="D13">
        <f>COUNTIFS(crowdFunding!G:G, "canceled", crowdFunding!D:D, "&gt;=50000")</f>
        <v>28</v>
      </c>
      <c r="E13">
        <f t="shared" si="3"/>
        <v>305</v>
      </c>
      <c r="F13" s="4">
        <f t="shared" si="0"/>
        <v>0.37</v>
      </c>
      <c r="G13" s="4">
        <f t="shared" si="1"/>
        <v>0.53</v>
      </c>
      <c r="H13" s="4">
        <f t="shared" si="2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046-D12F-D24F-A2D8-5DEDC1E843CF}">
  <dimension ref="A1:K566"/>
  <sheetViews>
    <sheetView workbookViewId="0">
      <selection activeCell="H18" sqref="H18"/>
    </sheetView>
  </sheetViews>
  <sheetFormatPr baseColWidth="10" defaultRowHeight="16" x14ac:dyDescent="0.2"/>
  <cols>
    <col min="2" max="2" width="15.6640625" customWidth="1"/>
    <col min="5" max="5" width="13.83203125" customWidth="1"/>
    <col min="7" max="7" width="17.1640625" customWidth="1"/>
    <col min="8" max="8" width="13.1640625" customWidth="1"/>
    <col min="10" max="10" width="15" customWidth="1"/>
    <col min="11" max="11" width="18.83203125" customWidth="1"/>
  </cols>
  <sheetData>
    <row r="1" spans="1:11" s="1" customFormat="1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ht="17" thickBot="1" x14ac:dyDescent="0.25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s="11" t="s">
        <v>2106</v>
      </c>
      <c r="H5" s="12">
        <f>ROUND(AVERAGE(B2:B566),2)</f>
        <v>851.15</v>
      </c>
      <c r="I5" s="21"/>
      <c r="J5" s="13" t="s">
        <v>2112</v>
      </c>
      <c r="K5" s="14">
        <f>AVERAGE(E2:E365)</f>
        <v>585.61538461538464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s="15" t="s">
        <v>2107</v>
      </c>
      <c r="H6" s="10">
        <f>MEDIAN(B2:B566)</f>
        <v>201</v>
      </c>
      <c r="I6" s="22"/>
      <c r="J6" s="9" t="s">
        <v>2113</v>
      </c>
      <c r="K6" s="16">
        <f>MEDIAN(E2:E365)</f>
        <v>114.5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s="15" t="s">
        <v>2108</v>
      </c>
      <c r="H7" s="10">
        <f>MIN(B2:B566)</f>
        <v>16</v>
      </c>
      <c r="I7" s="22"/>
      <c r="J7" s="9" t="s">
        <v>2114</v>
      </c>
      <c r="K7" s="16">
        <f>MIN(E2:E365)</f>
        <v>0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s="15" t="s">
        <v>2109</v>
      </c>
      <c r="H8" s="10">
        <f>MAX(B2:B566)</f>
        <v>7295</v>
      </c>
      <c r="I8" s="22"/>
      <c r="J8" s="9" t="s">
        <v>2115</v>
      </c>
      <c r="K8" s="16">
        <f>MAX(E2:E365)</f>
        <v>6080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s="15" t="s">
        <v>2110</v>
      </c>
      <c r="H9" s="10">
        <f>VAR(B2:B566)</f>
        <v>1606216.5936295739</v>
      </c>
      <c r="I9" s="22"/>
      <c r="J9" s="9" t="s">
        <v>2116</v>
      </c>
      <c r="K9" s="16">
        <f>VAR(E2:E365)</f>
        <v>924113.45496927318</v>
      </c>
    </row>
    <row r="10" spans="1:11" ht="17" thickBot="1" x14ac:dyDescent="0.25">
      <c r="A10" t="s">
        <v>20</v>
      </c>
      <c r="B10">
        <v>1396</v>
      </c>
      <c r="D10" t="s">
        <v>14</v>
      </c>
      <c r="E10">
        <v>452</v>
      </c>
      <c r="G10" s="17" t="s">
        <v>2111</v>
      </c>
      <c r="H10" s="18">
        <f>STDEV(B2:B566)</f>
        <v>1267.366006183523</v>
      </c>
      <c r="I10" s="23"/>
      <c r="J10" s="19" t="s">
        <v>2117</v>
      </c>
      <c r="K10" s="20">
        <f>STDEV(E2:E365)</f>
        <v>961.30819978260524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failed">
      <formula>NOT(ISERROR(SEARCH("failed",A1)))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live">
      <formula>NOT(ISERROR(SEARCH("live",A1)))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failed">
      <formula>NOT(ISERROR(SEARCH("failed",D1)))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live">
      <formula>NOT(ISERROR(SEARCH("live",D1)))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countifSheet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Pino</cp:lastModifiedBy>
  <dcterms:created xsi:type="dcterms:W3CDTF">2021-09-29T18:52:28Z</dcterms:created>
  <dcterms:modified xsi:type="dcterms:W3CDTF">2023-02-17T23:23:46Z</dcterms:modified>
</cp:coreProperties>
</file>