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J List" sheetId="1" r:id="rId3"/>
    <sheet state="visible" name="How To Use" sheetId="2" r:id="rId4"/>
    <sheet state="visible" name="MLB 2016" sheetId="3" r:id="rId5"/>
    <sheet state="visible" name="Pending" sheetId="4" r:id="rId6"/>
    <sheet state="visible" name="UCL PRP" sheetId="5" r:id="rId7"/>
    <sheet state="visible" name="Repeat TJ List" sheetId="6" r:id="rId8"/>
    <sheet state="visible" name="Unsigned Draftees" sheetId="7" r:id="rId9"/>
    <sheet state="visible" name="Unconfirmed Dates and Surgeries" sheetId="8" r:id="rId10"/>
    <sheet state="visible" name="Organizations" sheetId="9" r:id="rId11"/>
    <sheet state="visible" name="Recovery Time" sheetId="10" r:id="rId12"/>
    <sheet state="visible" name="Surgeons" sheetId="11" r:id="rId13"/>
    <sheet state="visible" name="Update Log" sheetId="12" r:id="rId14"/>
    <sheet state="visible" name="Other" sheetId="13" r:id="rId15"/>
  </sheets>
  <definedNames/>
  <calcPr/>
</workbook>
</file>

<file path=xl/sharedStrings.xml><?xml version="1.0" encoding="utf-8"?>
<sst xmlns="http://schemas.openxmlformats.org/spreadsheetml/2006/main" count="13883" uniqueCount="3504">
  <si>
    <t>Player</t>
  </si>
  <si>
    <t>TJ Surgery Date</t>
  </si>
  <si>
    <t>Team</t>
  </si>
  <si>
    <t>Level</t>
  </si>
  <si>
    <t>Position</t>
  </si>
  <si>
    <t>Throws</t>
  </si>
  <si>
    <t>Country</t>
  </si>
  <si>
    <t>High School</t>
  </si>
  <si>
    <t>College(s)</t>
  </si>
  <si>
    <t>Age</t>
  </si>
  <si>
    <t>Return Date (same level)</t>
  </si>
  <si>
    <t>Important usage notes:</t>
  </si>
  <si>
    <t>2016 MLB Pitchers Who Have Had TJ Surgery, By Team &amp; Usage</t>
  </si>
  <si>
    <t>- This list is *not* a complete list of *all* Tommy John surgeries. The list contains entries for all Tommy John surgeries of MLB and MiLB players that have been confirmed through media reports of some kind.</t>
  </si>
  <si>
    <t>Recovery Time (months)</t>
  </si>
  <si>
    <t>mlbamid</t>
  </si>
  <si>
    <t>fgid</t>
  </si>
  <si>
    <t>Surgeon(s)</t>
  </si>
  <si>
    <t>Post-TJ MLB G</t>
  </si>
  <si>
    <t>Post-TJ MLB IP/PA</t>
  </si>
  <si>
    <t>- Some teams are much more guarded in releasing information about Tommy John surgeries than other teams. Some teams have beat writers or prospect writers who dig for MiLB injury statuses more than other teams.</t>
  </si>
  <si>
    <t>- Some Tommy John surgeries go completely unreported by the media and will not appear in this list.</t>
  </si>
  <si>
    <t>- Additional player information comes from Baseball Reference, Fangraphs, Baseball Cube, MiLB.com.</t>
  </si>
  <si>
    <t>- When the month of the surgery is known but not the exact date, MM/1/YYYY is used for the surgery date.</t>
  </si>
  <si>
    <t>Active</t>
  </si>
  <si>
    <t>Year</t>
  </si>
  <si>
    <t>Month</t>
  </si>
  <si>
    <t>Started
Throwing</t>
  </si>
  <si>
    <t>Mound</t>
  </si>
  <si>
    <t>Bullpen</t>
  </si>
  <si>
    <t>Live
Hitters</t>
  </si>
  <si>
    <t>Game</t>
  </si>
  <si>
    <t>Setback</t>
  </si>
  <si>
    <t>Setback Type</t>
  </si>
  <si>
    <t>- When the year of the surgery is known but not the month or date, 1/1/YYYY is used for the surgery date.</t>
  </si>
  <si>
    <t>G</t>
  </si>
  <si>
    <t>GS</t>
  </si>
  <si>
    <t>IP</t>
  </si>
  <si>
    <t>- 'Level' is the level of baseball in which the player played his last game prior to having Tommy John surgery. Some players listed with an MiLB level have had previous MLB experience.</t>
  </si>
  <si>
    <t>- After the MLB Draft in June, players who sign who have had Tommy John surgery are added to the TJ List. Unsigned drafted players remain in the Unsigned Draftees list.</t>
  </si>
  <si>
    <t>- UCL PRP tracks players who had PRP/stem cell injections specifically due to UCL damage (i.e. not flexor tendon).</t>
  </si>
  <si>
    <t>K-BB%</t>
  </si>
  <si>
    <t>ERA-</t>
  </si>
  <si>
    <t>FIP-</t>
  </si>
  <si>
    <t>Colin Rea</t>
  </si>
  <si>
    <t>Pitcher Used in 2016</t>
  </si>
  <si>
    <t>playerid</t>
  </si>
  <si>
    <t>TJ</t>
  </si>
  <si>
    <t>Pitcher on DL</t>
  </si>
  <si>
    <t>SD</t>
  </si>
  <si>
    <t>City</t>
  </si>
  <si>
    <t>MLB</t>
  </si>
  <si>
    <t>P</t>
  </si>
  <si>
    <t>R</t>
  </si>
  <si>
    <t>United States</t>
  </si>
  <si>
    <t>Iowa</t>
  </si>
  <si>
    <t>Indiana State</t>
  </si>
  <si>
    <t>Already</t>
  </si>
  <si>
    <t>Position Player</t>
  </si>
  <si>
    <t>Dr. James Andrews</t>
  </si>
  <si>
    <t>Notes</t>
  </si>
  <si>
    <t>Jon Edwards</t>
  </si>
  <si>
    <t>SD, RHP, MLB, UCL wear, trying PRP/stem cell instead of TJ</t>
  </si>
  <si>
    <t>Aaron Nola</t>
  </si>
  <si>
    <t>Pitchers Used</t>
  </si>
  <si>
    <t>PHI, RHP, MLB, low-grade UCL sprain, received PRP</t>
  </si>
  <si>
    <t>Pitchers</t>
  </si>
  <si>
    <t>Rubby De La Rosa</t>
  </si>
  <si>
    <t>Pitchers Not Used, on DL</t>
  </si>
  <si>
    <t>ARI, RHP, MLB, trying stem cell instead of TJ</t>
  </si>
  <si>
    <t>Pitchers on DL</t>
  </si>
  <si>
    <t>Tommy Hunter</t>
  </si>
  <si>
    <t>- - -</t>
  </si>
  <si>
    <t>Bryan Harper</t>
  </si>
  <si>
    <t>WAS</t>
  </si>
  <si>
    <t>AAA</t>
  </si>
  <si>
    <t>L</t>
  </si>
  <si>
    <t>Nevada</t>
  </si>
  <si>
    <t>Southern Nevada, South Carolina</t>
  </si>
  <si>
    <t>sa549768</t>
  </si>
  <si>
    <t>Yimi Garcia</t>
  </si>
  <si>
    <t>LAD</t>
  </si>
  <si>
    <t>AA</t>
  </si>
  <si>
    <t>Dominican</t>
  </si>
  <si>
    <t>PRP 
Injection Date</t>
  </si>
  <si>
    <t>Stem
Cell?</t>
  </si>
  <si>
    <t>Return Date
(same level)</t>
  </si>
  <si>
    <t>UCL Damage Description</t>
  </si>
  <si>
    <t>Yimmi Brasoban</t>
  </si>
  <si>
    <t>Ryan Cook</t>
  </si>
  <si>
    <t>SEA</t>
  </si>
  <si>
    <t>Rk</t>
  </si>
  <si>
    <t>California</t>
  </si>
  <si>
    <t>USC</t>
  </si>
  <si>
    <t>Y</t>
  </si>
  <si>
    <t>J.B. Wendelken</t>
  </si>
  <si>
    <t>ARI</t>
  </si>
  <si>
    <t>OAK</t>
  </si>
  <si>
    <t>stretch (tried PRP earlier in summer too)</t>
  </si>
  <si>
    <t>Georgia</t>
  </si>
  <si>
    <t>Middle Georgia</t>
  </si>
  <si>
    <t>partial tear</t>
  </si>
  <si>
    <t>Dr. Thomas Mehlhoff</t>
  </si>
  <si>
    <t>PHI</t>
  </si>
  <si>
    <t>low-grade tear</t>
  </si>
  <si>
    <t>wear</t>
  </si>
  <si>
    <t>Garrett Richards</t>
  </si>
  <si>
    <t>Josh Prevost</t>
  </si>
  <si>
    <t>LAA</t>
  </si>
  <si>
    <t>NYM</t>
  </si>
  <si>
    <t>A+</t>
  </si>
  <si>
    <t>Sean Nolin</t>
  </si>
  <si>
    <t>New Jersey</t>
  </si>
  <si>
    <t>Seton Hall</t>
  </si>
  <si>
    <t>MIL</t>
  </si>
  <si>
    <t>sa828963</t>
  </si>
  <si>
    <t>Andrew Heaney</t>
  </si>
  <si>
    <t>some degree of tear</t>
  </si>
  <si>
    <t>Michael Lorenzen</t>
  </si>
  <si>
    <t>CIN</t>
  </si>
  <si>
    <t>Andro Cutura</t>
  </si>
  <si>
    <t>mild tear</t>
  </si>
  <si>
    <t>Casey Sadler</t>
  </si>
  <si>
    <t>MIN</t>
  </si>
  <si>
    <t>A</t>
  </si>
  <si>
    <t>PIT</t>
  </si>
  <si>
    <t>Louisiana</t>
  </si>
  <si>
    <t>unknown</t>
  </si>
  <si>
    <t>Southeastern Louisiana</t>
  </si>
  <si>
    <t>Alex Cobb</t>
  </si>
  <si>
    <t>TB</t>
  </si>
  <si>
    <t>sa827476</t>
  </si>
  <si>
    <t>Brandon Workman</t>
  </si>
  <si>
    <t>BOS</t>
  </si>
  <si>
    <t>Tyler Thornburg</t>
  </si>
  <si>
    <t>Erik Johnson</t>
  </si>
  <si>
    <t>weakness, slight tear (may be from 2004)</t>
  </si>
  <si>
    <t>Masahiro Tanaka</t>
  </si>
  <si>
    <t>NYY</t>
  </si>
  <si>
    <t>California Berkeley</t>
  </si>
  <si>
    <t>partial tear (10%)</t>
  </si>
  <si>
    <t>Jonny Venters</t>
  </si>
  <si>
    <t>ATL</t>
  </si>
  <si>
    <t>soreness during TJ surgery rehab</t>
  </si>
  <si>
    <t>Chad Billingsley</t>
  </si>
  <si>
    <t>Carl Crawford</t>
  </si>
  <si>
    <t>C.J. Wilson</t>
  </si>
  <si>
    <t>Angels</t>
  </si>
  <si>
    <t>Los Angeles Angels</t>
  </si>
  <si>
    <t>Anthony Kay</t>
  </si>
  <si>
    <t>Takashi Saito</t>
  </si>
  <si>
    <t>Coll</t>
  </si>
  <si>
    <t>partial tear, starting to come off bone</t>
  </si>
  <si>
    <t>New York</t>
  </si>
  <si>
    <t>Connecticut</t>
  </si>
  <si>
    <t>Zach Duke</t>
  </si>
  <si>
    <t>STL</t>
  </si>
  <si>
    <t>Texas</t>
  </si>
  <si>
    <t>Cesar Gonzalez</t>
  </si>
  <si>
    <t>DET</t>
  </si>
  <si>
    <t>OF</t>
  </si>
  <si>
    <t>sa737085</t>
  </si>
  <si>
    <t>Doug Willey</t>
  </si>
  <si>
    <t>New Hampshire</t>
  </si>
  <si>
    <t>Franklin Pierce, Arkansas</t>
  </si>
  <si>
    <t>sa856267</t>
  </si>
  <si>
    <t>Back to Playing?</t>
  </si>
  <si>
    <t>Years Between</t>
  </si>
  <si>
    <t>Raymond Burgos</t>
  </si>
  <si>
    <t>CLE</t>
  </si>
  <si>
    <t>HS</t>
  </si>
  <si>
    <t>Surgeon</t>
  </si>
  <si>
    <t>Puerto Rico</t>
  </si>
  <si>
    <t>Adam Choplick</t>
  </si>
  <si>
    <t>Back</t>
  </si>
  <si>
    <t>Derek Hill</t>
  </si>
  <si>
    <t>sa828670</t>
  </si>
  <si>
    <t>Dr. Keith Meister</t>
  </si>
  <si>
    <t>James Jones</t>
  </si>
  <si>
    <t>TEX</t>
  </si>
  <si>
    <t>Long Island</t>
  </si>
  <si>
    <t>Nathan Eovaldi</t>
  </si>
  <si>
    <t>Unknown</t>
  </si>
  <si>
    <t>Dr. Christopher Ahmad</t>
  </si>
  <si>
    <t>Adam Parks</t>
  </si>
  <si>
    <t>Not yet</t>
  </si>
  <si>
    <t>Nick Tropeano</t>
  </si>
  <si>
    <t>Stony Brook</t>
  </si>
  <si>
    <t>Dr. Neal ElAttrache</t>
  </si>
  <si>
    <t>Chris Paddack</t>
  </si>
  <si>
    <t>Al Reyes</t>
  </si>
  <si>
    <t>sa875195</t>
  </si>
  <si>
    <t>Dalton Geekie</t>
  </si>
  <si>
    <t>Georgia Highlands</t>
  </si>
  <si>
    <t>Alfredo Silverio</t>
  </si>
  <si>
    <t>sa875332</t>
  </si>
  <si>
    <t>Jacob Lindgren</t>
  </si>
  <si>
    <t>Mississippi</t>
  </si>
  <si>
    <t>Mississippi State</t>
  </si>
  <si>
    <t>Andrew Lee</t>
  </si>
  <si>
    <t>Erik Kratz</t>
  </si>
  <si>
    <t>Astros</t>
  </si>
  <si>
    <t>San Jacinto</t>
  </si>
  <si>
    <t>Andrew McKirahan</t>
  </si>
  <si>
    <t>Tennessee</t>
  </si>
  <si>
    <t>sa856275</t>
  </si>
  <si>
    <t>Dr. Stephen Gryzlo</t>
  </si>
  <si>
    <t>Blaine Howell</t>
  </si>
  <si>
    <t>Hunter Harvey</t>
  </si>
  <si>
    <t>BAL</t>
  </si>
  <si>
    <t>A-</t>
  </si>
  <si>
    <t>North Carolina</t>
  </si>
  <si>
    <t>Brandon Beachy</t>
  </si>
  <si>
    <t>sa737510</t>
  </si>
  <si>
    <t>Dr. Donald D'Alessandro</t>
  </si>
  <si>
    <t>Adrian Perez</t>
  </si>
  <si>
    <t>Colombia</t>
  </si>
  <si>
    <t>Adrian Houser</t>
  </si>
  <si>
    <t>Oklahoma</t>
  </si>
  <si>
    <t>Jason Grilli</t>
  </si>
  <si>
    <t>Dr. William Raasch</t>
  </si>
  <si>
    <t>Jon Moscot</t>
  </si>
  <si>
    <t>Reds</t>
  </si>
  <si>
    <t>Pepperdine</t>
  </si>
  <si>
    <t>Dr. Timothy Kremchek</t>
  </si>
  <si>
    <t>Kyle Survance</t>
  </si>
  <si>
    <t>Houston</t>
  </si>
  <si>
    <t>sa858807</t>
  </si>
  <si>
    <t>Malcolm Van Buren</t>
  </si>
  <si>
    <t>KC</t>
  </si>
  <si>
    <t>South Carolina</t>
  </si>
  <si>
    <t>Sam Hentges</t>
  </si>
  <si>
    <t>Minnesota</t>
  </si>
  <si>
    <t>sa828881</t>
  </si>
  <si>
    <t>Francisco Lopez</t>
  </si>
  <si>
    <t>sa739258</t>
  </si>
  <si>
    <t>Brian Anderson</t>
  </si>
  <si>
    <t>Not back</t>
  </si>
  <si>
    <t>Chad Donato</t>
  </si>
  <si>
    <t>HOU</t>
  </si>
  <si>
    <t>West Virginia</t>
  </si>
  <si>
    <t>Joaquin Benoit</t>
  </si>
  <si>
    <t>Oklahoma State</t>
  </si>
  <si>
    <t>Chris Thomas</t>
  </si>
  <si>
    <t>Missouri</t>
  </si>
  <si>
    <t>Avila</t>
  </si>
  <si>
    <t>sa659320</t>
  </si>
  <si>
    <t>Jonas Wyatt</t>
  </si>
  <si>
    <t>sa875171</t>
  </si>
  <si>
    <t>Tyler Benninghoff</t>
  </si>
  <si>
    <t>Kansas</t>
  </si>
  <si>
    <t>Maryland</t>
  </si>
  <si>
    <t>Liberty</t>
  </si>
  <si>
    <t>Matt Shoemaker</t>
  </si>
  <si>
    <t>sa829657</t>
  </si>
  <si>
    <t>Ryan Williamson</t>
  </si>
  <si>
    <t>NC State</t>
  </si>
  <si>
    <t>Brian Wilson</t>
  </si>
  <si>
    <t>Daniel Webb</t>
  </si>
  <si>
    <t>CHW</t>
  </si>
  <si>
    <t>Florida</t>
  </si>
  <si>
    <t>Northwest Florida State</t>
  </si>
  <si>
    <t>Carlos Almanzar</t>
  </si>
  <si>
    <t>Jose Garcia</t>
  </si>
  <si>
    <t>C</t>
  </si>
  <si>
    <t>Venezuela</t>
  </si>
  <si>
    <t>sa657393</t>
  </si>
  <si>
    <t>Pedro Perez</t>
  </si>
  <si>
    <t>sa597323</t>
  </si>
  <si>
    <t>Martin Agosta</t>
  </si>
  <si>
    <t>SF</t>
  </si>
  <si>
    <t>St. Mary's</t>
  </si>
  <si>
    <t>sa657962</t>
  </si>
  <si>
    <t>Logan Webb</t>
  </si>
  <si>
    <t>sa828873</t>
  </si>
  <si>
    <t>Josh Phegley</t>
  </si>
  <si>
    <t>Athletics</t>
  </si>
  <si>
    <t>Scott Feldman</t>
  </si>
  <si>
    <t>Hever Bueno</t>
  </si>
  <si>
    <t>Arizona</t>
  </si>
  <si>
    <t>Arizona State</t>
  </si>
  <si>
    <t>Taylor Jordan</t>
  </si>
  <si>
    <t>Edwin Jackson</t>
  </si>
  <si>
    <t>Eastern Florida State</t>
  </si>
  <si>
    <t>Chad Fox</t>
  </si>
  <si>
    <t>Carson Smith</t>
  </si>
  <si>
    <t>Texas State</t>
  </si>
  <si>
    <t>Dr. David Altchek</t>
  </si>
  <si>
    <t>Alexis Diaz</t>
  </si>
  <si>
    <t>sa875576</t>
  </si>
  <si>
    <t>Elliot Ashbeck</t>
  </si>
  <si>
    <t>Wisconsin</t>
  </si>
  <si>
    <t>Bradley</t>
  </si>
  <si>
    <t>sa875665</t>
  </si>
  <si>
    <t>Robbie Erlin</t>
  </si>
  <si>
    <t>Michael Gibbons</t>
  </si>
  <si>
    <t>Wheaton</t>
  </si>
  <si>
    <t>Pablo Fernandez</t>
  </si>
  <si>
    <t>Huston Street</t>
  </si>
  <si>
    <t>Cuba</t>
  </si>
  <si>
    <t>sa867970</t>
  </si>
  <si>
    <t>Tyler Cloyd</t>
  </si>
  <si>
    <t>Nebraska</t>
  </si>
  <si>
    <t>Chang-Yong Lim</t>
  </si>
  <si>
    <t>Chris Bassitt</t>
  </si>
  <si>
    <t>Ohio</t>
  </si>
  <si>
    <t>Akron</t>
  </si>
  <si>
    <t>Gray Fenter</t>
  </si>
  <si>
    <t>Arkansas</t>
  </si>
  <si>
    <t>sa875233</t>
  </si>
  <si>
    <t>Chris Capuano</t>
  </si>
  <si>
    <t>Dylan Brooks</t>
  </si>
  <si>
    <t>Canada</t>
  </si>
  <si>
    <t>sa738457</t>
  </si>
  <si>
    <t>Ryan Brett</t>
  </si>
  <si>
    <t>2B</t>
  </si>
  <si>
    <t>Washington</t>
  </si>
  <si>
    <t>Ruben Tejada</t>
  </si>
  <si>
    <t>Zach Plesac</t>
  </si>
  <si>
    <t>Cardinals</t>
  </si>
  <si>
    <t>Fernando Rodney</t>
  </si>
  <si>
    <t>Royals</t>
  </si>
  <si>
    <t>Indiana</t>
  </si>
  <si>
    <t>Ball State</t>
  </si>
  <si>
    <t>Branden Pinder</t>
  </si>
  <si>
    <t>Cal State Long Beach, Santa Ana</t>
  </si>
  <si>
    <t>Joel Peralta</t>
  </si>
  <si>
    <t>Harrison Cooney</t>
  </si>
  <si>
    <t>Florida Gulf Coast</t>
  </si>
  <si>
    <t>sa550830</t>
  </si>
  <si>
    <t>Miguel Del Pozo</t>
  </si>
  <si>
    <t>MIA</t>
  </si>
  <si>
    <t>sa597267</t>
  </si>
  <si>
    <t>Nick Rumbelow</t>
  </si>
  <si>
    <t>Louisiana State</t>
  </si>
  <si>
    <t>Christian Garcia</t>
  </si>
  <si>
    <t>Tim Collins</t>
  </si>
  <si>
    <t>Massachusetts</t>
  </si>
  <si>
    <t>Cole Sulser</t>
  </si>
  <si>
    <t>Marco Gonzales</t>
  </si>
  <si>
    <t>Cory Luebke</t>
  </si>
  <si>
    <t>Colorado</t>
  </si>
  <si>
    <t>Gonzaga</t>
  </si>
  <si>
    <t>Zach Becherer</t>
  </si>
  <si>
    <t>Illinois</t>
  </si>
  <si>
    <t>Rend Lake</t>
  </si>
  <si>
    <t>Jimmy Reed</t>
  </si>
  <si>
    <t>sa658611</t>
  </si>
  <si>
    <t>Felix Doubront</t>
  </si>
  <si>
    <t>Manny Parra</t>
  </si>
  <si>
    <t>CHC</t>
  </si>
  <si>
    <t>American River</t>
  </si>
  <si>
    <t>Tyler Kolek</t>
  </si>
  <si>
    <t>sa828660</t>
  </si>
  <si>
    <t>Alexi Amarista</t>
  </si>
  <si>
    <t>Frank Batista</t>
  </si>
  <si>
    <t>Padres</t>
  </si>
  <si>
    <t>Andrew Bailey</t>
  </si>
  <si>
    <t>Tigers</t>
  </si>
  <si>
    <t>sa506678</t>
  </si>
  <si>
    <t>Daniel Hudson</t>
  </si>
  <si>
    <t>Will Remillard</t>
  </si>
  <si>
    <t>Jhoulys Chacin</t>
  </si>
  <si>
    <t>Coastal Carolina</t>
  </si>
  <si>
    <t>sa738192</t>
  </si>
  <si>
    <t>Jacob Lee</t>
  </si>
  <si>
    <t>Arkansas State</t>
  </si>
  <si>
    <t>sa658135</t>
  </si>
  <si>
    <t>Deiyerbert Bolivar</t>
  </si>
  <si>
    <t>sa828545</t>
  </si>
  <si>
    <t>Sam Tewes</t>
  </si>
  <si>
    <t>Wichita State</t>
  </si>
  <si>
    <t>Milton Gomez</t>
  </si>
  <si>
    <t>sa597280</t>
  </si>
  <si>
    <t>Chaz Hebert</t>
  </si>
  <si>
    <t>sa599381</t>
  </si>
  <si>
    <t>Ian Gardeck</t>
  </si>
  <si>
    <t>Darren Dreifort</t>
  </si>
  <si>
    <t>Angelina, Alabama</t>
  </si>
  <si>
    <t>sa598115</t>
  </si>
  <si>
    <t>Jesus Luzardo</t>
  </si>
  <si>
    <t>Jairo Diaz</t>
  </si>
  <si>
    <t>COL</t>
  </si>
  <si>
    <t>Dr. Thomas Noonan</t>
  </si>
  <si>
    <t>Joel Bender</t>
  </si>
  <si>
    <t>sa549763</t>
  </si>
  <si>
    <t>Christian Bethancourt</t>
  </si>
  <si>
    <t>Mark Melancon</t>
  </si>
  <si>
    <t>Carter Capps</t>
  </si>
  <si>
    <t>Blue Jays</t>
  </si>
  <si>
    <t>Mount Olive</t>
  </si>
  <si>
    <t>Andy Parrino</t>
  </si>
  <si>
    <t>SS</t>
  </si>
  <si>
    <t>Brian Matusz</t>
  </si>
  <si>
    <t>LeMoyne</t>
  </si>
  <si>
    <t>Dave Eiland</t>
  </si>
  <si>
    <t>Johan Belisario</t>
  </si>
  <si>
    <t>sa546553</t>
  </si>
  <si>
    <t>Carlos Luna</t>
  </si>
  <si>
    <t>Panama</t>
  </si>
  <si>
    <t>sa828727</t>
  </si>
  <si>
    <t>Ty Hensley</t>
  </si>
  <si>
    <t>sa657925</t>
  </si>
  <si>
    <t>Lance Lynn</t>
  </si>
  <si>
    <t>Dr. George Paletta</t>
  </si>
  <si>
    <t>Mason Hope</t>
  </si>
  <si>
    <t>sa597872</t>
  </si>
  <si>
    <t>Cameron Griffin</t>
  </si>
  <si>
    <t>Columbus State</t>
  </si>
  <si>
    <t>Cam Bedrosian</t>
  </si>
  <si>
    <t>sa738927</t>
  </si>
  <si>
    <t>Jesse Biddle</t>
  </si>
  <si>
    <t>Pennsylvania</t>
  </si>
  <si>
    <t>sa548186</t>
  </si>
  <si>
    <t>Dr. Michael Ciccotti</t>
  </si>
  <si>
    <t>Branden Kline</t>
  </si>
  <si>
    <t>Virginia</t>
  </si>
  <si>
    <t>sa501558</t>
  </si>
  <si>
    <t>Denny Stark</t>
  </si>
  <si>
    <t>Greg Holland</t>
  </si>
  <si>
    <t>Western Carolina</t>
  </si>
  <si>
    <t>Derek Thompson</t>
  </si>
  <si>
    <t>Western Oklahoma State</t>
  </si>
  <si>
    <t>Cameron Avila-Leeper</t>
  </si>
  <si>
    <t>Doug Brocail</t>
  </si>
  <si>
    <t>San Joaquin Delta</t>
  </si>
  <si>
    <t>Tyler Ladendorf</t>
  </si>
  <si>
    <t>Francisco Liriano</t>
  </si>
  <si>
    <t>Braves</t>
  </si>
  <si>
    <t>sa829623</t>
  </si>
  <si>
    <t>Ross Detwiler</t>
  </si>
  <si>
    <t>Aaron Barrett</t>
  </si>
  <si>
    <t>Mississippi, Wabash Valley</t>
  </si>
  <si>
    <t>Ankle surgery</t>
  </si>
  <si>
    <t>Fractured elbow</t>
  </si>
  <si>
    <t>Li-Jen Chu</t>
  </si>
  <si>
    <t>Taiwan</t>
  </si>
  <si>
    <t>sa830277</t>
  </si>
  <si>
    <t>Paco Rodriguez</t>
  </si>
  <si>
    <t>Nathan Kirby</t>
  </si>
  <si>
    <t>sa874754</t>
  </si>
  <si>
    <t>Marcos Molina</t>
  </si>
  <si>
    <t>sa657917</t>
  </si>
  <si>
    <t>Eric Eadington</t>
  </si>
  <si>
    <t>Angel Sanchez</t>
  </si>
  <si>
    <t>sa596521</t>
  </si>
  <si>
    <t>Saul De La Cruz</t>
  </si>
  <si>
    <t>Garrett Bolt</t>
  </si>
  <si>
    <t>Keaton Aldridge</t>
  </si>
  <si>
    <t>Alabama</t>
  </si>
  <si>
    <t>Memphis</t>
  </si>
  <si>
    <t>sa599524</t>
  </si>
  <si>
    <t>Greg Colbrunn</t>
  </si>
  <si>
    <t>David Ramos</t>
  </si>
  <si>
    <t>Hung-Chih Kuo</t>
  </si>
  <si>
    <t>sa692508</t>
  </si>
  <si>
    <t>James Needy</t>
  </si>
  <si>
    <t>Jace Fry</t>
  </si>
  <si>
    <t>sa501496</t>
  </si>
  <si>
    <t>Aaron Bummer</t>
  </si>
  <si>
    <t>Jarrod Parker</t>
  </si>
  <si>
    <t>sa599349</t>
  </si>
  <si>
    <t>Taylor Williams</t>
  </si>
  <si>
    <t>Kent State</t>
  </si>
  <si>
    <t>sa737785</t>
  </si>
  <si>
    <t>J.B. Shuck</t>
  </si>
  <si>
    <t>White Sox</t>
  </si>
  <si>
    <t>Jason Vargas</t>
  </si>
  <si>
    <t>Keith Hessler</t>
  </si>
  <si>
    <t>Giants</t>
  </si>
  <si>
    <t>Joe Smith</t>
  </si>
  <si>
    <t>California State, Cypress, LSU</t>
  </si>
  <si>
    <t>Jason Frasor</t>
  </si>
  <si>
    <t>Jason Isringhausen</t>
  </si>
  <si>
    <t>Oakland</t>
  </si>
  <si>
    <t>Walker Buehler</t>
  </si>
  <si>
    <t>Kentucky</t>
  </si>
  <si>
    <t>Vanderbilt</t>
  </si>
  <si>
    <t>sa658292</t>
  </si>
  <si>
    <t>Nate Adcock</t>
  </si>
  <si>
    <t>Morgan Lofstrom</t>
  </si>
  <si>
    <t>sa738557</t>
  </si>
  <si>
    <t>Andrew Romine</t>
  </si>
  <si>
    <t>Hector Garcia</t>
  </si>
  <si>
    <t>Arquimedes Caminero</t>
  </si>
  <si>
    <t>Indians</t>
  </si>
  <si>
    <t>sa736906</t>
  </si>
  <si>
    <t>Fernery Ozuna</t>
  </si>
  <si>
    <t>Clayton Richard</t>
  </si>
  <si>
    <t>Javier Herrera</t>
  </si>
  <si>
    <t>sa739259</t>
  </si>
  <si>
    <t>Brusdar Graterol</t>
  </si>
  <si>
    <t>sa873310</t>
  </si>
  <si>
    <t>Jeremy Hefner</t>
  </si>
  <si>
    <t>Blake Taylor</t>
  </si>
  <si>
    <t>sa737558</t>
  </si>
  <si>
    <t>Jack Leathersich</t>
  </si>
  <si>
    <t>Wesley Rodriguez</t>
  </si>
  <si>
    <t>sa875566</t>
  </si>
  <si>
    <t>Matt Trowbridge</t>
  </si>
  <si>
    <t>Central Michigan</t>
  </si>
  <si>
    <t>sa829068</t>
  </si>
  <si>
    <t>Greg Maisto</t>
  </si>
  <si>
    <t>McLennan, Texas A&amp;M</t>
  </si>
  <si>
    <t>sa829226</t>
  </si>
  <si>
    <t>Jonah Wesely</t>
  </si>
  <si>
    <t>sa737935</t>
  </si>
  <si>
    <t>Dr. Michael Shepard</t>
  </si>
  <si>
    <t>Joakim Soria</t>
  </si>
  <si>
    <t>Chris Betts</t>
  </si>
  <si>
    <t>sa874791</t>
  </si>
  <si>
    <t>Mark Armstrong</t>
  </si>
  <si>
    <t>sa737689</t>
  </si>
  <si>
    <t>Blake Hickman</t>
  </si>
  <si>
    <t>Chris Gimenez</t>
  </si>
  <si>
    <t>Rich Hill</t>
  </si>
  <si>
    <t>Marlins</t>
  </si>
  <si>
    <t>Josh Goossen-Brown</t>
  </si>
  <si>
    <t>San Diego</t>
  </si>
  <si>
    <t>Mat Latos</t>
  </si>
  <si>
    <t>sa829538</t>
  </si>
  <si>
    <t>Michael Smith</t>
  </si>
  <si>
    <t>Dallas Baptist</t>
  </si>
  <si>
    <t>sa738590</t>
  </si>
  <si>
    <t>Don Kelly</t>
  </si>
  <si>
    <t>Point Park</t>
  </si>
  <si>
    <t>Joe Nathan</t>
  </si>
  <si>
    <t>Brad Bergesen</t>
  </si>
  <si>
    <t>Dr. Trent Wilson</t>
  </si>
  <si>
    <t>Sergio Santos</t>
  </si>
  <si>
    <t>Henderson Alvarez</t>
  </si>
  <si>
    <t>Glenn Sparkman</t>
  </si>
  <si>
    <t>Wharton County</t>
  </si>
  <si>
    <t>sa738220</t>
  </si>
  <si>
    <t>Jacob Taylor</t>
  </si>
  <si>
    <t>Pearl River</t>
  </si>
  <si>
    <t>sa874192</t>
  </si>
  <si>
    <t>Marcus Greene</t>
  </si>
  <si>
    <t>Joel Hanrahan</t>
  </si>
  <si>
    <t>New Mexico</t>
  </si>
  <si>
    <t>sa659282</t>
  </si>
  <si>
    <t>Miguel Montero</t>
  </si>
  <si>
    <t>Cubs</t>
  </si>
  <si>
    <t>Nick Vander Tuig</t>
  </si>
  <si>
    <t>Drew Hutchison</t>
  </si>
  <si>
    <t>Pirates</t>
  </si>
  <si>
    <t>UCLA</t>
  </si>
  <si>
    <t>sa550096</t>
  </si>
  <si>
    <t>Ricky Nolasco</t>
  </si>
  <si>
    <t>Oregon</t>
  </si>
  <si>
    <t>Oregon State</t>
  </si>
  <si>
    <t>sa598246</t>
  </si>
  <si>
    <t>Grant Hockin</t>
  </si>
  <si>
    <t>sa828698</t>
  </si>
  <si>
    <t>Jordan Dunatov</t>
  </si>
  <si>
    <t>Nevada-Reno</t>
  </si>
  <si>
    <t>sa599098</t>
  </si>
  <si>
    <t>Marc Magliaro</t>
  </si>
  <si>
    <t>Rowan</t>
  </si>
  <si>
    <t>Joey Devine</t>
  </si>
  <si>
    <t>sa739267</t>
  </si>
  <si>
    <t>Fernando Rodriguez</t>
  </si>
  <si>
    <t>Joe Harvey</t>
  </si>
  <si>
    <t>Pittsburgh</t>
  </si>
  <si>
    <t>sa827455</t>
  </si>
  <si>
    <t>Zeke McGranahan</t>
  </si>
  <si>
    <t>Georgia Gwinnett, Tusculum</t>
  </si>
  <si>
    <t>sa829385</t>
  </si>
  <si>
    <t>Kent Emanuel</t>
  </si>
  <si>
    <t>sa549399</t>
  </si>
  <si>
    <t>Johnny Anderson</t>
  </si>
  <si>
    <t>Kevin Krause</t>
  </si>
  <si>
    <t>Bryan Holaday</t>
  </si>
  <si>
    <t>Rangers</t>
  </si>
  <si>
    <t>Matt Moore</t>
  </si>
  <si>
    <t>Dodgers</t>
  </si>
  <si>
    <t>sa827200</t>
  </si>
  <si>
    <t>Yomar Morel</t>
  </si>
  <si>
    <t>sa597176</t>
  </si>
  <si>
    <t>Delvin Hiciano</t>
  </si>
  <si>
    <t>sa740125</t>
  </si>
  <si>
    <t>Eduardo Vera</t>
  </si>
  <si>
    <t>Mexico</t>
  </si>
  <si>
    <t>sa388922</t>
  </si>
  <si>
    <t>Walker Weickel</t>
  </si>
  <si>
    <t>sa657871</t>
  </si>
  <si>
    <t>Yosmer Leal</t>
  </si>
  <si>
    <t>sa737304</t>
  </si>
  <si>
    <t>Justin Garza</t>
  </si>
  <si>
    <t>Jordan Ellis</t>
  </si>
  <si>
    <t>Cal State Fullerton</t>
  </si>
  <si>
    <t>sa658782</t>
  </si>
  <si>
    <t>Josh Ford</t>
  </si>
  <si>
    <t>Nick Kingham</t>
  </si>
  <si>
    <t>sa548285</t>
  </si>
  <si>
    <t>Josh Johnson</t>
  </si>
  <si>
    <t>James Bourque</t>
  </si>
  <si>
    <t>Michigan</t>
  </si>
  <si>
    <t>sa829330</t>
  </si>
  <si>
    <t>Dylan Baker</t>
  </si>
  <si>
    <t>Alaska</t>
  </si>
  <si>
    <t>Western Nevada</t>
  </si>
  <si>
    <t>sa658002</t>
  </si>
  <si>
    <t>Jared Hoying</t>
  </si>
  <si>
    <t>Ivan Nova</t>
  </si>
  <si>
    <t>Kenny Mathews</t>
  </si>
  <si>
    <t>Rockies</t>
  </si>
  <si>
    <t>Riverside, Cal State Fullerton</t>
  </si>
  <si>
    <t>Brett Oberholtzer</t>
  </si>
  <si>
    <t>sa601581</t>
  </si>
  <si>
    <t>Chase Whitley</t>
  </si>
  <si>
    <t>Troy</t>
  </si>
  <si>
    <t>Justin Topa</t>
  </si>
  <si>
    <t>Victor Diaz</t>
  </si>
  <si>
    <t>sa659749</t>
  </si>
  <si>
    <t>Kris Medlen</t>
  </si>
  <si>
    <t>Arm fatigue, rehab reset</t>
  </si>
  <si>
    <t>Gavin Floyd</t>
  </si>
  <si>
    <t>Daniel Missaki</t>
  </si>
  <si>
    <t>Toronto</t>
  </si>
  <si>
    <t>Brazil</t>
  </si>
  <si>
    <t>sa741947</t>
  </si>
  <si>
    <t>Ramire Cleto</t>
  </si>
  <si>
    <t>sa597229</t>
  </si>
  <si>
    <t>Homer Bailey</t>
  </si>
  <si>
    <t>Elbow discomfort</t>
  </si>
  <si>
    <t>Matt Magill</t>
  </si>
  <si>
    <t>Kyle Drabek</t>
  </si>
  <si>
    <t>Ryan LaMarre</t>
  </si>
  <si>
    <t>Red Sox</t>
  </si>
  <si>
    <t>Adam Ottavino</t>
  </si>
  <si>
    <t>Northeastern</t>
  </si>
  <si>
    <t>Casey Fien</t>
  </si>
  <si>
    <t>Davis Ward</t>
  </si>
  <si>
    <t>Ouachita Baptist</t>
  </si>
  <si>
    <t>sa829860</t>
  </si>
  <si>
    <t>Anthony Castro</t>
  </si>
  <si>
    <t>sa656041</t>
  </si>
  <si>
    <t>Domingo Tapia</t>
  </si>
  <si>
    <t>sa547834</t>
  </si>
  <si>
    <t>Donald Lutz</t>
  </si>
  <si>
    <t>Reid Redman</t>
  </si>
  <si>
    <t>Lance Carter</t>
  </si>
  <si>
    <t>Texas Tech</t>
  </si>
  <si>
    <t>sa602392</t>
  </si>
  <si>
    <t>Austin DeCarr</t>
  </si>
  <si>
    <t>Atlanta</t>
  </si>
  <si>
    <t>Leandro Marin</t>
  </si>
  <si>
    <t>sa828795</t>
  </si>
  <si>
    <t>Brandon McCarthy</t>
  </si>
  <si>
    <t>Lamar</t>
  </si>
  <si>
    <t>Mason Tobin</t>
  </si>
  <si>
    <t>Discomfort</t>
  </si>
  <si>
    <t>Matt Beech</t>
  </si>
  <si>
    <t>sa658926</t>
  </si>
  <si>
    <t>Brady Feigl</t>
  </si>
  <si>
    <t>Mount St. Mary's</t>
  </si>
  <si>
    <t>sa824867</t>
  </si>
  <si>
    <t>Darwin Barney</t>
  </si>
  <si>
    <t>Diamondbacks</t>
  </si>
  <si>
    <t>Lisalverto Bonilla</t>
  </si>
  <si>
    <t>Hector Santiago</t>
  </si>
  <si>
    <t>Jake Sweaney</t>
  </si>
  <si>
    <t>sa737784</t>
  </si>
  <si>
    <t>Reilly Hovis</t>
  </si>
  <si>
    <t>sa857700</t>
  </si>
  <si>
    <t>Matt Riley</t>
  </si>
  <si>
    <t>Mike Matuella</t>
  </si>
  <si>
    <t>Duke</t>
  </si>
  <si>
    <t>sa827490</t>
  </si>
  <si>
    <t>Sprained elbow ligament</t>
  </si>
  <si>
    <t>Lewis Thorpe</t>
  </si>
  <si>
    <t>Australia</t>
  </si>
  <si>
    <t>sa739599</t>
  </si>
  <si>
    <t>Dr. John Steubs, Dr. Pearce McCarty</t>
  </si>
  <si>
    <t>Mike Lincoln</t>
  </si>
  <si>
    <t>Jose Pena</t>
  </si>
  <si>
    <t>sa510341</t>
  </si>
  <si>
    <t>Aaron Crow</t>
  </si>
  <si>
    <t>Missouri Columbia</t>
  </si>
  <si>
    <t>Shutdown, unknown</t>
  </si>
  <si>
    <t>Mario Hollands</t>
  </si>
  <si>
    <t>California Santa Barbara</t>
  </si>
  <si>
    <t>Jesse Beal</t>
  </si>
  <si>
    <t>sa455269</t>
  </si>
  <si>
    <t>Dr. Derrick Papp</t>
  </si>
  <si>
    <t>B.J. Hermsen</t>
  </si>
  <si>
    <t>sa454729</t>
  </si>
  <si>
    <t>Burch Smith</t>
  </si>
  <si>
    <t>Howard, Oklahoma</t>
  </si>
  <si>
    <t>James Carter</t>
  </si>
  <si>
    <t>Chabot, California Santa Barbara</t>
  </si>
  <si>
    <t>Nate Bland</t>
  </si>
  <si>
    <t>Ryan Goins</t>
  </si>
  <si>
    <t>sa829574</t>
  </si>
  <si>
    <t>Nationals</t>
  </si>
  <si>
    <t>Christian Vazquez</t>
  </si>
  <si>
    <t>Jacob Webb</t>
  </si>
  <si>
    <t>Tabor</t>
  </si>
  <si>
    <t>sa829328</t>
  </si>
  <si>
    <t>Dr. Xavier Duralde</t>
  </si>
  <si>
    <t>Jose Rosario</t>
  </si>
  <si>
    <t>sa506730</t>
  </si>
  <si>
    <t>Drew Anderson</t>
  </si>
  <si>
    <t>Dr. Lewis Yocum</t>
  </si>
  <si>
    <t>Pedro Figueroa</t>
  </si>
  <si>
    <t>sa658613</t>
  </si>
  <si>
    <t>Peter Moylan</t>
  </si>
  <si>
    <t>Domingo German</t>
  </si>
  <si>
    <t>sa548637</t>
  </si>
  <si>
    <t>Jordan Romano</t>
  </si>
  <si>
    <t>TOR</t>
  </si>
  <si>
    <t>sa829155</t>
  </si>
  <si>
    <t>Zack Wheeler</t>
  </si>
  <si>
    <t>Minor forearm stitch surgery</t>
  </si>
  <si>
    <t>Brady Aiken</t>
  </si>
  <si>
    <t>Randy Wolf</t>
  </si>
  <si>
    <t>sa828659</t>
  </si>
  <si>
    <t>Bryce Beeler</t>
  </si>
  <si>
    <t>sa829307</t>
  </si>
  <si>
    <t>Taylor Motter</t>
  </si>
  <si>
    <t>Rays</t>
  </si>
  <si>
    <t>Phillies</t>
  </si>
  <si>
    <t>A.J. Minter</t>
  </si>
  <si>
    <t>Texas A&amp;M</t>
  </si>
  <si>
    <t>sa659284</t>
  </si>
  <si>
    <t>Jon Niese</t>
  </si>
  <si>
    <t>Cal Quantrill</t>
  </si>
  <si>
    <t>sa738477</t>
  </si>
  <si>
    <t>Mason Thompson</t>
  </si>
  <si>
    <t>sa917969</t>
  </si>
  <si>
    <t>Josh Edgin</t>
  </si>
  <si>
    <t>Francis Marion, Ohio State</t>
  </si>
  <si>
    <t>Scott Mathieson</t>
  </si>
  <si>
    <t>Yu Darvish</t>
  </si>
  <si>
    <t>Japan</t>
  </si>
  <si>
    <t>Arodys Vizcaino</t>
  </si>
  <si>
    <t>Shoulder discomfort</t>
  </si>
  <si>
    <t>Nick Sabo</t>
  </si>
  <si>
    <t>California State Long Beach</t>
  </si>
  <si>
    <t>sa829568</t>
  </si>
  <si>
    <t>Tommy John</t>
  </si>
  <si>
    <t xml:space="preserve">Brandon Cumpton </t>
  </si>
  <si>
    <t>Georgia IT</t>
  </si>
  <si>
    <t>Shoulder surgery</t>
  </si>
  <si>
    <t>Robby Sexton</t>
  </si>
  <si>
    <t>Wright State</t>
  </si>
  <si>
    <t>Scott Williamson</t>
  </si>
  <si>
    <t>sa918300</t>
  </si>
  <si>
    <t>Drew Butera</t>
  </si>
  <si>
    <t>Kyle Smith</t>
  </si>
  <si>
    <t>sa597834</t>
  </si>
  <si>
    <t>Mike Montgomery</t>
  </si>
  <si>
    <t>Shae Simmons</t>
  </si>
  <si>
    <t>Southeast Missouri State</t>
  </si>
  <si>
    <t>Tricep tightness</t>
  </si>
  <si>
    <t>Shoulder tendinitis</t>
  </si>
  <si>
    <t>Onas Farfan</t>
  </si>
  <si>
    <t>Ridgewater</t>
  </si>
  <si>
    <t>sa829262</t>
  </si>
  <si>
    <t>Carlos Aponte</t>
  </si>
  <si>
    <t>sa736895</t>
  </si>
  <si>
    <t>Derick Velazquez</t>
  </si>
  <si>
    <t>California State Fresno, Merced</t>
  </si>
  <si>
    <t>sa658254</t>
  </si>
  <si>
    <t>Jacob Dahlstrand</t>
  </si>
  <si>
    <t>Sean Burnett</t>
  </si>
  <si>
    <t>Eric O'Flaherty</t>
  </si>
  <si>
    <t>sa548492</t>
  </si>
  <si>
    <t>Shane Loux</t>
  </si>
  <si>
    <t>Dartmouth</t>
  </si>
  <si>
    <t>sa738350</t>
  </si>
  <si>
    <t>Eduardo Sanchez</t>
  </si>
  <si>
    <t>Shawn Hill</t>
  </si>
  <si>
    <t>Zac Reininger</t>
  </si>
  <si>
    <t>Hill</t>
  </si>
  <si>
    <t>sa737896</t>
  </si>
  <si>
    <t>Sam Lewis</t>
  </si>
  <si>
    <t>Indiana Wesleyan</t>
  </si>
  <si>
    <t>sa701852</t>
  </si>
  <si>
    <t>Cesar Araujo</t>
  </si>
  <si>
    <t>sa828120</t>
  </si>
  <si>
    <t>Ryan Etsell</t>
  </si>
  <si>
    <t>Hillsborough</t>
  </si>
  <si>
    <t>sa739294</t>
  </si>
  <si>
    <t>Nicholas Padilla</t>
  </si>
  <si>
    <t>Grayson County</t>
  </si>
  <si>
    <t>sa875621</t>
  </si>
  <si>
    <t>Garrett Gould</t>
  </si>
  <si>
    <t>sa500824</t>
  </si>
  <si>
    <t>Luis Sardinas</t>
  </si>
  <si>
    <t>Mariners</t>
  </si>
  <si>
    <t>Mason Melotakis</t>
  </si>
  <si>
    <t>Northwestern State Louisiana</t>
  </si>
  <si>
    <t>Fernando Salas</t>
  </si>
  <si>
    <t>sa621016</t>
  </si>
  <si>
    <t>Oral Roberts, Seminole State</t>
  </si>
  <si>
    <t>Shoulder inflammation</t>
  </si>
  <si>
    <t>Joan De La Cruz</t>
  </si>
  <si>
    <t>Shawn Kelley</t>
  </si>
  <si>
    <t>sa679922</t>
  </si>
  <si>
    <t>Jeff Ibarra</t>
  </si>
  <si>
    <t>Steve Ontiveros</t>
  </si>
  <si>
    <t>Lee</t>
  </si>
  <si>
    <t>sa502106</t>
  </si>
  <si>
    <t>Dr. Jan Fronek, Dr. Heinz Hoenecke, Dr. Daniel Keefe</t>
  </si>
  <si>
    <t>Mark Clark</t>
  </si>
  <si>
    <t>sa840069</t>
  </si>
  <si>
    <t>Dr. Koco Eaton</t>
  </si>
  <si>
    <t>Daniel Winkler</t>
  </si>
  <si>
    <t>Indian River</t>
  </si>
  <si>
    <t>Matt Whitehouse</t>
  </si>
  <si>
    <t>California Irvine</t>
  </si>
  <si>
    <t>sa738202</t>
  </si>
  <si>
    <t>Matt DeRosier</t>
  </si>
  <si>
    <t>Southwestern</t>
  </si>
  <si>
    <t>sa738347</t>
  </si>
  <si>
    <t>Dr. Wiemi Douoguih</t>
  </si>
  <si>
    <t>Johnny Magliozzi</t>
  </si>
  <si>
    <t>sa599745</t>
  </si>
  <si>
    <t>Max Fried</t>
  </si>
  <si>
    <t>sa657860</t>
  </si>
  <si>
    <t>Neil Wagner</t>
  </si>
  <si>
    <t>North Dakota State</t>
  </si>
  <si>
    <t>Tyler Saladino</t>
  </si>
  <si>
    <t>Oral Roberts, Palomar</t>
  </si>
  <si>
    <t>Eduardo Escobar</t>
  </si>
  <si>
    <t>Twins</t>
  </si>
  <si>
    <t>Tyler Skaggs</t>
  </si>
  <si>
    <t>Biceps tendinitis</t>
  </si>
  <si>
    <t>Adrian Grullon</t>
  </si>
  <si>
    <t>Fernando Abad</t>
  </si>
  <si>
    <t>sa608056</t>
  </si>
  <si>
    <t>Ramon Morla</t>
  </si>
  <si>
    <t>3B</t>
  </si>
  <si>
    <t>sa509509</t>
  </si>
  <si>
    <t>Mikey York</t>
  </si>
  <si>
    <t>Southern Nevada</t>
  </si>
  <si>
    <t>sa918008</t>
  </si>
  <si>
    <t>Dillon Peters</t>
  </si>
  <si>
    <t>sa599187</t>
  </si>
  <si>
    <t>Stephen Fife</t>
  </si>
  <si>
    <t>Idaho</t>
  </si>
  <si>
    <t>Utah</t>
  </si>
  <si>
    <t>Steven Inch</t>
  </si>
  <si>
    <t>sa501555</t>
  </si>
  <si>
    <t>Nate Jones</t>
  </si>
  <si>
    <t>Tim Spooneybarger</t>
  </si>
  <si>
    <t>Northern Kentucky</t>
  </si>
  <si>
    <t>Rob Whalen</t>
  </si>
  <si>
    <t>Hector Hernandez</t>
  </si>
  <si>
    <t>sa501640</t>
  </si>
  <si>
    <t>Tyler Chatwood</t>
  </si>
  <si>
    <t>Dylan Cease</t>
  </si>
  <si>
    <t>sa829000</t>
  </si>
  <si>
    <t>Tyler White</t>
  </si>
  <si>
    <t>Dustin Houle</t>
  </si>
  <si>
    <t>Yankees</t>
  </si>
  <si>
    <t>Todd Coffey</t>
  </si>
  <si>
    <t>sa598106</t>
  </si>
  <si>
    <t>Trevor Bell</t>
  </si>
  <si>
    <t>Josh Fields</t>
  </si>
  <si>
    <t>Bronson Arroyo</t>
  </si>
  <si>
    <t>Dr. Michael Lee, Dr. Don Sheridan</t>
  </si>
  <si>
    <t>Elbow, stem cell</t>
  </si>
  <si>
    <t>Tom Robson</t>
  </si>
  <si>
    <t>sa597959</t>
  </si>
  <si>
    <t>Sam Demel</t>
  </si>
  <si>
    <t>Texas Christian</t>
  </si>
  <si>
    <t>Parkland, Central Florida</t>
  </si>
  <si>
    <t>Matt Marksberry</t>
  </si>
  <si>
    <t>Jacob Bosiokovic</t>
  </si>
  <si>
    <t>1B</t>
  </si>
  <si>
    <t>Ohio State</t>
  </si>
  <si>
    <t>sa918394</t>
  </si>
  <si>
    <t>Endrys Briceno</t>
  </si>
  <si>
    <t>Tyler Yates</t>
  </si>
  <si>
    <t>sa505062</t>
  </si>
  <si>
    <t>Vance Wilson</t>
  </si>
  <si>
    <t>Fernando Romero</t>
  </si>
  <si>
    <t>sa657418</t>
  </si>
  <si>
    <t>Chris Flexen</t>
  </si>
  <si>
    <t>sa658306</t>
  </si>
  <si>
    <t>Marvin Gorgas</t>
  </si>
  <si>
    <t>sa829061</t>
  </si>
  <si>
    <t>Josh Pennington</t>
  </si>
  <si>
    <t>Ryan Flaherty</t>
  </si>
  <si>
    <t>Orioles</t>
  </si>
  <si>
    <t>sa829654</t>
  </si>
  <si>
    <t>Mets</t>
  </si>
  <si>
    <t>Derek Law</t>
  </si>
  <si>
    <t>Miami Dade</t>
  </si>
  <si>
    <t>Wade LeBlanc</t>
  </si>
  <si>
    <t>Tyler Higgins</t>
  </si>
  <si>
    <t>Lansing</t>
  </si>
  <si>
    <t>sa503722</t>
  </si>
  <si>
    <t>Matt Wieters</t>
  </si>
  <si>
    <t>Daniel Moskos</t>
  </si>
  <si>
    <t>Clemson</t>
  </si>
  <si>
    <t>Jeff Walters</t>
  </si>
  <si>
    <t>Victor Zambrano</t>
  </si>
  <si>
    <t>St. Petersburg, Georgia</t>
  </si>
  <si>
    <t>sa328221</t>
  </si>
  <si>
    <t>Eduardo Jimenez</t>
  </si>
  <si>
    <t>sa655954</t>
  </si>
  <si>
    <t>Brewers</t>
  </si>
  <si>
    <t>Milwaukee</t>
  </si>
  <si>
    <t>Xavier Nady</t>
  </si>
  <si>
    <t>Jared Ruxer</t>
  </si>
  <si>
    <t>Louisville</t>
  </si>
  <si>
    <t>sa602422</t>
  </si>
  <si>
    <t>Duke Welker</t>
  </si>
  <si>
    <t>Seminole State, Arkansas</t>
  </si>
  <si>
    <t>Chris Withrow</t>
  </si>
  <si>
    <t>Erick Fedde</t>
  </si>
  <si>
    <t>UNLV</t>
  </si>
  <si>
    <t>sa599293</t>
  </si>
  <si>
    <t>Ryan Brasier</t>
  </si>
  <si>
    <t>Weatherford</t>
  </si>
  <si>
    <t>Tyler Holt</t>
  </si>
  <si>
    <t>Heath Holder</t>
  </si>
  <si>
    <t>sa602623</t>
  </si>
  <si>
    <t>Dietrich Enns</t>
  </si>
  <si>
    <t>Blake Parker</t>
  </si>
  <si>
    <t>sa579749</t>
  </si>
  <si>
    <t>Caleb Ferguson</t>
  </si>
  <si>
    <t>sa829827</t>
  </si>
  <si>
    <t>Matt Purke</t>
  </si>
  <si>
    <t>Jose Cisnero</t>
  </si>
  <si>
    <t>Brad Renner</t>
  </si>
  <si>
    <t>Florida College</t>
  </si>
  <si>
    <t>sa738395</t>
  </si>
  <si>
    <t>Randy Rosario</t>
  </si>
  <si>
    <t>Yhonathan Barrios</t>
  </si>
  <si>
    <t>sa597117</t>
  </si>
  <si>
    <t>Keith Butler</t>
  </si>
  <si>
    <t>Wabash Velley</t>
  </si>
  <si>
    <t>Draft Year</t>
  </si>
  <si>
    <t>Draft Position</t>
  </si>
  <si>
    <t>Dante Biasi</t>
  </si>
  <si>
    <t>Scott McGough</t>
  </si>
  <si>
    <t>Kyle Serrano</t>
  </si>
  <si>
    <t>Keegan Thompson</t>
  </si>
  <si>
    <t>Clinton Hollon</t>
  </si>
  <si>
    <t>Jaxon Shirley</t>
  </si>
  <si>
    <t>sa737544</t>
  </si>
  <si>
    <t>Wil Crowe</t>
  </si>
  <si>
    <t>Bailey Ober</t>
  </si>
  <si>
    <t>Anthony Fernandez</t>
  </si>
  <si>
    <t>Morgan Cooper</t>
  </si>
  <si>
    <t>sa503582</t>
  </si>
  <si>
    <t>Welby Malczewski</t>
  </si>
  <si>
    <t>Jesse Chavez</t>
  </si>
  <si>
    <t>Mitchell Traver</t>
  </si>
  <si>
    <t>Chad Jones</t>
  </si>
  <si>
    <t>Brigham Hill</t>
  </si>
  <si>
    <t>LSU</t>
  </si>
  <si>
    <t>Riley Thompson</t>
  </si>
  <si>
    <t>sa381627</t>
  </si>
  <si>
    <t>Bryan Hoeing</t>
  </si>
  <si>
    <t>Cody Morris</t>
  </si>
  <si>
    <t>Martin Perez</t>
  </si>
  <si>
    <t>Jason Bilous</t>
  </si>
  <si>
    <t>Brenden Spillane</t>
  </si>
  <si>
    <t>Ryan Lillard</t>
  </si>
  <si>
    <t>Bryce Montes de Oca</t>
  </si>
  <si>
    <t>Josh Pettitte</t>
  </si>
  <si>
    <t>Jose Fernandez</t>
  </si>
  <si>
    <t>Justin Dillon</t>
  </si>
  <si>
    <t>Josh Dezse</t>
  </si>
  <si>
    <t>Raul Alcantara</t>
  </si>
  <si>
    <t>Jeff Hoffman</t>
  </si>
  <si>
    <t>East Carolina</t>
  </si>
  <si>
    <t>Tyler Bashlor</t>
  </si>
  <si>
    <t>South Georgia</t>
  </si>
  <si>
    <t>sa737928</t>
  </si>
  <si>
    <t>Danny Rosenbaum</t>
  </si>
  <si>
    <t>Xavier</t>
  </si>
  <si>
    <t>sa502078</t>
  </si>
  <si>
    <t>James Marvel</t>
  </si>
  <si>
    <t>sa659052</t>
  </si>
  <si>
    <t>Matt Reistetter</t>
  </si>
  <si>
    <t>Hofstra</t>
  </si>
  <si>
    <t>sa707779</t>
  </si>
  <si>
    <t>Pete Kelich</t>
  </si>
  <si>
    <t>Bryant</t>
  </si>
  <si>
    <t>sa738910</t>
  </si>
  <si>
    <t>A.J. Griffin</t>
  </si>
  <si>
    <t>Phil Coke</t>
  </si>
  <si>
    <t>Johnny Hellweg</t>
  </si>
  <si>
    <t>Mac Williamson</t>
  </si>
  <si>
    <t>Wake Forest</t>
  </si>
  <si>
    <t>sa602852</t>
  </si>
  <si>
    <t>Vicente Campos</t>
  </si>
  <si>
    <t>St. Louis</t>
  </si>
  <si>
    <t>Ben Smith</t>
  </si>
  <si>
    <t>Junior Morillo</t>
  </si>
  <si>
    <t>Link</t>
  </si>
  <si>
    <t>Alan Busenitz</t>
  </si>
  <si>
    <t>Bartolome Fortunato</t>
  </si>
  <si>
    <t>Scheduled for May 18, 2006, but decided to get second opinion</t>
  </si>
  <si>
    <t>Brandon Webb</t>
  </si>
  <si>
    <t>sa506282</t>
  </si>
  <si>
    <t>Conflicting online claims, seems like shoulder surgery not TJ</t>
  </si>
  <si>
    <t>Brent Billingsley</t>
  </si>
  <si>
    <t>Brett Gray</t>
  </si>
  <si>
    <t>Matt Krook</t>
  </si>
  <si>
    <t>Carlos Beltran</t>
  </si>
  <si>
    <t>Third UCL injury did not lead to TJ</t>
  </si>
  <si>
    <t>http://www.baseballprospectus.com/article.php?articleid=16104</t>
  </si>
  <si>
    <t>Cory Gearrin</t>
  </si>
  <si>
    <t>Mercer</t>
  </si>
  <si>
    <t>First one date unknown, second one was July 2012</t>
  </si>
  <si>
    <t>Chris Spurling</t>
  </si>
  <si>
    <t>Maybe no second one</t>
  </si>
  <si>
    <t>Conor Mullee</t>
  </si>
  <si>
    <t>Only had one TJ, other two surgeries were not TJs</t>
  </si>
  <si>
    <t>Brian Moran</t>
  </si>
  <si>
    <t>https://twitter.com/cmullee11/status/728238350306578436</t>
  </si>
  <si>
    <t>Colby Lewis</t>
  </si>
  <si>
    <t>Seems 2004 surgery was rotator cuff</t>
  </si>
  <si>
    <t>sa501495</t>
  </si>
  <si>
    <t>Damian Moss</t>
  </si>
  <si>
    <t>Not sure source is reliable</t>
  </si>
  <si>
    <t>Tyler Clippard</t>
  </si>
  <si>
    <t>Dana Eveland</t>
  </si>
  <si>
    <t>Boston Globe says TJ in 2013, but was pitching in KBO</t>
  </si>
  <si>
    <t>Deion Sanders</t>
  </si>
  <si>
    <t>Braden Webb</t>
  </si>
  <si>
    <t>Didi Gregorius</t>
  </si>
  <si>
    <t>BP has surgery 7/8/2009, but he played games through then</t>
  </si>
  <si>
    <t>Dustin McGowan</t>
  </si>
  <si>
    <t>Seems 2008 was rotator cuff and labrum</t>
  </si>
  <si>
    <t>Eric Gagne</t>
  </si>
  <si>
    <t>2005 surgery just repaired tear in original graft from 1997 TJ</t>
  </si>
  <si>
    <t>http://www.cbc.ca/sports/baseball/eric-gagne-dodges-tommy-john-surgery-1.550244</t>
  </si>
  <si>
    <t>Wes Benjamin</t>
  </si>
  <si>
    <t>Eric Stults</t>
  </si>
  <si>
    <t>Harrison Bishop</t>
  </si>
  <si>
    <t>Jamie Brown</t>
  </si>
  <si>
    <t>Jaret Wright</t>
  </si>
  <si>
    <t>2008 surgery was torn labrum it seems not ligament/TJ</t>
  </si>
  <si>
    <t>http://m.cardinals.mlb.com/news/article/3336721/</t>
  </si>
  <si>
    <t>Jay Payton</t>
  </si>
  <si>
    <t>sa602914</t>
  </si>
  <si>
    <t>First one end of 1995 season, second one date unknown</t>
  </si>
  <si>
    <t>Jimmy Key</t>
  </si>
  <si>
    <t>1988 surgery was to remove bone chips</t>
  </si>
  <si>
    <t>Johan Santana</t>
  </si>
  <si>
    <t>Probably not TJ</t>
  </si>
  <si>
    <t>John Farrell</t>
  </si>
  <si>
    <t>Jameson Taillon</t>
  </si>
  <si>
    <t>BP has 10/5/1990 but was TJ? 9/9/1991 confirmed TJ</t>
  </si>
  <si>
    <t>John Webb</t>
  </si>
  <si>
    <t>Jose Rijo</t>
  </si>
  <si>
    <t>Second operation may not have been TJS</t>
  </si>
  <si>
    <t>http://books.google.ca/books?id=4TJ4gxrpRTQC&amp;pg=PA71&amp;lpg=PA71&amp;dq=Jose+Rijo+first+Tommy+John+surgery&amp;source=bl&amp;ots=-Q_0TB9nBe&amp;sig=Pl7KrbAaRCB2DvETYoAhDiNmXlc&amp;hl=en&amp;sa=X&amp;ei=GForU8aRMIPG0QH5z4DQAg&amp;ved=0CG4Q6AEwCQ#v=onepage&amp;q=Rijo&amp;f=false</t>
  </si>
  <si>
    <t>Third operation may not have been TJS</t>
  </si>
  <si>
    <t>Bobby Parnell</t>
  </si>
  <si>
    <t>Charleston Southern</t>
  </si>
  <si>
    <t>Fourth operation was not TJS</t>
  </si>
  <si>
    <t>Erik Davis</t>
  </si>
  <si>
    <t>Fifth operation was not TJS</t>
  </si>
  <si>
    <t>Stanford</t>
  </si>
  <si>
    <t>Jose Rojas</t>
  </si>
  <si>
    <t>Kenny Rogers</t>
  </si>
  <si>
    <t>Seems 2006 was shoulder surgery, 2007 was non-TJ elbow</t>
  </si>
  <si>
    <t>Mariano Rivera</t>
  </si>
  <si>
    <t>Ross Stripling</t>
  </si>
  <si>
    <t>Mark DiFelice</t>
  </si>
  <si>
    <t>Confirmed 2009 was shoulder surgery</t>
  </si>
  <si>
    <t>Mark Harriger</t>
  </si>
  <si>
    <t>Paul Bush</t>
  </si>
  <si>
    <t>Roberto Alomar</t>
  </si>
  <si>
    <t>Sandy Koufax</t>
  </si>
  <si>
    <t>Confirmed no TJS from Dr. Jobe HOF Group</t>
  </si>
  <si>
    <t>Jordan Walden</t>
  </si>
  <si>
    <t>Only had two TJs</t>
  </si>
  <si>
    <t>http://blogs.mycentraljersey.com/patriots/2010/08/03/scott-williamson-q-a/</t>
  </si>
  <si>
    <t>Shintaro Ejiri</t>
  </si>
  <si>
    <t>Never pitched outside of Japan</t>
  </si>
  <si>
    <t>Tyson Ross</t>
  </si>
  <si>
    <t>BP has 2005, but looks like he pitched through 2005 and 2006</t>
  </si>
  <si>
    <t>David Hernandez</t>
  </si>
  <si>
    <t>Cosumnes River</t>
  </si>
  <si>
    <t>Kyle Hart</t>
  </si>
  <si>
    <t>sa918414</t>
  </si>
  <si>
    <t>Organization</t>
  </si>
  <si>
    <t>Corey Williams</t>
  </si>
  <si>
    <t>Recorded Tommy John Surgeries</t>
  </si>
  <si>
    <t>sa597867</t>
  </si>
  <si>
    <t>Jeff Burke</t>
  </si>
  <si>
    <t>Boston College</t>
  </si>
  <si>
    <t>sa857543</t>
  </si>
  <si>
    <t>MiLB</t>
  </si>
  <si>
    <t>Draft</t>
  </si>
  <si>
    <t>Total</t>
  </si>
  <si>
    <t>Actual Return</t>
  </si>
  <si>
    <t>Nick McBride</t>
  </si>
  <si>
    <t>Jhan Marinez</t>
  </si>
  <si>
    <t>Return Time Philosophy</t>
  </si>
  <si>
    <t>sa501460</t>
  </si>
  <si>
    <t>Robert Calvano</t>
  </si>
  <si>
    <t>Months</t>
  </si>
  <si>
    <t>Nebraska-Omaha, Johnson County</t>
  </si>
  <si>
    <t>sa919041</t>
  </si>
  <si>
    <t>Bruce Rondon</t>
  </si>
  <si>
    <t>Connor Sadzeck</t>
  </si>
  <si>
    <t>Howard</t>
  </si>
  <si>
    <t>sa550247</t>
  </si>
  <si>
    <t>Patrick Corbin</t>
  </si>
  <si>
    <t>Chipola, Mohawk Valley</t>
  </si>
  <si>
    <t>Mitch Harris</t>
  </si>
  <si>
    <t>Clay Holmes</t>
  </si>
  <si>
    <t>sa598167</t>
  </si>
  <si>
    <t>Jace Chancellor</t>
  </si>
  <si>
    <t>Lubbock Christian</t>
  </si>
  <si>
    <t>Santa Ana</t>
  </si>
  <si>
    <t>Luke Hochevar</t>
  </si>
  <si>
    <t>Kevin Jepsen</t>
  </si>
  <si>
    <t>Miguel Sano</t>
  </si>
  <si>
    <t>Jordan Stephens</t>
  </si>
  <si>
    <t>Rice</t>
  </si>
  <si>
    <t>sa875031</t>
  </si>
  <si>
    <t>Jacob Bray</t>
  </si>
  <si>
    <t>Feather River</t>
  </si>
  <si>
    <t>sa738576</t>
  </si>
  <si>
    <t>Scott Moss</t>
  </si>
  <si>
    <t>sa738902</t>
  </si>
  <si>
    <t>Derek DeYoung</t>
  </si>
  <si>
    <t>Oakton</t>
  </si>
  <si>
    <t>sa658335</t>
  </si>
  <si>
    <t>Barret Loux</t>
  </si>
  <si>
    <t>Tyler Lyons</t>
  </si>
  <si>
    <t>sa392162</t>
  </si>
  <si>
    <t>Colton Turner</t>
  </si>
  <si>
    <t>sa658600</t>
  </si>
  <si>
    <t>Cole Irvin</t>
  </si>
  <si>
    <t>sa658684</t>
  </si>
  <si>
    <t>Joe Rogers</t>
  </si>
  <si>
    <t>Central Florida</t>
  </si>
  <si>
    <t>sa621664</t>
  </si>
  <si>
    <t>Marc Rzepczynski</t>
  </si>
  <si>
    <t>Jose Martinez</t>
  </si>
  <si>
    <t>sa828472</t>
  </si>
  <si>
    <t>Erling Moreno</t>
  </si>
  <si>
    <t>Columbia</t>
  </si>
  <si>
    <t>sa827076</t>
  </si>
  <si>
    <t>Anthony Prieto</t>
  </si>
  <si>
    <t>sa657992</t>
  </si>
  <si>
    <t>Austin Reed</t>
  </si>
  <si>
    <t>sa549098</t>
  </si>
  <si>
    <t>Zach Remillard</t>
  </si>
  <si>
    <t>sa659077</t>
  </si>
  <si>
    <t>Jose Lopez</t>
  </si>
  <si>
    <t>sa741018</t>
  </si>
  <si>
    <t>Matt Crouse</t>
  </si>
  <si>
    <t>sa577832</t>
  </si>
  <si>
    <t>Jonas Dufek</t>
  </si>
  <si>
    <t>Creighton</t>
  </si>
  <si>
    <t>sa578908</t>
  </si>
  <si>
    <t>Seth Maness</t>
  </si>
  <si>
    <t>Sebastian Kessay</t>
  </si>
  <si>
    <t>Scottsdale</t>
  </si>
  <si>
    <t>sa738247</t>
  </si>
  <si>
    <t>Delfo Terrero</t>
  </si>
  <si>
    <t>sa831800</t>
  </si>
  <si>
    <t>Ramon Rodriguez</t>
  </si>
  <si>
    <t>sa657131</t>
  </si>
  <si>
    <t>Red Patterson</t>
  </si>
  <si>
    <t>Southwestern Oklahoma State</t>
  </si>
  <si>
    <t>Harvard</t>
  </si>
  <si>
    <t>sa578236</t>
  </si>
  <si>
    <t>Tyler Stirewalt</t>
  </si>
  <si>
    <t>California State Fresno</t>
  </si>
  <si>
    <t>sa738215</t>
  </si>
  <si>
    <t>Sean Murphy</t>
  </si>
  <si>
    <t>Keystone</t>
  </si>
  <si>
    <t>sa549877</t>
  </si>
  <si>
    <t>Ivan Cespedes</t>
  </si>
  <si>
    <t>Andrew Miller</t>
  </si>
  <si>
    <t>sa920172</t>
  </si>
  <si>
    <t>Art Warren</t>
  </si>
  <si>
    <t>Ashland</t>
  </si>
  <si>
    <t>sa875374</t>
  </si>
  <si>
    <t>sa244221</t>
  </si>
  <si>
    <t>Tyler Melling</t>
  </si>
  <si>
    <t>Miami of Ohio</t>
  </si>
  <si>
    <t>sa599701</t>
  </si>
  <si>
    <t>Jeff Johnson</t>
  </si>
  <si>
    <t>California Polytechnic State</t>
  </si>
  <si>
    <t>sa598064</t>
  </si>
  <si>
    <t>Mitchell White</t>
  </si>
  <si>
    <t>Santa Clara</t>
  </si>
  <si>
    <t>Dallas Beeler</t>
  </si>
  <si>
    <t>sa917948</t>
  </si>
  <si>
    <t>Chicago Cubs</t>
  </si>
  <si>
    <t>Matt Harvey</t>
  </si>
  <si>
    <t>Tyler Nevin</t>
  </si>
  <si>
    <t>sa874752</t>
  </si>
  <si>
    <t>Dustin Hurlbutt</t>
  </si>
  <si>
    <t>sa875683</t>
  </si>
  <si>
    <t>Andrew Knapp</t>
  </si>
  <si>
    <t>sa550140</t>
  </si>
  <si>
    <t>Colin Rodgers</t>
  </si>
  <si>
    <t>sa657940</t>
  </si>
  <si>
    <t>Drew Storen</t>
  </si>
  <si>
    <t>Raudel Lazo</t>
  </si>
  <si>
    <t>Matt Reynolds</t>
  </si>
  <si>
    <t>Austin Peay State</t>
  </si>
  <si>
    <t>Rafael Betancourt</t>
  </si>
  <si>
    <t>J.T. Chargois</t>
  </si>
  <si>
    <t>Josh Mueller</t>
  </si>
  <si>
    <t>Aaron Brooks</t>
  </si>
  <si>
    <t>Eastern Illinois</t>
  </si>
  <si>
    <t>sa526401</t>
  </si>
  <si>
    <t>Brooks Pounders</t>
  </si>
  <si>
    <t>Gabe Speier</t>
  </si>
  <si>
    <t>sa738213</t>
  </si>
  <si>
    <t>Luis Merejo</t>
  </si>
  <si>
    <t>sa659186</t>
  </si>
  <si>
    <t>Andy Loomis</t>
  </si>
  <si>
    <t>Purdue</t>
  </si>
  <si>
    <t>sa455321</t>
  </si>
  <si>
    <t>Bobby Bundy</t>
  </si>
  <si>
    <t>9-12</t>
  </si>
  <si>
    <t>sa454969</t>
  </si>
  <si>
    <t>https://twitter.com/m_sheldon/status/596798256627249153</t>
  </si>
  <si>
    <t>Brandon Brennan</t>
  </si>
  <si>
    <t>Orange Coast</t>
  </si>
  <si>
    <t>sa550121</t>
  </si>
  <si>
    <t>Pat Misch</t>
  </si>
  <si>
    <t>Western Michigan</t>
  </si>
  <si>
    <t>Austin Wood</t>
  </si>
  <si>
    <t>St. Petersburg, USC</t>
  </si>
  <si>
    <t>sa548294</t>
  </si>
  <si>
    <t>James Shields</t>
  </si>
  <si>
    <t>Tom Stuifbergen</t>
  </si>
  <si>
    <t>Netherlands</t>
  </si>
  <si>
    <t>sa397814</t>
  </si>
  <si>
    <t>Alec Mills</t>
  </si>
  <si>
    <t>Jason Marquis</t>
  </si>
  <si>
    <t>Roberto Osuna</t>
  </si>
  <si>
    <t>Zac Rosscup</t>
  </si>
  <si>
    <t>Taylor Guerrieri</t>
  </si>
  <si>
    <t>sa597787</t>
  </si>
  <si>
    <t>David Paulino</t>
  </si>
  <si>
    <t>Stephen Bruno</t>
  </si>
  <si>
    <t>IF</t>
  </si>
  <si>
    <t>sa502917</t>
  </si>
  <si>
    <t>Matt Strahm</t>
  </si>
  <si>
    <t>North Dakota</t>
  </si>
  <si>
    <t>Neosho County</t>
  </si>
  <si>
    <t>Dr. Vincent Key</t>
  </si>
  <si>
    <t>Kyle McPherson</t>
  </si>
  <si>
    <t>Percentage</t>
  </si>
  <si>
    <t>Faulkner State, Jefferson Davis, Mobile</t>
  </si>
  <si>
    <t>Tim Saunders</t>
  </si>
  <si>
    <t>Marietta</t>
  </si>
  <si>
    <t>sa658896</t>
  </si>
  <si>
    <t>Andrew Simunic</t>
  </si>
  <si>
    <t>UT</t>
  </si>
  <si>
    <t>sa455409</t>
  </si>
  <si>
    <t>Pat Venditte</t>
  </si>
  <si>
    <t>Dillon Overton</t>
  </si>
  <si>
    <t>Yoel Mecias</t>
  </si>
  <si>
    <t>sa659408</t>
  </si>
  <si>
    <t>Jason Garcia</t>
  </si>
  <si>
    <t>Dylan Bundy</t>
  </si>
  <si>
    <t>James Naile</t>
  </si>
  <si>
    <t>sa875263</t>
  </si>
  <si>
    <t>Chin-Hui Tsao</t>
  </si>
  <si>
    <t>Los Angeles Dodgers</t>
  </si>
  <si>
    <t>sa392355</t>
  </si>
  <si>
    <t>Jordan Norberto</t>
  </si>
  <si>
    <t>Old Dominion</t>
  </si>
  <si>
    <t>Kyuji Fujikawa</t>
  </si>
  <si>
    <t>Games Ended</t>
  </si>
  <si>
    <t>Luis Mateo</t>
  </si>
  <si>
    <t>Brad Ziegler</t>
  </si>
  <si>
    <t>sa597557</t>
  </si>
  <si>
    <t>Scott Elbert</t>
  </si>
  <si>
    <t>Collin Balester</t>
  </si>
  <si>
    <t>Bryan Brickhouse</t>
  </si>
  <si>
    <t>sa597825</t>
  </si>
  <si>
    <t>Trey Nielsen</t>
  </si>
  <si>
    <t>sa550155</t>
  </si>
  <si>
    <t>Hunter Strickland</t>
  </si>
  <si>
    <t>Chris Hatcher</t>
  </si>
  <si>
    <t>Jeff Degano</t>
  </si>
  <si>
    <t>sa874795</t>
  </si>
  <si>
    <t>Matt Lane</t>
  </si>
  <si>
    <t>sa598261</t>
  </si>
  <si>
    <t>Elbow discomfort, PRP</t>
  </si>
  <si>
    <t>Jose Barraza</t>
  </si>
  <si>
    <t>Josh Collmenter</t>
  </si>
  <si>
    <t>sa658096</t>
  </si>
  <si>
    <t>Stephen Tromblee</t>
  </si>
  <si>
    <t>sa599573</t>
  </si>
  <si>
    <t>Jason Motte</t>
  </si>
  <si>
    <t>Iona</t>
  </si>
  <si>
    <t>Carlos Frias</t>
  </si>
  <si>
    <t>Ty Morrison</t>
  </si>
  <si>
    <t>sa454513</t>
  </si>
  <si>
    <t>Ryan McNeil</t>
  </si>
  <si>
    <t>sa657941</t>
  </si>
  <si>
    <t>Western Illinois</t>
  </si>
  <si>
    <t>sa599251</t>
  </si>
  <si>
    <t>Drew Steckenrider</t>
  </si>
  <si>
    <t>sa621408</t>
  </si>
  <si>
    <t>Overall</t>
  </si>
  <si>
    <t>Quintin Torres-Costa</t>
  </si>
  <si>
    <t>Hawaii</t>
  </si>
  <si>
    <t>sa876206</t>
  </si>
  <si>
    <t>Seth Harvey</t>
  </si>
  <si>
    <t>Tommy Layne</t>
  </si>
  <si>
    <t>Washington State</t>
  </si>
  <si>
    <t>sa503537</t>
  </si>
  <si>
    <t xml:space="preserve">Gabe Encinas </t>
  </si>
  <si>
    <t>sa548350</t>
  </si>
  <si>
    <t>Kyle Higashioka</t>
  </si>
  <si>
    <t>sa454957</t>
  </si>
  <si>
    <t>David Whitehead</t>
  </si>
  <si>
    <t>Elon</t>
  </si>
  <si>
    <t>sa549998</t>
  </si>
  <si>
    <t>Jeff Inman</t>
  </si>
  <si>
    <t>sa328057</t>
  </si>
  <si>
    <t>Trevor Megill</t>
  </si>
  <si>
    <t>Loyola Maramount</t>
  </si>
  <si>
    <t>sa828803</t>
  </si>
  <si>
    <t>John Ely</t>
  </si>
  <si>
    <t>Nick Goody</t>
  </si>
  <si>
    <t>LSU, State College, Florida College</t>
  </si>
  <si>
    <t>Matt Skole</t>
  </si>
  <si>
    <t>sa526563</t>
  </si>
  <si>
    <t>Lucas Harrell</t>
  </si>
  <si>
    <t>Alex White</t>
  </si>
  <si>
    <t>Jordan Sheffield</t>
  </si>
  <si>
    <t>sa738245</t>
  </si>
  <si>
    <t>Chad Bell</t>
  </si>
  <si>
    <t>Walters State</t>
  </si>
  <si>
    <t>sa392168</t>
  </si>
  <si>
    <t>Casey Kelly</t>
  </si>
  <si>
    <t>Jesse Stallings</t>
  </si>
  <si>
    <t>Hyun-Jin Ryu</t>
  </si>
  <si>
    <t>sa915635</t>
  </si>
  <si>
    <t>Jake Kalish</t>
  </si>
  <si>
    <t>George Mason</t>
  </si>
  <si>
    <t>sa709032</t>
  </si>
  <si>
    <t>Brad Kuntz</t>
  </si>
  <si>
    <t>Baylor</t>
  </si>
  <si>
    <t>sa877529</t>
  </si>
  <si>
    <t>Joshua Rogers</t>
  </si>
  <si>
    <t>sa856202</t>
  </si>
  <si>
    <t>Ryan Borucki</t>
  </si>
  <si>
    <t>sa658266</t>
  </si>
  <si>
    <t>El Paso</t>
  </si>
  <si>
    <t>Brandon Sisk</t>
  </si>
  <si>
    <t>Azusa Pacific</t>
  </si>
  <si>
    <t>sa458869</t>
  </si>
  <si>
    <t>Frank Herrmann</t>
  </si>
  <si>
    <t>Neil Ramirez</t>
  </si>
  <si>
    <t>Rafael Furcal</t>
  </si>
  <si>
    <t>Aaron Kurcz</t>
  </si>
  <si>
    <t>sa549903</t>
  </si>
  <si>
    <t>Enrique Zamora</t>
  </si>
  <si>
    <t>Camulet</t>
  </si>
  <si>
    <t xml:space="preserve">Rymer Liriano </t>
  </si>
  <si>
    <t>Taylor Clarke</t>
  </si>
  <si>
    <t>Charleston, Towson</t>
  </si>
  <si>
    <t>sa874810</t>
  </si>
  <si>
    <t>Raymond Black</t>
  </si>
  <si>
    <t>San Francisco</t>
  </si>
  <si>
    <t>sa579473</t>
  </si>
  <si>
    <t>Pierce Romero</t>
  </si>
  <si>
    <t>Santa Barbara City</t>
  </si>
  <si>
    <t>sa875216</t>
  </si>
  <si>
    <t>Chase Johnson-Mullins</t>
  </si>
  <si>
    <t>Shelton State</t>
  </si>
  <si>
    <t>sa877875</t>
  </si>
  <si>
    <t>Trey Keegan</t>
  </si>
  <si>
    <t>Bowling Green</t>
  </si>
  <si>
    <t>sa874009</t>
  </si>
  <si>
    <t>Pensacola Junior</t>
  </si>
  <si>
    <t>sa328243</t>
  </si>
  <si>
    <t>Dakota Mitchell</t>
  </si>
  <si>
    <t>Conor Costello</t>
  </si>
  <si>
    <t>Arkansas, Oklahoma State</t>
  </si>
  <si>
    <t>sa598296</t>
  </si>
  <si>
    <t>11+</t>
  </si>
  <si>
    <t>http://www.nydailynews.com/sports/baseball/mets/harvey-pitch-season-collins-job-safe-mets-gm-article-1.1824543</t>
  </si>
  <si>
    <t>Alex Hermeling</t>
  </si>
  <si>
    <t>sa602673</t>
  </si>
  <si>
    <t>Paul Clemens</t>
  </si>
  <si>
    <t>Kevin Johnson</t>
  </si>
  <si>
    <t>sa658842</t>
  </si>
  <si>
    <t>Rinku Singh</t>
  </si>
  <si>
    <t>India</t>
  </si>
  <si>
    <t>sa505589</t>
  </si>
  <si>
    <t>Spencer Kieboom</t>
  </si>
  <si>
    <t>Tommy Peterson</t>
  </si>
  <si>
    <t>South Florida</t>
  </si>
  <si>
    <t>sa875600</t>
  </si>
  <si>
    <t>Caleb Frare</t>
  </si>
  <si>
    <t>Montana</t>
  </si>
  <si>
    <t>sa658179</t>
  </si>
  <si>
    <t>Shawn Haviland</t>
  </si>
  <si>
    <t>sa454866</t>
  </si>
  <si>
    <t>Chris Heston</t>
  </si>
  <si>
    <t>Scott Carroll</t>
  </si>
  <si>
    <t>Missouri State</t>
  </si>
  <si>
    <t>Matthew Grimes</t>
  </si>
  <si>
    <t>sa548289</t>
  </si>
  <si>
    <t>Manny Banuelos</t>
  </si>
  <si>
    <t>Austin Schuetzle</t>
  </si>
  <si>
    <t>sa833080</t>
  </si>
  <si>
    <t>Tim Melville</t>
  </si>
  <si>
    <t>Will Smith</t>
  </si>
  <si>
    <t>John Fasola</t>
  </si>
  <si>
    <t>Kansas State, Kent State</t>
  </si>
  <si>
    <t>sa550022</t>
  </si>
  <si>
    <t>Joe Broussard</t>
  </si>
  <si>
    <t>sa708442</t>
  </si>
  <si>
    <t>Juan Oviedo</t>
  </si>
  <si>
    <t>Shao-Ching Chiang</t>
  </si>
  <si>
    <t>Carlos Carrasco</t>
  </si>
  <si>
    <t>sa659598</t>
  </si>
  <si>
    <t>Cleveland</t>
  </si>
  <si>
    <t>Lucas Giolito</t>
  </si>
  <si>
    <t>Lester Oliveros</t>
  </si>
  <si>
    <t>Josh Tomlin</t>
  </si>
  <si>
    <t>Angelina, Texas Tech</t>
  </si>
  <si>
    <t>Matt West</t>
  </si>
  <si>
    <t>Alex Wimmers</t>
  </si>
  <si>
    <t>J.C. Ramirez</t>
  </si>
  <si>
    <t>Neftali Feliz</t>
  </si>
  <si>
    <t>David Perez</t>
  </si>
  <si>
    <t>sa548117</t>
  </si>
  <si>
    <t>Michael Clevinger</t>
  </si>
  <si>
    <t>Seminole</t>
  </si>
  <si>
    <t>John Curtiss</t>
  </si>
  <si>
    <t>sa599322</t>
  </si>
  <si>
    <t>Joe Wieland</t>
  </si>
  <si>
    <t>Charlie Furbush</t>
  </si>
  <si>
    <t>Seattle</t>
  </si>
  <si>
    <t>Eric Surkamp</t>
  </si>
  <si>
    <t>North Carolina State</t>
  </si>
  <si>
    <t>Luis Perez</t>
  </si>
  <si>
    <t>Matt Maloney</t>
  </si>
  <si>
    <t>Wade Miley</t>
  </si>
  <si>
    <t>Steven Moya</t>
  </si>
  <si>
    <t>Felipe Paulino</t>
  </si>
  <si>
    <t>Reid Humphreys</t>
  </si>
  <si>
    <t>sa738685</t>
  </si>
  <si>
    <t>South Korea</t>
  </si>
  <si>
    <t>Greg Billo</t>
  </si>
  <si>
    <t>sa455523</t>
  </si>
  <si>
    <t>Jeff Brigham</t>
  </si>
  <si>
    <t>sa828882</t>
  </si>
  <si>
    <t>Jarret Leverett</t>
  </si>
  <si>
    <t>Georgia Southern, Middle Georgia State</t>
  </si>
  <si>
    <t>sa658252</t>
  </si>
  <si>
    <t>Patrick Murphy</t>
  </si>
  <si>
    <t>Andrew Cashner</t>
  </si>
  <si>
    <t>sa737629</t>
  </si>
  <si>
    <t>Charlie Morton</t>
  </si>
  <si>
    <t>Robert Fish</t>
  </si>
  <si>
    <t>sa326802</t>
  </si>
  <si>
    <t>Jose Contreras</t>
  </si>
  <si>
    <t>Andrew Carignan</t>
  </si>
  <si>
    <t>David Herndon</t>
  </si>
  <si>
    <t>Gulf Coast</t>
  </si>
  <si>
    <t>Nate Karns</t>
  </si>
  <si>
    <t>Danny Duffy</t>
  </si>
  <si>
    <t>Ryan Beckman</t>
  </si>
  <si>
    <t>sa501977</t>
  </si>
  <si>
    <t>Nate Griep</t>
  </si>
  <si>
    <t>Kansas State</t>
  </si>
  <si>
    <t>sa875199</t>
  </si>
  <si>
    <t>Juan Oramas</t>
  </si>
  <si>
    <t>Antonio Bastardo</t>
  </si>
  <si>
    <t>sa508100</t>
  </si>
  <si>
    <t>Marcos Mateo</t>
  </si>
  <si>
    <t>Fu-Te Ni</t>
  </si>
  <si>
    <t>Scott Barlow</t>
  </si>
  <si>
    <t>sa597976</t>
  </si>
  <si>
    <t>Mitch Conner</t>
  </si>
  <si>
    <t>sa599800</t>
  </si>
  <si>
    <t>Adrian Sampson</t>
  </si>
  <si>
    <t>Xavier Macklin</t>
  </si>
  <si>
    <t>North Carolina A&amp;T State</t>
  </si>
  <si>
    <t>sa598320</t>
  </si>
  <si>
    <t>Grayson Garvin</t>
  </si>
  <si>
    <t>sa526542</t>
  </si>
  <si>
    <t>R.C. Orlan</t>
  </si>
  <si>
    <t>sa503562</t>
  </si>
  <si>
    <t>Blake Wood</t>
  </si>
  <si>
    <t>Josh Conway</t>
  </si>
  <si>
    <t>sa503412</t>
  </si>
  <si>
    <t>Adam Warren</t>
  </si>
  <si>
    <t>Tsuyoshi Wada</t>
  </si>
  <si>
    <t xml:space="preserve"> </t>
  </si>
  <si>
    <t>Austin Ross</t>
  </si>
  <si>
    <t>sa553380</t>
  </si>
  <si>
    <t>George Sherrill</t>
  </si>
  <si>
    <t>Mike Pelfrey</t>
  </si>
  <si>
    <t>New York Mets</t>
  </si>
  <si>
    <t>Joe Beimel</t>
  </si>
  <si>
    <t>Allegany, Duquesne</t>
  </si>
  <si>
    <t>C.C. Lee</t>
  </si>
  <si>
    <t>Cody Scarpetta</t>
  </si>
  <si>
    <t>sa390646</t>
  </si>
  <si>
    <t>Villanova</t>
  </si>
  <si>
    <t>sa455282</t>
  </si>
  <si>
    <t>A.J. Jimenez</t>
  </si>
  <si>
    <t>sa454887</t>
  </si>
  <si>
    <t>Diego Moreno</t>
  </si>
  <si>
    <t>Rob Scahill</t>
  </si>
  <si>
    <t>Jeremy Bonderman</t>
  </si>
  <si>
    <t>12+</t>
  </si>
  <si>
    <t>http://news.nationalpost.com/sports/mlb/toronto-blue-jays-prospect-jeff-hoffman-in-a-low-spot-after-tommy-john-surgery-feeling-great-about-his-arm-and-his-team</t>
  </si>
  <si>
    <t>Scott Baker</t>
  </si>
  <si>
    <t>Michael Kohn</t>
  </si>
  <si>
    <t>Charleston, USC</t>
  </si>
  <si>
    <t>Ryan Madson</t>
  </si>
  <si>
    <t>Jose Ceda</t>
  </si>
  <si>
    <t>Jordan Swagerty</t>
  </si>
  <si>
    <t>sa526415</t>
  </si>
  <si>
    <t>TOTAL</t>
  </si>
  <si>
    <t>Benino Pruneda</t>
  </si>
  <si>
    <t>Jeremy Jeffress</t>
  </si>
  <si>
    <t>sa401631</t>
  </si>
  <si>
    <t>Mason Felt</t>
  </si>
  <si>
    <t>sa657999</t>
  </si>
  <si>
    <t>Jack Armstrong Jr.</t>
  </si>
  <si>
    <t>Daniel Herrera</t>
  </si>
  <si>
    <t>Will Kendall</t>
  </si>
  <si>
    <t>Auburn</t>
  </si>
  <si>
    <t>sa738441</t>
  </si>
  <si>
    <t>Ryan Butler</t>
  </si>
  <si>
    <t>Central Piedmont, North Carolina</t>
  </si>
  <si>
    <t>sa738201</t>
  </si>
  <si>
    <t>Cole Wiper</t>
  </si>
  <si>
    <t>sa599160</t>
  </si>
  <si>
    <t>Justin Miller</t>
  </si>
  <si>
    <t>Bakersfield, California State Fresno</t>
  </si>
  <si>
    <t>Joel Zumaya</t>
  </si>
  <si>
    <t>Sergio Escalona</t>
  </si>
  <si>
    <t>Bud Norris</t>
  </si>
  <si>
    <t>Dean Deetz</t>
  </si>
  <si>
    <t>Northeast Oklahoma A&amp;M</t>
  </si>
  <si>
    <t>sa829001</t>
  </si>
  <si>
    <t>Sammy Solis</t>
  </si>
  <si>
    <t>Matt Crownover</t>
  </si>
  <si>
    <t>Steven Matz</t>
  </si>
  <si>
    <t>sa829277</t>
  </si>
  <si>
    <t>Yean Carlos Gil</t>
  </si>
  <si>
    <t>sa550678</t>
  </si>
  <si>
    <t>Charlie Haeger</t>
  </si>
  <si>
    <t>Matt Jones</t>
  </si>
  <si>
    <t>Hutchinson, Nebraska</t>
  </si>
  <si>
    <t>sa829383</t>
  </si>
  <si>
    <t>Trevor Oaks</t>
  </si>
  <si>
    <t>California Baptist, Biola</t>
  </si>
  <si>
    <t>sa829144</t>
  </si>
  <si>
    <t>Chaz Roe</t>
  </si>
  <si>
    <t>Cameron Roegner</t>
  </si>
  <si>
    <t>sa918493</t>
  </si>
  <si>
    <t>Sean Carley</t>
  </si>
  <si>
    <t>Air Force, West Virginia</t>
  </si>
  <si>
    <t>sa738932</t>
  </si>
  <si>
    <t>Kyle Friedrichs</t>
  </si>
  <si>
    <t>Long Beach State</t>
  </si>
  <si>
    <t>sa875229</t>
  </si>
  <si>
    <t>Bealyn Chourio</t>
  </si>
  <si>
    <t>sa596372</t>
  </si>
  <si>
    <t>Ryan Perez</t>
  </si>
  <si>
    <t>L/R</t>
  </si>
  <si>
    <t>Judson</t>
  </si>
  <si>
    <t>sa857684</t>
  </si>
  <si>
    <t>Andrew Rohrbach</t>
  </si>
  <si>
    <t>sa829158</t>
  </si>
  <si>
    <t>John Lackey</t>
  </si>
  <si>
    <t>Grayson County, Texas</t>
  </si>
  <si>
    <t>Michael Kirkman</t>
  </si>
  <si>
    <t>Leonel Campos</t>
  </si>
  <si>
    <t>Kyle Gibson</t>
  </si>
  <si>
    <t>Chris Lee</t>
  </si>
  <si>
    <t>Baltimore</t>
  </si>
  <si>
    <t>Juan Gutierrez</t>
  </si>
  <si>
    <t>sa550044</t>
  </si>
  <si>
    <t>Tony Pena</t>
  </si>
  <si>
    <t>Zack Cozart</t>
  </si>
  <si>
    <t>Brad Hawpe</t>
  </si>
  <si>
    <t>RF</t>
  </si>
  <si>
    <t>LSU, Navarro</t>
  </si>
  <si>
    <t>Tom Wilhelmsen</t>
  </si>
  <si>
    <t>Jason Hursh</t>
  </si>
  <si>
    <t>Aaron Wilkerson</t>
  </si>
  <si>
    <t>Cumberland</t>
  </si>
  <si>
    <t>sa834395</t>
  </si>
  <si>
    <t>Chia-Jen Lo</t>
  </si>
  <si>
    <t>Kevin Walter</t>
  </si>
  <si>
    <t>sa549483</t>
  </si>
  <si>
    <t>Nick Neumann</t>
  </si>
  <si>
    <t>Central Connecticut State</t>
  </si>
  <si>
    <t>sa829585</t>
  </si>
  <si>
    <t>David Aardsma</t>
  </si>
  <si>
    <t>Rice, Pennsylvania State</t>
  </si>
  <si>
    <t>Carlos Monasterios</t>
  </si>
  <si>
    <t>Alan Farina</t>
  </si>
  <si>
    <t>Patrick Schuster</t>
  </si>
  <si>
    <t>sa388377</t>
  </si>
  <si>
    <t>Brett Anderson</t>
  </si>
  <si>
    <t>Chabot</t>
  </si>
  <si>
    <t>sa454912</t>
  </si>
  <si>
    <t>Jose Casilla</t>
  </si>
  <si>
    <t>sa456056</t>
  </si>
  <si>
    <t>St. Peter's</t>
  </si>
  <si>
    <t>Joba Chamberlain</t>
  </si>
  <si>
    <t>Daisuke Matsuzaka</t>
  </si>
  <si>
    <t>Massachutsetts</t>
  </si>
  <si>
    <t>Aroldis Chapman</t>
  </si>
  <si>
    <t>Jorge De La Rosa</t>
  </si>
  <si>
    <t>John Lamb</t>
  </si>
  <si>
    <t>Everett, Western Nevada</t>
  </si>
  <si>
    <t>Robert Whitenack</t>
  </si>
  <si>
    <t>State of New York</t>
  </si>
  <si>
    <t>sa501603</t>
  </si>
  <si>
    <t>Drew Naylor</t>
  </si>
  <si>
    <t>sa293986</t>
  </si>
  <si>
    <t>Jenrry Mejia</t>
  </si>
  <si>
    <t>Stephen Marek</t>
  </si>
  <si>
    <t>sa288780</t>
  </si>
  <si>
    <t>Chad Smith</t>
  </si>
  <si>
    <t>Cameron Bedrosian</t>
  </si>
  <si>
    <t>Jarred Cosart</t>
  </si>
  <si>
    <t>Andrew Chin</t>
  </si>
  <si>
    <t>sa597887</t>
  </si>
  <si>
    <t>Matt Lujan</t>
  </si>
  <si>
    <t>sa526820</t>
  </si>
  <si>
    <t>Scott McGregor</t>
  </si>
  <si>
    <t>sa455250</t>
  </si>
  <si>
    <t>Nick Hill</t>
  </si>
  <si>
    <t>sa390200</t>
  </si>
  <si>
    <t>Josh Uhen</t>
  </si>
  <si>
    <t>Wisconsin-Milwaukee</t>
  </si>
  <si>
    <t>sa737825</t>
  </si>
  <si>
    <t>Dallas Gallant</t>
  </si>
  <si>
    <t>Sam Houston State</t>
  </si>
  <si>
    <t>sa549670</t>
  </si>
  <si>
    <t>Dr. Dan Buss, Dr. John Steubs</t>
  </si>
  <si>
    <t>Matt Gorgen</t>
  </si>
  <si>
    <t>Hunter Cervenka</t>
  </si>
  <si>
    <t>sa454749</t>
  </si>
  <si>
    <t>Cla Meredith</t>
  </si>
  <si>
    <t>Virginia Commonwealth</t>
  </si>
  <si>
    <t>Daniel Coulombe</t>
  </si>
  <si>
    <t>Randy LeBlanc</t>
  </si>
  <si>
    <t>Tulane</t>
  </si>
  <si>
    <t>sa549258</t>
  </si>
  <si>
    <t>Adam Wainwright</t>
  </si>
  <si>
    <t>Brian Schlitter</t>
  </si>
  <si>
    <t>Charleston, Florida Gateway</t>
  </si>
  <si>
    <t>Adam Lopez</t>
  </si>
  <si>
    <t>Virginia Military</t>
  </si>
  <si>
    <t>sa658598</t>
  </si>
  <si>
    <t>Thomas Royse</t>
  </si>
  <si>
    <t>sa548274</t>
  </si>
  <si>
    <t>Drew Cisco</t>
  </si>
  <si>
    <t>sa548333</t>
  </si>
  <si>
    <t>Scott Oberg</t>
  </si>
  <si>
    <t>Anthony Ranaudo</t>
  </si>
  <si>
    <t>Carmine Giardina</t>
  </si>
  <si>
    <t>Tampa</t>
  </si>
  <si>
    <t>sa328332</t>
  </si>
  <si>
    <t>Cameron Booser</t>
  </si>
  <si>
    <t>Central Arizona, Oregon State</t>
  </si>
  <si>
    <t>sa754843</t>
  </si>
  <si>
    <t>Adam O'Neill</t>
  </si>
  <si>
    <t>sa503967</t>
  </si>
  <si>
    <t>Christian Morris</t>
  </si>
  <si>
    <t>sa873958</t>
  </si>
  <si>
    <t>Corey Black</t>
  </si>
  <si>
    <t>Faulkner, San Diego State</t>
  </si>
  <si>
    <t>sa658004</t>
  </si>
  <si>
    <t>Boof Bonser</t>
  </si>
  <si>
    <t>Eddie Bonine</t>
  </si>
  <si>
    <t>Glendale, Nevada-Reno, Washington State</t>
  </si>
  <si>
    <t>Harrison Musgrave</t>
  </si>
  <si>
    <t>sa738519</t>
  </si>
  <si>
    <t>Drew Pomeranz</t>
  </si>
  <si>
    <t>Wei-Chung Wang</t>
  </si>
  <si>
    <t>Matt Ramsey</t>
  </si>
  <si>
    <t>sa577883</t>
  </si>
  <si>
    <t>sa598307</t>
  </si>
  <si>
    <t>Cesar Vargas</t>
  </si>
  <si>
    <t>Peter Fairbanks</t>
  </si>
  <si>
    <t>sa827454</t>
  </si>
  <si>
    <t>Randy Boone</t>
  </si>
  <si>
    <t>sa389685</t>
  </si>
  <si>
    <t>Zak Wasilewski</t>
  </si>
  <si>
    <t>sa658341</t>
  </si>
  <si>
    <t>A.J. Morris</t>
  </si>
  <si>
    <t>Felipe Rivero</t>
  </si>
  <si>
    <t>Koda Glover</t>
  </si>
  <si>
    <t>Oklahoma State, Eastern Oklahoma State</t>
  </si>
  <si>
    <t>Jamie Moyer</t>
  </si>
  <si>
    <t>St. Joseph's</t>
  </si>
  <si>
    <t>Matt Harrison</t>
  </si>
  <si>
    <t>Philadelphia</t>
  </si>
  <si>
    <t>Michael Nolan</t>
  </si>
  <si>
    <t>Oklahoma City</t>
  </si>
  <si>
    <t>Sam Dyson</t>
  </si>
  <si>
    <t>Scott Gorgen</t>
  </si>
  <si>
    <t>sa454525</t>
  </si>
  <si>
    <t>Justin Maxwell</t>
  </si>
  <si>
    <t>Hector Ambriz</t>
  </si>
  <si>
    <t>Wilmer Font</t>
  </si>
  <si>
    <t>Vincent Velasquez</t>
  </si>
  <si>
    <t>Evan Reed</t>
  </si>
  <si>
    <t>California Polytechnic State, San Luis Obispo</t>
  </si>
  <si>
    <t>Manuel Corpas</t>
  </si>
  <si>
    <t>John Baker</t>
  </si>
  <si>
    <t>Stephen Strasburg</t>
  </si>
  <si>
    <t>San Diego State</t>
  </si>
  <si>
    <t>Vaughn Covington</t>
  </si>
  <si>
    <t>sa598420</t>
  </si>
  <si>
    <t>Erick Threets</t>
  </si>
  <si>
    <t>Modesto Junior</t>
  </si>
  <si>
    <t>Hector Rondon</t>
  </si>
  <si>
    <t>Michael Ynoa</t>
  </si>
  <si>
    <t>Zach Eflin</t>
  </si>
  <si>
    <t>Ben Sheets</t>
  </si>
  <si>
    <t>Louisiana Monroe</t>
  </si>
  <si>
    <t>Danny Salazar</t>
  </si>
  <si>
    <t>Kyle Blanks</t>
  </si>
  <si>
    <t>Yavapai</t>
  </si>
  <si>
    <t>Robbie Aviles</t>
  </si>
  <si>
    <t>sa548357</t>
  </si>
  <si>
    <t>Phil Klein</t>
  </si>
  <si>
    <t>Brett Butts</t>
  </si>
  <si>
    <t>Darton, Auburn</t>
  </si>
  <si>
    <t>Kaleb Fleck</t>
  </si>
  <si>
    <t>sa526875</t>
  </si>
  <si>
    <t>Brian Pearl</t>
  </si>
  <si>
    <t>sa501550</t>
  </si>
  <si>
    <t>Tyler Henley</t>
  </si>
  <si>
    <t>sa389904</t>
  </si>
  <si>
    <t>James Parr</t>
  </si>
  <si>
    <t>Donnie Veal</t>
  </si>
  <si>
    <t>Pima</t>
  </si>
  <si>
    <t>Dustin Antolin</t>
  </si>
  <si>
    <t>Zach Miner</t>
  </si>
  <si>
    <t>Arnold Leon</t>
  </si>
  <si>
    <t>Chris Coste</t>
  </si>
  <si>
    <t>North Dekota</t>
  </si>
  <si>
    <t>Concordia</t>
  </si>
  <si>
    <t>Justin Lehr</t>
  </si>
  <si>
    <t>Alex Meyer</t>
  </si>
  <si>
    <t>USC, California Santa Barbara</t>
  </si>
  <si>
    <t>Luis Lebron</t>
  </si>
  <si>
    <t>sa294749</t>
  </si>
  <si>
    <t>Layne Somsen</t>
  </si>
  <si>
    <t>South Dakota</t>
  </si>
  <si>
    <t>South Dakota State</t>
  </si>
  <si>
    <t>Jack Egbert</t>
  </si>
  <si>
    <t>A.J. Schugel</t>
  </si>
  <si>
    <t>Rutgers</t>
  </si>
  <si>
    <t>Mike Nesseth</t>
  </si>
  <si>
    <t>sa501774</t>
  </si>
  <si>
    <t>Rob Wooten</t>
  </si>
  <si>
    <t>Pat Light</t>
  </si>
  <si>
    <t>Junichi Tazawa</t>
  </si>
  <si>
    <t>Brett Bochy</t>
  </si>
  <si>
    <t>Juan Jaime</t>
  </si>
  <si>
    <t>Trevor Foss</t>
  </si>
  <si>
    <t>sa738304</t>
  </si>
  <si>
    <t>Elliot Morris</t>
  </si>
  <si>
    <t>Gerrit Cole</t>
  </si>
  <si>
    <t>Pierce</t>
  </si>
  <si>
    <t>sa737798</t>
  </si>
  <si>
    <t>Jeff Bianchi</t>
  </si>
  <si>
    <t>Jon Meloan</t>
  </si>
  <si>
    <t>Samuel Freeman</t>
  </si>
  <si>
    <t>Dario Alvarez</t>
  </si>
  <si>
    <t>North Central Texas, Kansas</t>
  </si>
  <si>
    <t>Omar Poveda</t>
  </si>
  <si>
    <t>sa294843</t>
  </si>
  <si>
    <t>Casey Mulholland</t>
  </si>
  <si>
    <t>Mississippi, State of Florida, South Florida</t>
  </si>
  <si>
    <t>sa857603</t>
  </si>
  <si>
    <t>Marcus Walden</t>
  </si>
  <si>
    <t>Fresno City</t>
  </si>
  <si>
    <t>sa389195</t>
  </si>
  <si>
    <t>Jose Arredondo</t>
  </si>
  <si>
    <t>Clay Zavada</t>
  </si>
  <si>
    <t>Southern Illinois</t>
  </si>
  <si>
    <t>Andrew Chafin</t>
  </si>
  <si>
    <t>Brett Cammons</t>
  </si>
  <si>
    <t>Auburn, East Carolina</t>
  </si>
  <si>
    <t>sa389800</t>
  </si>
  <si>
    <t>Jennell Hudson</t>
  </si>
  <si>
    <t>sa455915</t>
  </si>
  <si>
    <t>sa456664</t>
  </si>
  <si>
    <t>Joseph Colon</t>
  </si>
  <si>
    <t>Daniel Wright</t>
  </si>
  <si>
    <t>Michael Morrison</t>
  </si>
  <si>
    <t>sa502419</t>
  </si>
  <si>
    <t>Alex Luna</t>
  </si>
  <si>
    <t>Alabama-Birmingham</t>
  </si>
  <si>
    <t>sa875276</t>
  </si>
  <si>
    <t>Hainley Statia</t>
  </si>
  <si>
    <t>sa254151</t>
  </si>
  <si>
    <t>Hunter Jones</t>
  </si>
  <si>
    <t>Florida State</t>
  </si>
  <si>
    <t>Matt Bashore</t>
  </si>
  <si>
    <t>sa501204</t>
  </si>
  <si>
    <t>Jacob deGrom</t>
  </si>
  <si>
    <t>Shawn Tolleson</t>
  </si>
  <si>
    <t>Stetson</t>
  </si>
  <si>
    <t>Will Fulmer</t>
  </si>
  <si>
    <t>Montevallo</t>
  </si>
  <si>
    <t>sa827332</t>
  </si>
  <si>
    <t>Julio Ramos</t>
  </si>
  <si>
    <t>sa393047</t>
  </si>
  <si>
    <t>Ben Bracewell</t>
  </si>
  <si>
    <t>sa837103</t>
  </si>
  <si>
    <t>Ricky Orta</t>
  </si>
  <si>
    <t>sa326700</t>
  </si>
  <si>
    <t>Cody Ege</t>
  </si>
  <si>
    <t>Jose Valdivia</t>
  </si>
  <si>
    <t>Nicaragua</t>
  </si>
  <si>
    <t>sa503649</t>
  </si>
  <si>
    <t>Gus Benusa</t>
  </si>
  <si>
    <t>sa501559</t>
  </si>
  <si>
    <t>Joe Biagini</t>
  </si>
  <si>
    <t>California Davis</t>
  </si>
  <si>
    <t>Josh Osich</t>
  </si>
  <si>
    <t>Jesse Hahn</t>
  </si>
  <si>
    <t>Virginia Tech</t>
  </si>
  <si>
    <t>Boston</t>
  </si>
  <si>
    <t>Jaime Schultz</t>
  </si>
  <si>
    <t>High Point</t>
  </si>
  <si>
    <t>sa708975</t>
  </si>
  <si>
    <t>Andrew Laughter</t>
  </si>
  <si>
    <t>Lousiana</t>
  </si>
  <si>
    <t>sa389307</t>
  </si>
  <si>
    <t>Tomas Telis</t>
  </si>
  <si>
    <t>Jack McGeary</t>
  </si>
  <si>
    <t>sa390448</t>
  </si>
  <si>
    <t>Odrisamer Despaigne</t>
  </si>
  <si>
    <t>Casey Lambert</t>
  </si>
  <si>
    <t>sa389916</t>
  </si>
  <si>
    <t>Parker Frazier</t>
  </si>
  <si>
    <t>sa390238</t>
  </si>
  <si>
    <t>Marcus Hatley</t>
  </si>
  <si>
    <t>Palomar</t>
  </si>
  <si>
    <t>Jordan Zimmermann</t>
  </si>
  <si>
    <t>Mark Lamm</t>
  </si>
  <si>
    <t>sa545076</t>
  </si>
  <si>
    <t>Edinson Volquez</t>
  </si>
  <si>
    <t>Tim Berry</t>
  </si>
  <si>
    <t>sa503777</t>
  </si>
  <si>
    <t>Beau Wright</t>
  </si>
  <si>
    <t>sa502430</t>
  </si>
  <si>
    <t>Brett Marshall</t>
  </si>
  <si>
    <t>Ariel Miranda</t>
  </si>
  <si>
    <t>Bellevue</t>
  </si>
  <si>
    <t>Ryan Mattheus</t>
  </si>
  <si>
    <t>Sacramento City</t>
  </si>
  <si>
    <t>Mike Aviles</t>
  </si>
  <si>
    <t>Tommy John Surgery Recovery Time in Months (for those recovered), by Era and Time of Year Surgery Occurred</t>
  </si>
  <si>
    <t>Alfredo Simon</t>
  </si>
  <si>
    <t>Cincinnati</t>
  </si>
  <si>
    <t>George Kontos</t>
  </si>
  <si>
    <t>Northwestern</t>
  </si>
  <si>
    <t>Neal Cotts</t>
  </si>
  <si>
    <t>Illinois State</t>
  </si>
  <si>
    <t>Billy Petrick</t>
  </si>
  <si>
    <t>Josh Outman</t>
  </si>
  <si>
    <t>St. Louis, Central Missouri</t>
  </si>
  <si>
    <t>Start Year</t>
  </si>
  <si>
    <t>End Year</t>
  </si>
  <si>
    <t>Al Alburquerque</t>
  </si>
  <si>
    <t>Henry Barrera</t>
  </si>
  <si>
    <t>All Professionals</t>
  </si>
  <si>
    <t>sa272552</t>
  </si>
  <si>
    <t>Nolan Gallagher</t>
  </si>
  <si>
    <t>sa389237</t>
  </si>
  <si>
    <t>MLB Only</t>
  </si>
  <si>
    <t>Taylor Buchholz</t>
  </si>
  <si>
    <t>Lewis &amp; Clark</t>
  </si>
  <si>
    <t>Jan-Mar</t>
  </si>
  <si>
    <t>Anthony Reyes</t>
  </si>
  <si>
    <t>Apr-Jun</t>
  </si>
  <si>
    <t>Jul-Sep</t>
  </si>
  <si>
    <t>Oct-Dec</t>
  </si>
  <si>
    <t>Jesse Litsch</t>
  </si>
  <si>
    <t>Caleb Cotham</t>
  </si>
  <si>
    <t>Average</t>
  </si>
  <si>
    <t>Median</t>
  </si>
  <si>
    <t>Mode</t>
  </si>
  <si>
    <t>Return%</t>
  </si>
  <si>
    <t>Surgeries</t>
  </si>
  <si>
    <t>Dan Giese</t>
  </si>
  <si>
    <t>Duane Below</t>
  </si>
  <si>
    <t>Lake Michigan</t>
  </si>
  <si>
    <t>David Riske</t>
  </si>
  <si>
    <t>Green River</t>
  </si>
  <si>
    <t>Javy Guerra</t>
  </si>
  <si>
    <t>Seminole State, Oral Roberts</t>
  </si>
  <si>
    <t>Steve Matre</t>
  </si>
  <si>
    <t>Mount St. Joseph</t>
  </si>
  <si>
    <t>sa550128</t>
  </si>
  <si>
    <t>Kyle Mura</t>
  </si>
  <si>
    <t>Loyola Marymount</t>
  </si>
  <si>
    <t>sa327081</t>
  </si>
  <si>
    <t>Bill Bray</t>
  </si>
  <si>
    <t>William and Mary</t>
  </si>
  <si>
    <t>Scott Proctor</t>
  </si>
  <si>
    <t>Cody Reed</t>
  </si>
  <si>
    <t>Jimmy Barthmaier</t>
  </si>
  <si>
    <t>John Ennis</t>
  </si>
  <si>
    <t>Oscar Villarreal</t>
  </si>
  <si>
    <t>Nick McCurdy</t>
  </si>
  <si>
    <t>Jefferson Davis, Oklahoma State</t>
  </si>
  <si>
    <t>sa201724</t>
  </si>
  <si>
    <t>Cameron Coffey</t>
  </si>
  <si>
    <t>sa502083</t>
  </si>
  <si>
    <t>Mark Worrell</t>
  </si>
  <si>
    <t>Florida International, Indian River, Arizona</t>
  </si>
  <si>
    <t>Brae Wright</t>
  </si>
  <si>
    <t>sa326786</t>
  </si>
  <si>
    <t>Miguel Gonzalez</t>
  </si>
  <si>
    <t>Ryan Feierabend</t>
  </si>
  <si>
    <t>Todd Jennings</t>
  </si>
  <si>
    <t>Cal State</t>
  </si>
  <si>
    <t>sa226247</t>
  </si>
  <si>
    <t>Clayton Shunick</t>
  </si>
  <si>
    <t>sa454560</t>
  </si>
  <si>
    <t>sa294416</t>
  </si>
  <si>
    <t>Alex Wood</t>
  </si>
  <si>
    <t>Campbell</t>
  </si>
  <si>
    <t>James Avery</t>
  </si>
  <si>
    <t>sa294384</t>
  </si>
  <si>
    <t>Kyle Lotzkar</t>
  </si>
  <si>
    <t>sa389930</t>
  </si>
  <si>
    <t>Will Harris</t>
  </si>
  <si>
    <t>Curt Casali</t>
  </si>
  <si>
    <t>Dayan Diaz</t>
  </si>
  <si>
    <t>Christian Binford</t>
  </si>
  <si>
    <t>sa599309</t>
  </si>
  <si>
    <t>Dallas Trahern</t>
  </si>
  <si>
    <t>sa262435</t>
  </si>
  <si>
    <t>Josh Romanski</t>
  </si>
  <si>
    <t>sa454528</t>
  </si>
  <si>
    <t>John Holdzkom</t>
  </si>
  <si>
    <t>Salt Lake</t>
  </si>
  <si>
    <t>Mitch LeVier</t>
  </si>
  <si>
    <t>Fullerton</t>
  </si>
  <si>
    <t>sa454850</t>
  </si>
  <si>
    <t>Kansas City</t>
  </si>
  <si>
    <t>Elvis Araujo</t>
  </si>
  <si>
    <t>Zack Sterner</t>
  </si>
  <si>
    <t>Tennessee Wesleyan</t>
  </si>
  <si>
    <t>sa389265</t>
  </si>
  <si>
    <t>Andrew Albers</t>
  </si>
  <si>
    <t>Chris Wilkes</t>
  </si>
  <si>
    <t>sa455456</t>
  </si>
  <si>
    <t>Will Startup</t>
  </si>
  <si>
    <t>sa290704</t>
  </si>
  <si>
    <t>Dan Otero</t>
  </si>
  <si>
    <t>Duke, South Florida</t>
  </si>
  <si>
    <t>Nick Petree</t>
  </si>
  <si>
    <t>sa737915</t>
  </si>
  <si>
    <t>Albert Suarez</t>
  </si>
  <si>
    <t>Adam Liberatore</t>
  </si>
  <si>
    <t>Tennessee Tech</t>
  </si>
  <si>
    <t>Pat Neshek</t>
  </si>
  <si>
    <t>Butler</t>
  </si>
  <si>
    <t>Mike Minor</t>
  </si>
  <si>
    <t>Casey Weathers</t>
  </si>
  <si>
    <t>sa327842</t>
  </si>
  <si>
    <t>Shaun Marcum</t>
  </si>
  <si>
    <t>Missouri State, Missouri Columbia</t>
  </si>
  <si>
    <t>Drake Britton</t>
  </si>
  <si>
    <t>Billy Wagner</t>
  </si>
  <si>
    <t>Ferrum</t>
  </si>
  <si>
    <t>Jaime Garcia</t>
  </si>
  <si>
    <t>Michael Olmsted</t>
  </si>
  <si>
    <t>Cypress</t>
  </si>
  <si>
    <t>sa390636</t>
  </si>
  <si>
    <t>Mike Parisi</t>
  </si>
  <si>
    <t>Manhattan</t>
  </si>
  <si>
    <t>Salvador Aguilar</t>
  </si>
  <si>
    <t>Lewis-Clark</t>
  </si>
  <si>
    <t>sa293988</t>
  </si>
  <si>
    <t>Tim Hudson</t>
  </si>
  <si>
    <t>Auburn, Chattahoochee Valley</t>
  </si>
  <si>
    <t>Sergio Mitre</t>
  </si>
  <si>
    <t>San Diego City</t>
  </si>
  <si>
    <t>Dae-Eun Rhee</t>
  </si>
  <si>
    <t>sa447648</t>
  </si>
  <si>
    <t>Jake McGee</t>
  </si>
  <si>
    <t>Norris Hopper</t>
  </si>
  <si>
    <t>Cory Rasmus</t>
  </si>
  <si>
    <t>Matt Chico</t>
  </si>
  <si>
    <t>Palomar, USC</t>
  </si>
  <si>
    <t>Mesa</t>
  </si>
  <si>
    <t>Gregorio Rosario</t>
  </si>
  <si>
    <t>sa385517</t>
  </si>
  <si>
    <t>Jake Westbrook</t>
  </si>
  <si>
    <t>Hector Gomez</t>
  </si>
  <si>
    <t>Maine</t>
  </si>
  <si>
    <t>LSU, St. Joseph's</t>
  </si>
  <si>
    <t>Drew VerHagen</t>
  </si>
  <si>
    <t>Navarro, Vanderbilt</t>
  </si>
  <si>
    <t>Fautino De Los Santos</t>
  </si>
  <si>
    <t>Jered Weaver</t>
  </si>
  <si>
    <t>Shane Greene</t>
  </si>
  <si>
    <t>Daytona Beach, West Florida</t>
  </si>
  <si>
    <t>A.J. Ramos</t>
  </si>
  <si>
    <t>Nick Hagadone</t>
  </si>
  <si>
    <t>Detroit</t>
  </si>
  <si>
    <t>Macay McBride</t>
  </si>
  <si>
    <t>Dr. Stephen Lemos</t>
  </si>
  <si>
    <t>Andy Sisco</t>
  </si>
  <si>
    <t>Kyle Waldrop</t>
  </si>
  <si>
    <t>Mike Zagurski</t>
  </si>
  <si>
    <t>Hutchinson, Kansas</t>
  </si>
  <si>
    <t>David Huff</t>
  </si>
  <si>
    <t>Mark McLemore</t>
  </si>
  <si>
    <t>Yonata Ortega</t>
  </si>
  <si>
    <t>sa393194</t>
  </si>
  <si>
    <t>Randy Henry</t>
  </si>
  <si>
    <t>Phil Hughes</t>
  </si>
  <si>
    <t>South Mountain</t>
  </si>
  <si>
    <t>sa501222</t>
  </si>
  <si>
    <t>Lee Gronkiewicz</t>
  </si>
  <si>
    <t>Spartanburg Methodist, USC</t>
  </si>
  <si>
    <t>Tommy Hottovy</t>
  </si>
  <si>
    <t>Travis Webb</t>
  </si>
  <si>
    <t>sa326879</t>
  </si>
  <si>
    <t>Cody Allen</t>
  </si>
  <si>
    <t>High Point, St. Petersburg</t>
  </si>
  <si>
    <t>Harold Mozingo</t>
  </si>
  <si>
    <t>sa326758</t>
  </si>
  <si>
    <t>Kevin Chapman</t>
  </si>
  <si>
    <t>Colby Shreve</t>
  </si>
  <si>
    <t>sa390625</t>
  </si>
  <si>
    <t>John Hussey</t>
  </si>
  <si>
    <t>sa281349</t>
  </si>
  <si>
    <t>Dustin Ackley</t>
  </si>
  <si>
    <t>Mark Minicozzi</t>
  </si>
  <si>
    <t>sa293084</t>
  </si>
  <si>
    <t>Glen Perkins</t>
  </si>
  <si>
    <t>Hak-Ju Lee</t>
  </si>
  <si>
    <t>sa502536</t>
  </si>
  <si>
    <t>Greg Wilborn</t>
  </si>
  <si>
    <t>sa502032</t>
  </si>
  <si>
    <t>Casey Crosby</t>
  </si>
  <si>
    <t>Samuel Deduno</t>
  </si>
  <si>
    <t>Jake Brigham</t>
  </si>
  <si>
    <t>Jose Alvarez</t>
  </si>
  <si>
    <t>Danys Baez</t>
  </si>
  <si>
    <t>Nick Schmidt</t>
  </si>
  <si>
    <t>sa388834</t>
  </si>
  <si>
    <t>Shin-Soo Choo</t>
  </si>
  <si>
    <t>Tim Gustafson</t>
  </si>
  <si>
    <t>sa327085</t>
  </si>
  <si>
    <t>Jake Petricka</t>
  </si>
  <si>
    <t>Chicago White Sox</t>
  </si>
  <si>
    <t>Angel Guzman</t>
  </si>
  <si>
    <t>Brian Ellington</t>
  </si>
  <si>
    <t>West Florida</t>
  </si>
  <si>
    <t>Russ Ortiz</t>
  </si>
  <si>
    <t xml:space="preserve">Dr. Ken Akizuki </t>
  </si>
  <si>
    <t>Ambiorix Burgos</t>
  </si>
  <si>
    <t>Tim Lincecum</t>
  </si>
  <si>
    <t>Willie Eyre</t>
  </si>
  <si>
    <t>Eastern Utah, Snow</t>
  </si>
  <si>
    <t>Andrew Brackman</t>
  </si>
  <si>
    <t>Rodrigo Lopez</t>
  </si>
  <si>
    <t>Chris Ray</t>
  </si>
  <si>
    <t>Brendan Donnelly</t>
  </si>
  <si>
    <t>Mesa, New Mexico Junior</t>
  </si>
  <si>
    <t>Daniel Stange</t>
  </si>
  <si>
    <t>California Riverside</t>
  </si>
  <si>
    <t>Chris Carpenter</t>
  </si>
  <si>
    <t>Tony Sipp</t>
  </si>
  <si>
    <t>Clemson, Mississippi Gulf Coast</t>
  </si>
  <si>
    <t>Alex Wilson</t>
  </si>
  <si>
    <t>Saudi Arabia</t>
  </si>
  <si>
    <t>Rafael Dolis</t>
  </si>
  <si>
    <t>Anthony Lerew</t>
  </si>
  <si>
    <t>New York Yankees</t>
  </si>
  <si>
    <t>Eric Milton</t>
  </si>
  <si>
    <t>Carl Pavano</t>
  </si>
  <si>
    <t>Deolis Guerra</t>
  </si>
  <si>
    <t>Dallas Buck</t>
  </si>
  <si>
    <t>sa326675</t>
  </si>
  <si>
    <t>Mike Jones</t>
  </si>
  <si>
    <t>sa201265</t>
  </si>
  <si>
    <t>Michael Gonzalez</t>
  </si>
  <si>
    <t>Cesar Carrillo</t>
  </si>
  <si>
    <t>Miami</t>
  </si>
  <si>
    <t>sa879450</t>
  </si>
  <si>
    <t>B.J. Ryan</t>
  </si>
  <si>
    <t>Centenary, Louisiana</t>
  </si>
  <si>
    <t>Tip Fairchild</t>
  </si>
  <si>
    <t>Southern Maine</t>
  </si>
  <si>
    <t>sa290230</t>
  </si>
  <si>
    <t>Matt Hensley</t>
  </si>
  <si>
    <t>Grossmont</t>
  </si>
  <si>
    <t>Fernando Nieve</t>
  </si>
  <si>
    <t>Humberto Sanchez</t>
  </si>
  <si>
    <t>Chris Denorfia</t>
  </si>
  <si>
    <t>Brad Lincoln</t>
  </si>
  <si>
    <t>Navery Moore</t>
  </si>
  <si>
    <t>sa455506</t>
  </si>
  <si>
    <t>Arthur Rhodes</t>
  </si>
  <si>
    <t>Edward Campusano</t>
  </si>
  <si>
    <t>sa244384</t>
  </si>
  <si>
    <t>Thomas Diamond</t>
  </si>
  <si>
    <t>A.J. Achter</t>
  </si>
  <si>
    <t>New Orleans</t>
  </si>
  <si>
    <t>Josh Kinney</t>
  </si>
  <si>
    <t>Quincy</t>
  </si>
  <si>
    <t>Adam Bernero</t>
  </si>
  <si>
    <t>Culver-Stockton, Sacramento City</t>
  </si>
  <si>
    <t>Carlos Gutierrez</t>
  </si>
  <si>
    <t>sa454388</t>
  </si>
  <si>
    <t>Bruce Chen</t>
  </si>
  <si>
    <t>Georgia Southwestern State</t>
  </si>
  <si>
    <t>sa202067</t>
  </si>
  <si>
    <t>Lee Hyde</t>
  </si>
  <si>
    <t>sa326720</t>
  </si>
  <si>
    <t>Caleb Clay</t>
  </si>
  <si>
    <t>sa326518</t>
  </si>
  <si>
    <t>Josh Smith</t>
  </si>
  <si>
    <t>Lipscomb</t>
  </si>
  <si>
    <t>Tyler Sturdevant</t>
  </si>
  <si>
    <t>New Mexico State</t>
  </si>
  <si>
    <t>Mike Morin</t>
  </si>
  <si>
    <t>Ethan Katz</t>
  </si>
  <si>
    <t>California State</t>
  </si>
  <si>
    <t>sa293706</t>
  </si>
  <si>
    <t>Toledo</t>
  </si>
  <si>
    <t>P.J. Finigan</t>
  </si>
  <si>
    <t>sa291520</t>
  </si>
  <si>
    <t>Eli Iorg</t>
  </si>
  <si>
    <t>sa291170</t>
  </si>
  <si>
    <t>Andrew Triggs</t>
  </si>
  <si>
    <t>Chad Green</t>
  </si>
  <si>
    <t>Brian Akin</t>
  </si>
  <si>
    <t>Davidson</t>
  </si>
  <si>
    <t>sa253862</t>
  </si>
  <si>
    <t>Jumbo Diaz</t>
  </si>
  <si>
    <t>Wily Peralta</t>
  </si>
  <si>
    <t>Erik Goeddel</t>
  </si>
  <si>
    <t>Ryota Igarashi</t>
  </si>
  <si>
    <t>Jose Valdez</t>
  </si>
  <si>
    <t>Hector Noesi</t>
  </si>
  <si>
    <t>Matt Smith</t>
  </si>
  <si>
    <t>sa454715</t>
  </si>
  <si>
    <t>Hayden Hurst</t>
  </si>
  <si>
    <t>sa658315</t>
  </si>
  <si>
    <t>Matt Bush</t>
  </si>
  <si>
    <t>Kenn Kasparek</t>
  </si>
  <si>
    <t>Greg Mahle</t>
  </si>
  <si>
    <t>sa454774</t>
  </si>
  <si>
    <t>Matt Carpenter</t>
  </si>
  <si>
    <t>John Bannister</t>
  </si>
  <si>
    <t>sa202864</t>
  </si>
  <si>
    <t>Erik Cordier</t>
  </si>
  <si>
    <t>Bryan Morris</t>
  </si>
  <si>
    <t>Motlow State</t>
  </si>
  <si>
    <t>Merkin Valdez</t>
  </si>
  <si>
    <t>American River, Tennessee</t>
  </si>
  <si>
    <t>Dr. Bernard Morrey</t>
  </si>
  <si>
    <t>Eddie Guardado</t>
  </si>
  <si>
    <t>Brandon Backe</t>
  </si>
  <si>
    <t>Galveston</t>
  </si>
  <si>
    <t>Paul Raglione</t>
  </si>
  <si>
    <t>sa293088</t>
  </si>
  <si>
    <t>Logan Kensing</t>
  </si>
  <si>
    <t>Luis Atilano</t>
  </si>
  <si>
    <t>Jose Guillen</t>
  </si>
  <si>
    <t>Vinnie Pestano</t>
  </si>
  <si>
    <t>Carlos Martinez</t>
  </si>
  <si>
    <t>Tyler Walker</t>
  </si>
  <si>
    <t>Brian Ward</t>
  </si>
  <si>
    <t>sa502524</t>
  </si>
  <si>
    <t>Eric Berger</t>
  </si>
  <si>
    <t>sa389697</t>
  </si>
  <si>
    <t>Julio Santana</t>
  </si>
  <si>
    <t>sa294082</t>
  </si>
  <si>
    <t>Shawn Estes</t>
  </si>
  <si>
    <t>John Foster</t>
  </si>
  <si>
    <t>Lewis-Clark State, San Joaquin Delta</t>
  </si>
  <si>
    <t>Kelly Johnson</t>
  </si>
  <si>
    <t>Luke Gregerson</t>
  </si>
  <si>
    <t>Ricardo Rincon</t>
  </si>
  <si>
    <t>Steve Stemle</t>
  </si>
  <si>
    <t>Western Kentucky</t>
  </si>
  <si>
    <t>Eddie Gamboa</t>
  </si>
  <si>
    <t>UC Davis</t>
  </si>
  <si>
    <t>Yhency Brazoban</t>
  </si>
  <si>
    <t>Luis Ayala</t>
  </si>
  <si>
    <t>Brad Peacock</t>
  </si>
  <si>
    <t>Juan Padilla</t>
  </si>
  <si>
    <t>Trey Lunsford</t>
  </si>
  <si>
    <t>Grayson County, Texas Tech</t>
  </si>
  <si>
    <t>Daniel Schlereth</t>
  </si>
  <si>
    <t>Arizona, UNLV</t>
  </si>
  <si>
    <t>Collin McHugh</t>
  </si>
  <si>
    <t>Wei-Yin Chen</t>
  </si>
  <si>
    <t>Jin-ho Cho</t>
  </si>
  <si>
    <t>Kirby Yates</t>
  </si>
  <si>
    <t>Kris Honel</t>
  </si>
  <si>
    <t>sa200176</t>
  </si>
  <si>
    <t>Frank Viola III</t>
  </si>
  <si>
    <t>sa294919</t>
  </si>
  <si>
    <t>Mike Fiers</t>
  </si>
  <si>
    <t>Tyler Sample</t>
  </si>
  <si>
    <t>sa454449</t>
  </si>
  <si>
    <t>Adalberto Flores</t>
  </si>
  <si>
    <t>sa294108</t>
  </si>
  <si>
    <t>Jeff Bennett</t>
  </si>
  <si>
    <t>Doug Fister</t>
  </si>
  <si>
    <t>John Gast</t>
  </si>
  <si>
    <t>Florida Satte</t>
  </si>
  <si>
    <t>Drew Bigda</t>
  </si>
  <si>
    <t>Holy Cross</t>
  </si>
  <si>
    <t>sa253293</t>
  </si>
  <si>
    <t>Lance Pendleton</t>
  </si>
  <si>
    <t>Alec Asher</t>
  </si>
  <si>
    <t>Polk, Santa Fe</t>
  </si>
  <si>
    <t>Matt Nevarez</t>
  </si>
  <si>
    <t>sa291749</t>
  </si>
  <si>
    <t>Cristian Santana</t>
  </si>
  <si>
    <t>sa392969</t>
  </si>
  <si>
    <t>Dallas Keuchel</t>
  </si>
  <si>
    <t>Vince Perkins</t>
  </si>
  <si>
    <t>sa200999</t>
  </si>
  <si>
    <t>Dusty Hughes</t>
  </si>
  <si>
    <t>Delta State</t>
  </si>
  <si>
    <t>Taylor Teagarden</t>
  </si>
  <si>
    <t>Mike Hampton</t>
  </si>
  <si>
    <t>Michael Feliz</t>
  </si>
  <si>
    <t>Cesar Izturis</t>
  </si>
  <si>
    <t>Dr. Frank Jobe</t>
  </si>
  <si>
    <t>Jorge Campillo</t>
  </si>
  <si>
    <t>Christopher Devenski</t>
  </si>
  <si>
    <t>Erubiel Durazo</t>
  </si>
  <si>
    <t>Kyle McClellan</t>
  </si>
  <si>
    <t>Philip Humber</t>
  </si>
  <si>
    <t>Ken Giles</t>
  </si>
  <si>
    <t>J.D. Martin</t>
  </si>
  <si>
    <t>John Parrish</t>
  </si>
  <si>
    <t>Joe Musgrove</t>
  </si>
  <si>
    <t>Ben Davis</t>
  </si>
  <si>
    <t>T.J. Tucker</t>
  </si>
  <si>
    <t>Anthony Varvaro</t>
  </si>
  <si>
    <t>St. John's</t>
  </si>
  <si>
    <t>Kyle Sleeth</t>
  </si>
  <si>
    <t>sa227567</t>
  </si>
  <si>
    <t>Octavio Dotel</t>
  </si>
  <si>
    <t>Brady Rodgers</t>
  </si>
  <si>
    <t>Bobby Korecky</t>
  </si>
  <si>
    <t>Texas, Michigan</t>
  </si>
  <si>
    <t>Ryan Bukvich</t>
  </si>
  <si>
    <t>Delta State, Mississippi</t>
  </si>
  <si>
    <t>Grant Balfour</t>
  </si>
  <si>
    <t>Wagner</t>
  </si>
  <si>
    <t>Lance McCullers</t>
  </si>
  <si>
    <t>Frank Francisco</t>
  </si>
  <si>
    <t>Kris Johnson</t>
  </si>
  <si>
    <t>Tony Alvarez</t>
  </si>
  <si>
    <t>Francis Beltran</t>
  </si>
  <si>
    <t>James Hoyt</t>
  </si>
  <si>
    <t>Rocco Baldelli</t>
  </si>
  <si>
    <t>Rhode Island</t>
  </si>
  <si>
    <t>Jason Berken</t>
  </si>
  <si>
    <t>Phil Seibel</t>
  </si>
  <si>
    <t>Miguel Socolovich</t>
  </si>
  <si>
    <t>Jandel Gustave</t>
  </si>
  <si>
    <t>Rocky Cherry</t>
  </si>
  <si>
    <t>Oklahaoma</t>
  </si>
  <si>
    <t>Trace Coquillette</t>
  </si>
  <si>
    <t>Paul Janish</t>
  </si>
  <si>
    <t>Craig Tatum</t>
  </si>
  <si>
    <t>Luke Putkonen</t>
  </si>
  <si>
    <t>Randor Bierd</t>
  </si>
  <si>
    <t>John Axford</t>
  </si>
  <si>
    <t>Michael Hacker</t>
  </si>
  <si>
    <t>sa454614</t>
  </si>
  <si>
    <t>Ryan Ketchner</t>
  </si>
  <si>
    <t>sa199599</t>
  </si>
  <si>
    <t>Rick VandenHurk</t>
  </si>
  <si>
    <t>Ronald Belisario</t>
  </si>
  <si>
    <t>Chris Saenz</t>
  </si>
  <si>
    <t>Frank Mata</t>
  </si>
  <si>
    <t>Edmonds, Washington</t>
  </si>
  <si>
    <t>sa388955</t>
  </si>
  <si>
    <t>Nick DeBarr</t>
  </si>
  <si>
    <t>Lassen</t>
  </si>
  <si>
    <t>sa202171</t>
  </si>
  <si>
    <t>Wade Townsend</t>
  </si>
  <si>
    <t>sa290129</t>
  </si>
  <si>
    <t>Craig Gentry</t>
  </si>
  <si>
    <t>Derek Tate</t>
  </si>
  <si>
    <t>sa253846</t>
  </si>
  <si>
    <t>Ray Olmedo</t>
  </si>
  <si>
    <t>Oklahoma State, Tulane</t>
  </si>
  <si>
    <t>Jason Grimsley</t>
  </si>
  <si>
    <t>Clint Everts</t>
  </si>
  <si>
    <t>sa202809</t>
  </si>
  <si>
    <t>Rafael Soriano</t>
  </si>
  <si>
    <t>Luis Gonzalez</t>
  </si>
  <si>
    <t>South Alabama</t>
  </si>
  <si>
    <t>Jason Stanford</t>
  </si>
  <si>
    <t>Barton County, North Carolina Charlotte</t>
  </si>
  <si>
    <t>Jim Hoey</t>
  </si>
  <si>
    <t>Rider</t>
  </si>
  <si>
    <t>Jay Powell</t>
  </si>
  <si>
    <t>Shane Komine</t>
  </si>
  <si>
    <t>Nick Adenhart</t>
  </si>
  <si>
    <t>Jason Shiell</t>
  </si>
  <si>
    <t>Totals / Averages</t>
  </si>
  <si>
    <t>Aaron Looper</t>
  </si>
  <si>
    <t>Indian Hills, Arkansas, Oklahoma</t>
  </si>
  <si>
    <t>Jorge De Paula</t>
  </si>
  <si>
    <t>Pedro Beato</t>
  </si>
  <si>
    <t>Brian Duensing</t>
  </si>
  <si>
    <t>Miguel Asencio</t>
  </si>
  <si>
    <t>Cory Sullivan</t>
  </si>
  <si>
    <t>CF</t>
  </si>
  <si>
    <t>Cypress, Wake Forest</t>
  </si>
  <si>
    <t>Corwin Malone</t>
  </si>
  <si>
    <t>sa184100</t>
  </si>
  <si>
    <t>Miami of Ohio, Sinclair</t>
  </si>
  <si>
    <t>Scott Maine</t>
  </si>
  <si>
    <t>Dr. John Uribe</t>
  </si>
  <si>
    <t>Dustin Nippert</t>
  </si>
  <si>
    <t>Ohio Valley, West Virginia</t>
  </si>
  <si>
    <t>Jo-Jo Reyes</t>
  </si>
  <si>
    <t>Billy Simon</t>
  </si>
  <si>
    <t>Phil Dumatrait</t>
  </si>
  <si>
    <t>Bakersfield</t>
  </si>
  <si>
    <t>Mark Rodrigues</t>
  </si>
  <si>
    <t>sa394394</t>
  </si>
  <si>
    <t>Preston Larrison</t>
  </si>
  <si>
    <t>Evansville</t>
  </si>
  <si>
    <t>sa201262</t>
  </si>
  <si>
    <t>Joe Torres</t>
  </si>
  <si>
    <t>sa198956</t>
  </si>
  <si>
    <t>Arismendy Castillo</t>
  </si>
  <si>
    <t>sa295494</t>
  </si>
  <si>
    <t>Mike Megrew</t>
  </si>
  <si>
    <t>sa201534</t>
  </si>
  <si>
    <t>Lincoln Holdzkom</t>
  </si>
  <si>
    <t>Arizona Western</t>
  </si>
  <si>
    <t>sa200781</t>
  </si>
  <si>
    <t>Tim Wood</t>
  </si>
  <si>
    <t>Zach Braddock</t>
  </si>
  <si>
    <t>Burlington County</t>
  </si>
  <si>
    <t>Angel Garcia</t>
  </si>
  <si>
    <t>sa201015</t>
  </si>
  <si>
    <t>Jeff Manship</t>
  </si>
  <si>
    <t>Notre Dame</t>
  </si>
  <si>
    <t>Dustin Molleken</t>
  </si>
  <si>
    <t>Brandon Gomes</t>
  </si>
  <si>
    <t>Kevin Ohme</t>
  </si>
  <si>
    <t>Indian River, North Florida</t>
  </si>
  <si>
    <t>Mike Fetters</t>
  </si>
  <si>
    <t>Tony Womack</t>
  </si>
  <si>
    <t>Guilford</t>
  </si>
  <si>
    <t>Zack Segovia</t>
  </si>
  <si>
    <t>Sean Doolittle</t>
  </si>
  <si>
    <t>Billy Traber</t>
  </si>
  <si>
    <t>Jesse Foppert</t>
  </si>
  <si>
    <t>Joe Mays</t>
  </si>
  <si>
    <t>State of Florida, Manatee-Sarasota</t>
  </si>
  <si>
    <t>Runelvys Hernandez</t>
  </si>
  <si>
    <t>Brian Tallet</t>
  </si>
  <si>
    <t>Hill, LSU</t>
  </si>
  <si>
    <t>Loyola Marymount, Santa Ana</t>
  </si>
  <si>
    <t>Tommy John Surgery Recovery Time in Months (for those recovered), by Age</t>
  </si>
  <si>
    <t>Ryan Dempster</t>
  </si>
  <si>
    <t>Denny Neagle</t>
  </si>
  <si>
    <t>Start Age</t>
  </si>
  <si>
    <t>Rusty Greer</t>
  </si>
  <si>
    <t>End Age</t>
  </si>
  <si>
    <t>Rick Ankiel</t>
  </si>
  <si>
    <t>Liam Hendriks</t>
  </si>
  <si>
    <t>Paul Byrd</t>
  </si>
  <si>
    <t>Seth McClung</t>
  </si>
  <si>
    <t>Scott Strickland</t>
  </si>
  <si>
    <t>Doug Creek</t>
  </si>
  <si>
    <t>Anthony Pluta</t>
  </si>
  <si>
    <t>sa200081</t>
  </si>
  <si>
    <t>Brian Moehler</t>
  </si>
  <si>
    <t>North Carolina Greensboro</t>
  </si>
  <si>
    <t>Chris Smith</t>
  </si>
  <si>
    <t>Jason Bulger</t>
  </si>
  <si>
    <t>Valdosta State</t>
  </si>
  <si>
    <t>Ricky Bones</t>
  </si>
  <si>
    <t>A.J. Burnett</t>
  </si>
  <si>
    <t>Matt Wise</t>
  </si>
  <si>
    <t>Cal State Fullerton, Pepperdine</t>
  </si>
  <si>
    <t>Andy Ashby</t>
  </si>
  <si>
    <t>Crowder</t>
  </si>
  <si>
    <t>Jayson Durocher</t>
  </si>
  <si>
    <t>Anibal Sanchez</t>
  </si>
  <si>
    <t>Manny Delcarmen</t>
  </si>
  <si>
    <t>Luke Hagerty</t>
  </si>
  <si>
    <t>sa202438</t>
  </si>
  <si>
    <t>Scott Lewis</t>
  </si>
  <si>
    <t>Zach Neal</t>
  </si>
  <si>
    <t>Tom Shearn</t>
  </si>
  <si>
    <t>Mike Stodolka</t>
  </si>
  <si>
    <t>sa199853</t>
  </si>
  <si>
    <t>Ben Diggins</t>
  </si>
  <si>
    <t>Rusty Tucker</t>
  </si>
  <si>
    <t>Sonny Gray</t>
  </si>
  <si>
    <t>sa200806</t>
  </si>
  <si>
    <t>San Mateo</t>
  </si>
  <si>
    <t>Ben Kozlowski</t>
  </si>
  <si>
    <t>Santa Fe</t>
  </si>
  <si>
    <t>Danny Touchet</t>
  </si>
  <si>
    <t>sa294844</t>
  </si>
  <si>
    <t>Jharel Cotton</t>
  </si>
  <si>
    <t>Francisco Rosario</t>
  </si>
  <si>
    <t>Armando Galarraga</t>
  </si>
  <si>
    <t>Bob Wickman</t>
  </si>
  <si>
    <t>Erik Bedard</t>
  </si>
  <si>
    <t>Ryan Dull</t>
  </si>
  <si>
    <t>J.R. House</t>
  </si>
  <si>
    <t>Benito Baez</t>
  </si>
  <si>
    <t>Jon Lieber</t>
  </si>
  <si>
    <t>Iowa Western, South Alabama</t>
  </si>
  <si>
    <t>Scott Chiasson</t>
  </si>
  <si>
    <t>Eastern Connecticut State</t>
  </si>
  <si>
    <t>Jeff Zimmerman</t>
  </si>
  <si>
    <t>Ben Christensen</t>
  </si>
  <si>
    <t>Danny Patterson</t>
  </si>
  <si>
    <t>Cerritos</t>
  </si>
  <si>
    <t>Matt Thornton</t>
  </si>
  <si>
    <t>Grand Valley State</t>
  </si>
  <si>
    <t>Brian Tollberg</t>
  </si>
  <si>
    <t>North Florida</t>
  </si>
  <si>
    <t>Jason Christiansen</t>
  </si>
  <si>
    <t>Iowa Western, Cameron</t>
  </si>
  <si>
    <t>Kendall Graveman</t>
  </si>
  <si>
    <t>John Franco</t>
  </si>
  <si>
    <t>South Florida, Florida</t>
  </si>
  <si>
    <t>Pete Harnisch</t>
  </si>
  <si>
    <t>Fordham</t>
  </si>
  <si>
    <t>Mike Duvall</t>
  </si>
  <si>
    <t>Potomac State</t>
  </si>
  <si>
    <t>Jack Taschner</t>
  </si>
  <si>
    <t>Sean Manaea</t>
  </si>
  <si>
    <t>Will Ohman</t>
  </si>
  <si>
    <t>Ryan Vogelsong</t>
  </si>
  <si>
    <t>Kutztown</t>
  </si>
  <si>
    <t>Kevin Jarvis</t>
  </si>
  <si>
    <t>Jesus Delgado</t>
  </si>
  <si>
    <t>Phil Norton</t>
  </si>
  <si>
    <t>Texarcana</t>
  </si>
  <si>
    <t>Daniel Mengden</t>
  </si>
  <si>
    <t>Jeff Bajenaru</t>
  </si>
  <si>
    <t>Riverside, Oklahoma</t>
  </si>
  <si>
    <t>Mike Steele</t>
  </si>
  <si>
    <t>Chuck Smith</t>
  </si>
  <si>
    <t>Central Arizona, Indiana State</t>
  </si>
  <si>
    <t>Brandon Claussen</t>
  </si>
  <si>
    <t>Cha Seung Baek</t>
  </si>
  <si>
    <t>Steve Delabar</t>
  </si>
  <si>
    <t>Volunteer State</t>
  </si>
  <si>
    <t>Bobby Cramer</t>
  </si>
  <si>
    <t>Ryan Tatusko</t>
  </si>
  <si>
    <t>sa389188</t>
  </si>
  <si>
    <t>Chris Narveson</t>
  </si>
  <si>
    <t>Brian Rose</t>
  </si>
  <si>
    <t>Lance Painter</t>
  </si>
  <si>
    <t>United Kingdom</t>
  </si>
  <si>
    <t>Bobby Bradley</t>
  </si>
  <si>
    <t>Adam Eaton</t>
  </si>
  <si>
    <t>Pat Hentgen</t>
  </si>
  <si>
    <t>Kevin Walker</t>
  </si>
  <si>
    <t>Matt Mantei</t>
  </si>
  <si>
    <t>Kris Benson</t>
  </si>
  <si>
    <t>Joseph Biagini</t>
  </si>
  <si>
    <t>Valerio De Los Santos</t>
  </si>
  <si>
    <t>Rod Beck</t>
  </si>
  <si>
    <t>Mike Benjamin</t>
  </si>
  <si>
    <t>Arizona State, Cerritos</t>
  </si>
  <si>
    <t>Garrett Stephenson</t>
  </si>
  <si>
    <t>Brigham Young</t>
  </si>
  <si>
    <t>Scott Downs</t>
  </si>
  <si>
    <t>Derrick Lewis</t>
  </si>
  <si>
    <t>Central Alabama, Florida A&amp;M</t>
  </si>
  <si>
    <t>Jose Capellan</t>
  </si>
  <si>
    <t>Luke Scott</t>
  </si>
  <si>
    <t>Indian River, Oklahoma State</t>
  </si>
  <si>
    <t>Matt Holliday</t>
  </si>
  <si>
    <t>Steve Green</t>
  </si>
  <si>
    <t>Sean Henn</t>
  </si>
  <si>
    <t>McLennan</t>
  </si>
  <si>
    <t>Francisco Cordova</t>
  </si>
  <si>
    <t>Gerik Baxter</t>
  </si>
  <si>
    <t>Chance Caple</t>
  </si>
  <si>
    <t>Seung-hwan Oh</t>
  </si>
  <si>
    <t>Bill Simas</t>
  </si>
  <si>
    <t>Kyle Snyder</t>
  </si>
  <si>
    <t>Scott Erickson</t>
  </si>
  <si>
    <t>San Jose City, Arizona</t>
  </si>
  <si>
    <t>Tom Lampkin</t>
  </si>
  <si>
    <t>Edmonds, Oregon</t>
  </si>
  <si>
    <t>Danny Kolb</t>
  </si>
  <si>
    <t>Illinois State, Sauk Valley</t>
  </si>
  <si>
    <t>Scott Radinsky</t>
  </si>
  <si>
    <t>Totals / Averages</t>
  </si>
  <si>
    <t>J.M. Gold</t>
  </si>
  <si>
    <t>Marco Estrada</t>
  </si>
  <si>
    <t>John Patterson</t>
  </si>
  <si>
    <t>Michael Tejera</t>
  </si>
  <si>
    <t>Andrew Good</t>
  </si>
  <si>
    <t>R.A. Dickey</t>
  </si>
  <si>
    <t>Randy Williams</t>
  </si>
  <si>
    <t>John Smoltz</t>
  </si>
  <si>
    <t>David Cortes</t>
  </si>
  <si>
    <t>Odalis Perez</t>
  </si>
  <si>
    <t>Juan Pena</t>
  </si>
  <si>
    <t>sa208507</t>
  </si>
  <si>
    <t>Orber Moreno</t>
  </si>
  <si>
    <t>Rocky Coppinger</t>
  </si>
  <si>
    <t>Sterling Hitchcock</t>
  </si>
  <si>
    <t>Ken Cloude</t>
  </si>
  <si>
    <t>Joe Roa</t>
  </si>
  <si>
    <t>Brett Cecil</t>
  </si>
  <si>
    <t>Andrew Brown</t>
  </si>
  <si>
    <t>Scott Sobkowiak</t>
  </si>
  <si>
    <t>Northern Iowa</t>
  </si>
  <si>
    <t>Jason Stumm</t>
  </si>
  <si>
    <t>Ryan Shealy</t>
  </si>
  <si>
    <t>Jae Seo</t>
  </si>
  <si>
    <t>Brian Stitt</t>
  </si>
  <si>
    <t>Bo Schultz</t>
  </si>
  <si>
    <t>sa202807</t>
  </si>
  <si>
    <t>Tom Gordon</t>
  </si>
  <si>
    <t>Tommy John Surgeries Performed, by Surgeon</t>
  </si>
  <si>
    <t>MLB Return% *</t>
  </si>
  <si>
    <t>Revision Required%</t>
  </si>
  <si>
    <t>Navarro, Houston</t>
  </si>
  <si>
    <t>Joe Nelson</t>
  </si>
  <si>
    <t>Blinn, Tarleton State</t>
  </si>
  <si>
    <t>Franklin Morales</t>
  </si>
  <si>
    <t>Mark Wohlers</t>
  </si>
  <si>
    <t>Geremi Gonzalez</t>
  </si>
  <si>
    <t>Seth Greisinger</t>
  </si>
  <si>
    <t>Hipolito Pichardo</t>
  </si>
  <si>
    <t>Matt Morris</t>
  </si>
  <si>
    <t>Scott Diamond</t>
  </si>
  <si>
    <t>Kerry Wood</t>
  </si>
  <si>
    <t>Kerry Ligtenberg</t>
  </si>
  <si>
    <t>Rocky Biddle</t>
  </si>
  <si>
    <t>Brian Falkenborg</t>
  </si>
  <si>
    <t>Jeff Tabaka</t>
  </si>
  <si>
    <t>J.A. Happ</t>
  </si>
  <si>
    <t>Mitch Wylie</t>
  </si>
  <si>
    <t>St. Ambrose</t>
  </si>
  <si>
    <t>sa206487</t>
  </si>
  <si>
    <t>Paul Wilson</t>
  </si>
  <si>
    <t>Jimmy Journell</t>
  </si>
  <si>
    <t>Jay Buhner</t>
  </si>
  <si>
    <t>Dr. Larry Pedegana</t>
  </si>
  <si>
    <t>Lorenzo Barcelo</t>
  </si>
  <si>
    <t>Mike James</t>
  </si>
  <si>
    <t>Lurleen B. Wallace, Santa Fe</t>
  </si>
  <si>
    <t>Marc Valdes</t>
  </si>
  <si>
    <t>Osvaldo Fernandez</t>
  </si>
  <si>
    <t>Billy Brewer</t>
  </si>
  <si>
    <t>Ryan Tepera</t>
  </si>
  <si>
    <t>Jeff Wallace</t>
  </si>
  <si>
    <t>Cory Lidle</t>
  </si>
  <si>
    <t>Nate Robertson</t>
  </si>
  <si>
    <t>Greg Wooten</t>
  </si>
  <si>
    <t>Portland State</t>
  </si>
  <si>
    <t>David Elder</t>
  </si>
  <si>
    <t>Aaron Loup</t>
  </si>
  <si>
    <t>Ken Ryan</t>
  </si>
  <si>
    <t>Todd Hundley</t>
  </si>
  <si>
    <t>Steve Sparks</t>
  </si>
  <si>
    <t>Rheal Cormier</t>
  </si>
  <si>
    <t>Randy Velarde</t>
  </si>
  <si>
    <t>Danny Barnes</t>
  </si>
  <si>
    <t>Winston Abreu</t>
  </si>
  <si>
    <t>Britt Reames</t>
  </si>
  <si>
    <t>The Citadel</t>
  </si>
  <si>
    <t>Matt Quatraro</t>
  </si>
  <si>
    <t>Billy Koch</t>
  </si>
  <si>
    <t>Jason Bere</t>
  </si>
  <si>
    <t>Middlesex</t>
  </si>
  <si>
    <t>Aaron Sanchez</t>
  </si>
  <si>
    <t>Pedro Borbon</t>
  </si>
  <si>
    <t>Paul Wagner</t>
  </si>
  <si>
    <t>John Snyder</t>
  </si>
  <si>
    <t>Marcus Stroman</t>
  </si>
  <si>
    <t>Bill Pulsipher</t>
  </si>
  <si>
    <t>Dewon Brazelton</t>
  </si>
  <si>
    <t>Middle Tennessee State</t>
  </si>
  <si>
    <t>Rene Arocha</t>
  </si>
  <si>
    <t>Matt Dermody</t>
  </si>
  <si>
    <t>Bobby Munoz</t>
  </si>
  <si>
    <t>Butch Henry</t>
  </si>
  <si>
    <t>Cal Eldred</t>
  </si>
  <si>
    <t>Chad Girodo</t>
  </si>
  <si>
    <t>Steve Karsay</t>
  </si>
  <si>
    <t>Bryan Harvey</t>
  </si>
  <si>
    <t>North Carolina Charlotte</t>
  </si>
  <si>
    <t>Luis Lopez</t>
  </si>
  <si>
    <t>Masumi Kuwata</t>
  </si>
  <si>
    <t>Anthony Young</t>
  </si>
  <si>
    <t>Dr. Michael Schafer</t>
  </si>
  <si>
    <t>Darryl Hamilton</t>
  </si>
  <si>
    <t>Frank Viola</t>
  </si>
  <si>
    <t>Tim Worrell</t>
  </si>
  <si>
    <t>Biola</t>
  </si>
  <si>
    <t>Ken Patterson</t>
  </si>
  <si>
    <t>Baylor, McLennan</t>
  </si>
  <si>
    <t>Armando Reynoso</t>
  </si>
  <si>
    <t>Scott Eyre</t>
  </si>
  <si>
    <t>Southern Idaho</t>
  </si>
  <si>
    <t>Scott Schoeneweis</t>
  </si>
  <si>
    <t>Huck Flener</t>
  </si>
  <si>
    <t>Paul Menhart</t>
  </si>
  <si>
    <t>Norm Charlton</t>
  </si>
  <si>
    <t>Jose Canseco</t>
  </si>
  <si>
    <t>Julio Valera</t>
  </si>
  <si>
    <t>Kevin Ritz</t>
  </si>
  <si>
    <t>Indian Hills, William Penn</t>
  </si>
  <si>
    <t>Scott Aldred</t>
  </si>
  <si>
    <t>Bob Wells</t>
  </si>
  <si>
    <t>Spokane Falls</t>
  </si>
  <si>
    <t>Mike Bielecki</t>
  </si>
  <si>
    <t>Loyola in Maryland, Valencia</t>
  </si>
  <si>
    <t>Mike Greenwell</t>
  </si>
  <si>
    <t>Clay Parker</t>
  </si>
  <si>
    <t>Jeff Knox</t>
  </si>
  <si>
    <t>Pat Treend</t>
  </si>
  <si>
    <t>Dave Leiper</t>
  </si>
  <si>
    <t>California State Fresno, Fullerton</t>
  </si>
  <si>
    <t>Matt Murray</t>
  </si>
  <si>
    <t>Stan Spencer</t>
  </si>
  <si>
    <t>Mike Witt</t>
  </si>
  <si>
    <t>Scott Garrelts</t>
  </si>
  <si>
    <t>Scott Chiamparino</t>
  </si>
  <si>
    <t>Darren Oliver</t>
  </si>
  <si>
    <t>Joe Magrane</t>
  </si>
  <si>
    <t>Dion James</t>
  </si>
  <si>
    <t>Glenn Carter</t>
  </si>
  <si>
    <t>Triton</t>
  </si>
  <si>
    <t>Brian Dubois</t>
  </si>
  <si>
    <t>John Dopson</t>
  </si>
  <si>
    <t>Hillsborough, Lousiana</t>
  </si>
  <si>
    <t>Brett Gideon</t>
  </si>
  <si>
    <t>Coastal Bend, Mary Hardin-Baylor</t>
  </si>
  <si>
    <t>J.J. Picollo</t>
  </si>
  <si>
    <t>Rey Sanchez</t>
  </si>
  <si>
    <t>Mike Fyhrie</t>
  </si>
  <si>
    <t>Todd Worrell</t>
  </si>
  <si>
    <t>Jose Mesa</t>
  </si>
  <si>
    <t>Greg Mathews</t>
  </si>
  <si>
    <t>Cal State Fullerton, Santa Ana</t>
  </si>
  <si>
    <t>Jose Cecena</t>
  </si>
  <si>
    <t>Danny Cox</t>
  </si>
  <si>
    <t>Roberto Hernandez</t>
  </si>
  <si>
    <t>John Tudor</t>
  </si>
  <si>
    <t>Georgia Southern, North Shore</t>
  </si>
  <si>
    <t>Matt Young</t>
  </si>
  <si>
    <t>Pasadena City, UCLA</t>
  </si>
  <si>
    <t>Eric Bell</t>
  </si>
  <si>
    <t>Brad Arnsberg</t>
  </si>
  <si>
    <t>Merced</t>
  </si>
  <si>
    <t>Steve Bast</t>
  </si>
  <si>
    <t>Jim Johnson</t>
  </si>
  <si>
    <t>Bryan Hickerson</t>
  </si>
  <si>
    <t>Dan Opperman</t>
  </si>
  <si>
    <t>Mike Warren</t>
  </si>
  <si>
    <t>Ken Dayley</t>
  </si>
  <si>
    <t>Portland</t>
  </si>
  <si>
    <t>Gary Lavelle</t>
  </si>
  <si>
    <t>Julio Teheran</t>
  </si>
  <si>
    <t>Tom Filer</t>
  </si>
  <si>
    <t>LaSalle</t>
  </si>
  <si>
    <t>Steve Christmas</t>
  </si>
  <si>
    <t>Jim Morris</t>
  </si>
  <si>
    <t>Angelo State, Paris Junior, Ranger</t>
  </si>
  <si>
    <t>David Wells</t>
  </si>
  <si>
    <t>Jamie Nelson</t>
  </si>
  <si>
    <t>Ian Krol</t>
  </si>
  <si>
    <t>Kevin Towers</t>
  </si>
  <si>
    <t>Brigham Young, MiraCosta</t>
  </si>
  <si>
    <t>Chuck Porter</t>
  </si>
  <si>
    <t>Paul Molitor</t>
  </si>
  <si>
    <t>Larry Christenson</t>
  </si>
  <si>
    <t>Brian Holton</t>
  </si>
  <si>
    <t>Louisburg</t>
  </si>
  <si>
    <t>Don Aase</t>
  </si>
  <si>
    <t>Ryan Weber</t>
  </si>
  <si>
    <t>David Palmer</t>
  </si>
  <si>
    <t>Joe Sambito</t>
  </si>
  <si>
    <t>Dwayne Henry</t>
  </si>
  <si>
    <t>Delaware</t>
  </si>
  <si>
    <t>Tom Candiotti</t>
  </si>
  <si>
    <t>St. Mary's of California</t>
  </si>
  <si>
    <t>Joe Hesketh</t>
  </si>
  <si>
    <t>Jose Ramirez</t>
  </si>
  <si>
    <t>Brent Strom</t>
  </si>
  <si>
    <t>San Diego City, USC</t>
  </si>
  <si>
    <t>Alexi Ogando</t>
  </si>
  <si>
    <t>Madison Younginer</t>
  </si>
  <si>
    <t>Date</t>
  </si>
  <si>
    <t>Update Notes</t>
  </si>
  <si>
    <t>Original version, with 488 TJS</t>
  </si>
  <si>
    <t>Corrected Taylor Buchholz team from HOU to COL</t>
  </si>
  <si>
    <t>Corrected Randy Williams team from CHW to CHC</t>
  </si>
  <si>
    <t>Mike Foltynewicz</t>
  </si>
  <si>
    <t>Corrected Todd Coffee surgery date to 8/1/1999</t>
  </si>
  <si>
    <t>Added Bill Simas, Jason Bere, John Snyder, Lorenzo Barcelo, Rocky Biddle, Kris Honel, Mitch Wylie, Scott Radinsky, Mike Bielecki, Thomas Royce, Tony Pena, Joakim Soria (2003), Brian Wilson (2003), Brent Strom, Luke Scott, Randy Wolf (2012)</t>
  </si>
  <si>
    <t>Added Nick Hagadone, J.M. Gold, Jeremy Bonderman, Mitch Conner, Mike Jones, Jose Valdivia, Erik Cordier, Erubiel Durazo, Casey Crosby, Hector Gomez, Brad Hawpe, Tsuyoshi Wada, Jose Casilla, Drew Naylor, Cameron Bedrosian, Cesar Carrillo, Eddie Bonine, Jarrod Parker, Eric Milton, Victor Zambrano (1996), Darren Dreifort (1995), Steve Ontiveros (1989, 1996), Xavier Nady (2001), Scott Mathieson (2008), Jason Isringhausen (1998, 2008), Doug Brocail (2002), Al Reyes (1995), Matt Beech (1998, 1999), Tim Spooneybarger (2005), Matt Bashore, A.J. Jimenez</t>
  </si>
  <si>
    <t>Added Fautino De Los Santos, Rafael Furcal</t>
  </si>
  <si>
    <t>Added Casey Kelly</t>
  </si>
  <si>
    <t>Added Chad Billingsley, Chad Bell, Alex White, John Ely, Robert Whitenack, Nick Goody</t>
  </si>
  <si>
    <t>Added Danny Salazar</t>
  </si>
  <si>
    <t>Added Jonny Venters (2013)</t>
  </si>
  <si>
    <t>Added Eric O'Flaherty, Gavin Floyd</t>
  </si>
  <si>
    <t>Corrected Carlos Almanzar surgery date to 5/11/2005</t>
  </si>
  <si>
    <t>Added Kyuji Fujikawa, Joel Hanrahan, Sammy Solis, Patrick Murphy</t>
  </si>
  <si>
    <t>Added Jordan Norberto, Scott Elbert</t>
  </si>
  <si>
    <t>Added Dylan Bundy</t>
  </si>
  <si>
    <t>Added Lucas Giolito, Taylor Jordan</t>
  </si>
  <si>
    <t>Added Jason Motte, Frank Hermann, Fernando Rodriguez, Will Harris, Bruce Chen, Nathan Eovaldi, Pedro Beato, Brandon Gomes, Chris Narveson, Darren Oliver</t>
  </si>
  <si>
    <t>Added Taylor Guerrieri</t>
  </si>
  <si>
    <t>Added Jason Marquis</t>
  </si>
  <si>
    <t>Added Jeremy Hefner (2013)</t>
  </si>
  <si>
    <t>Added Andy Loomis</t>
  </si>
  <si>
    <t>Added Matt Reynolds, Rafael Betancourt</t>
  </si>
  <si>
    <t>Added Daniel Hudson (2013), Manny Banuelos, Ryan Beckman, Jose Contreras, Joe Beimel, Jose Canseco</t>
  </si>
  <si>
    <t>Added Kyle McPherson, Chang-Yong Lim (2012)</t>
  </si>
  <si>
    <t>Added Andrew Knapp, Brandon Sisk, Matt West, Matt Skole, Jason Hursh, Scott Barlow, Jose Rijo (1995), Shin-Soo Choo</t>
  </si>
  <si>
    <t>Added Matt Harvey</t>
  </si>
  <si>
    <t>Added Kris Johnson</t>
  </si>
  <si>
    <t>Updated Juan Pena to Majors</t>
  </si>
  <si>
    <t xml:space="preserve">Added Rymer Liriano </t>
  </si>
  <si>
    <t>Added Miguel Sano</t>
  </si>
  <si>
    <t>Added Cory Luebke (2014)</t>
  </si>
  <si>
    <t>Added Ross Stripling, Luke Hochevar, Jarrod Parker (2014), Josh Pettitte, Kris Medlen (2014)</t>
  </si>
  <si>
    <t>Added Paul Molitor, Repeat TJ List tab</t>
  </si>
  <si>
    <t>Added Brandon Beachy (2014)</t>
  </si>
  <si>
    <t>Updated Jose Rijo surgery date to 8/22/1995</t>
  </si>
  <si>
    <t>Added Clay Holmes</t>
  </si>
  <si>
    <t>Added Patrick Corbin, Jacob Bray</t>
  </si>
  <si>
    <t>Added David Hernandez</t>
  </si>
  <si>
    <t>Added Peter Moylan</t>
  </si>
  <si>
    <t>Added Bruce Rondon, Johnny Anderson (2010), Johnny Anderson (2011), Erik Davis</t>
  </si>
  <si>
    <t>Corrected Ross Stripling surgery date to 4/2/2014</t>
  </si>
  <si>
    <t>Tyrell Jenkins</t>
  </si>
  <si>
    <t>Added Bobby Parnell, Connor Sadzeck</t>
  </si>
  <si>
    <t>Added Nick McBride, Alfredo Silverio (2013)</t>
  </si>
  <si>
    <t>Corrected A.J. Jimenez, Michael Morrison, Alfredo Silverio (2012) surgery dates</t>
  </si>
  <si>
    <t>Added Luis Gonzalez</t>
  </si>
  <si>
    <t>Added Corey Williams, Jameson Taillon</t>
  </si>
  <si>
    <t>Added Cory Gearrin, Shane Loux (2013, 2005), Matt Moore, Scott Carroll, Jacob deGrom</t>
  </si>
  <si>
    <t>Updated Vincent Velasquez surgery date to 9/22/2010</t>
  </si>
  <si>
    <t>Added John Farrell</t>
  </si>
  <si>
    <t>Added Tom Candiotti, Ken Dayley, Andrew Chafin, Mark Lamm, Curt Casali, Navery Moore, Grayson Garvin</t>
  </si>
  <si>
    <t>Added Andy Simunic</t>
  </si>
  <si>
    <t>Added Junior Morillo, Seth Harvey</t>
  </si>
  <si>
    <t>Added Ryan Tatusko, Julio Ramos, Josh Johnson (2014)</t>
  </si>
  <si>
    <t>Added Ivan Nova, Ty Morrison, Bobby Bundy, J.T. Chargois, Greg Billo, Tim Berry, Mike Clevinger, Mason Felt, Robert Fish, Gabe Speier, Jason Garcia, Aaron Kurcz, Chen Chang Lee, Adam Liberatore, Chia-Jen Lo, Roberto Osuna, Dillon Overton, David Paulino, Austin Schuetzle, Hunter Strickland, Tom Stuifbergen, Alex Wood, Jace Chancellor</t>
  </si>
  <si>
    <t>Added Unsigned Draftees tab</t>
  </si>
  <si>
    <t>Corrected Matt Bergen surgery date/team, Scott Carroll surgery date, Brandon Sisk team</t>
  </si>
  <si>
    <t>Added Brian Moran</t>
  </si>
  <si>
    <t>Added Jose Campos, Matt Maloney</t>
  </si>
  <si>
    <t>Added Mac Williamson</t>
  </si>
  <si>
    <t>Added Johnny Hellweg, Pedro Figueroa</t>
  </si>
  <si>
    <t>Added Ryan Borucki, Trevor Foss, Elliot Morris, Michael Clevinger, Michael Smith, A.J. Griffin</t>
  </si>
  <si>
    <t>Added Scott McGregor, Al Alburquerque</t>
  </si>
  <si>
    <t>Added Eric Gagne (2005), Marcus Hatley</t>
  </si>
  <si>
    <t>Added Shawn Haviland</t>
  </si>
  <si>
    <t>Added Jeff Inman, Randy Henry</t>
  </si>
  <si>
    <t>Added Matt Reistetter, Danny Rosenbaum</t>
  </si>
  <si>
    <t>Added Steve Bast</t>
  </si>
  <si>
    <t>Added Rinku Singh</t>
  </si>
  <si>
    <t>Added Raul Alcantara, Kevin Towers, Taylor Teagarden</t>
  </si>
  <si>
    <t>Added Jose Fernandez</t>
  </si>
  <si>
    <t>Added Ray Black</t>
  </si>
  <si>
    <t>Updated Matt Riley (2000) surgery date to 9/1/2000</t>
  </si>
  <si>
    <t>Added Martin Perez</t>
  </si>
  <si>
    <t>Added Chad Jones</t>
  </si>
  <si>
    <t>Added Country, High School, Throws and College columns to list from Patrick Despain (@PatrickDespain)</t>
  </si>
  <si>
    <t>Added Masumi Kuwata</t>
  </si>
  <si>
    <t>Added Anthony Fernandez</t>
  </si>
  <si>
    <t>Added Clinton Hollon, Adam O'Neill, Ethan Katz, Duane Below, Tyler Henley, Spencer Kieboom, Tyler Chatwood (2006), Rocco Baldelli, Jay Buhner, Jose Guillen, Todd Hundley, Trey Lunsford, Tony Womack, Tony Alvarez, Trace Coquillette, Ben Davis, Craig Gentry, Justin Maxwell, Jay Payton</t>
  </si>
  <si>
    <t>Corrected Cameron Bedrosian surgery date</t>
  </si>
  <si>
    <t>Removed duplicate Michael Clevenger entry from 2012</t>
  </si>
  <si>
    <t>Added Jose Cisnero, Matt Purke, Keith Butler</t>
  </si>
  <si>
    <t>Added Chris Withrow</t>
  </si>
  <si>
    <t>Added Stephen Tromblee, Carmine Giardina, Shane Greene</t>
  </si>
  <si>
    <t>Added Duke Welker, Sean Burnett</t>
  </si>
  <si>
    <t>Added many surgeries to Unsigned Draftees tab from 2014 MLB Draft</t>
  </si>
  <si>
    <t>Added Jace Fry, Randy LeBlanc</t>
  </si>
  <si>
    <t>Added Joe Broussard, Trevor Oaks, Jeff Brigham, Brad Renner</t>
  </si>
  <si>
    <t>Added Scott McGough, Matt Wieters</t>
  </si>
  <si>
    <t>Added Frank Viola III, Sean Carley, Daniel Moskos, Jeff Walters</t>
  </si>
  <si>
    <t>Added Wes Benjamin, Ryan Butler, Garrett Bolt (2013, 2011)</t>
  </si>
  <si>
    <t>Added Michael Nolan</t>
  </si>
  <si>
    <t>Added Derek Law</t>
  </si>
  <si>
    <t>Added Dallas Beeler</t>
  </si>
  <si>
    <t>Added mlbamid column to list</t>
  </si>
  <si>
    <t>Added Daniel Winkler, Randy Rosario, Luis Mateo, Gabe Encinas, Dean Deetz</t>
  </si>
  <si>
    <t>Corrected Ben Davis and J.R House surgery dates</t>
  </si>
  <si>
    <t>Added Ben Smith, Jose Lopez</t>
  </si>
  <si>
    <t>Added Age, Return Date and Recovery Time columns</t>
  </si>
  <si>
    <t>Added Jeff Hoffman, John Curtiss, Endrys Briceno, Josh Mueller</t>
  </si>
  <si>
    <t>Updated Jose Canseco, Cal Eldred, Paul Wagner, Steve Karsay, Steve Sparks, Rheal Cormier, Jason Isringhausen (1998), Seth Greisinger, Kerry Ligtenberg surgery dates</t>
  </si>
  <si>
    <t>Updated Chad Fox, Seth Greisinger, Scott Elbert statuses/teams</t>
  </si>
  <si>
    <t>Brandon Cunniff</t>
  </si>
  <si>
    <t>Added Caleb Ferguson</t>
  </si>
  <si>
    <t>Added Dylan Cease</t>
  </si>
  <si>
    <t>Updated Oscar Villareal surgery date</t>
  </si>
  <si>
    <t>Added Tom Robson</t>
  </si>
  <si>
    <t>Added Craig Tatum</t>
  </si>
  <si>
    <t>Added Bronson Arroyo, Dustin Houle, Christian Binford, Steven Moya</t>
  </si>
  <si>
    <t>Added Yoel Mecias, Collin Balester, Matt Jones</t>
  </si>
  <si>
    <t>Added Surgeon(s) column</t>
  </si>
  <si>
    <t>Added Josh Pennington, Erick Fedde, Andrew Chin, Jake Brigham, Kenn Kasparek, Tyler Sample, Adrian Sampson, Nick Neumann, Hayden Hurst, Will Kendall, Justin Topa, Bealyn Chourio, Xavier Macklin, David Palmer, Dwayne Henry, Brian Holton, Larry Christenson, Joe Sambito, Don Aase, Chuck Porter, Tom Filer, Gary Lavelle, Brad Arnsberg, John Tudor, Danny Cox, Greg Mathews, Todd Worrell, Brett Gideon, John Dopson, Brian Dubois, Joe Magrane, Scott Chiamparino, Scott Garrelts, Mike Witt, Clay Parker, Kevin Ritz, Norm Charlton, Paul Menhart, Scott Aldred, Scott Eyre, Frank Viola, Darryl Hamilton</t>
  </si>
  <si>
    <t>Updated Brent Strom, Matt Young surgery dates</t>
  </si>
  <si>
    <t>Removed Jimmy Key and Kenny Rogers</t>
  </si>
  <si>
    <t>Added Tyler Chatwood (2014)</t>
  </si>
  <si>
    <t>Added Nate Jones, Tyler Saladino, Dillon Peters, Hector Hernandez, Fernando Romero, Tyler Stirewalt</t>
  </si>
  <si>
    <t>Added Josh Conway, Ryan McNeil, Anthony Prieto, Barret Loux, Stephen Bruno, Tim Saunders</t>
  </si>
  <si>
    <t>Added Austin Ross</t>
  </si>
  <si>
    <t>Added Tyler Skaggs, Chris Flexen</t>
  </si>
  <si>
    <t>Added Neil Wagner</t>
  </si>
  <si>
    <t>Added Stephen Fife</t>
  </si>
  <si>
    <t>Added Max Fried</t>
  </si>
  <si>
    <t>Updated Paul Molitor surgery date</t>
  </si>
  <si>
    <t>Added Marvin Gorgas, Ramon Morla</t>
  </si>
  <si>
    <t>Added David Whitehead</t>
  </si>
  <si>
    <t>Added Kyle Higashioka</t>
  </si>
  <si>
    <t>Added Tyler Bashlor</t>
  </si>
  <si>
    <t>Added Vaughn Covington</t>
  </si>
  <si>
    <t>Added Daniel Coulombe</t>
  </si>
  <si>
    <t>Added Carlos Almanzar (2006)</t>
  </si>
  <si>
    <t>Removed Jason Isringhausen (2008), Bartolome Fortunato, Eric Gagne (2005)</t>
  </si>
  <si>
    <t>Added Geremi Gonzalez, Ben Christensen, Greg Wooten, Bryan Harvey</t>
  </si>
  <si>
    <t>Corrected Mark Wohlers, Matt Mantei, Dave Eiland (2001, 2002), Dan Kolb, Brian Anderson (2006) surgery dates</t>
  </si>
  <si>
    <t>Added Jonny Venters (2014), Dallas Gallant</t>
  </si>
  <si>
    <t>Added Mark Clark</t>
  </si>
  <si>
    <t>Added Jeff Ibarra</t>
  </si>
  <si>
    <t>Added Javier Herrera (2006, 2014)</t>
  </si>
  <si>
    <t>Added Matt Carpenter</t>
  </si>
  <si>
    <t>Added Organizations, Recovery Time and Surgeons tabs</t>
  </si>
  <si>
    <t>Added Jeremy Hefner (2014)</t>
  </si>
  <si>
    <t>Added Jeff Bianchi, James Parr, Jack Egbert</t>
  </si>
  <si>
    <t>Added Scott Maine, Danny Touchet, Aaron Looper, Brian Stitt</t>
  </si>
  <si>
    <t>Added Zak Wasilewski</t>
  </si>
  <si>
    <t>Added Colton Turner, Jordan Ellis (2002, 2012), Kevin Walter, Matt Smith</t>
  </si>
  <si>
    <t>Added Brett Bochy, Tip Fairchild, Eli Iorg, Bryan Brickhouse, Jack Armstrong Jr., John Bannister, Matt Nevarez, Matt Ramsey, Andrew Rohrbach, Josh Osich, Dusty Hughes, Paul Raglione</t>
  </si>
  <si>
    <t>Added Trevor Bell, Dallas Buck, Mason Melotakis, John Fasola</t>
  </si>
  <si>
    <t>Added Ryan Brasier</t>
  </si>
  <si>
    <t>Added Kaleb Fleck</t>
  </si>
  <si>
    <t>Added Jaime Schultz</t>
  </si>
  <si>
    <t>Added David Perez, Jesse Hahn, Jared Ruxer</t>
  </si>
  <si>
    <t>Added Yean Carlos Gil</t>
  </si>
  <si>
    <t>Added Tim Gustafson</t>
  </si>
  <si>
    <t>Added Michael Olmsted</t>
  </si>
  <si>
    <t>Added Garrett Gould</t>
  </si>
  <si>
    <t>Added Derick Velazquez</t>
  </si>
  <si>
    <t>Added Shae Simmons</t>
  </si>
  <si>
    <t>Added Onas Farfan</t>
  </si>
  <si>
    <t>Added Joe Hesketh, Mike Warren, Dan Opperman, Bryan Hickerson, Eric Bell, Jose Cecena, Jose Mesa, Mike Fyhrie, Rey Sanchez, Greg Colbrunn (1991, 1993), Dion James, Glenn Carter</t>
  </si>
  <si>
    <t>Added Stan Spencer, Matt Murray, Pat Treend, Jeff Knox, Mike Greenwell, Bob Wells, Dave Leiper, Julio Valera, Ken Patterson, Armando Reynoso, Huck Flener, Anthony Young</t>
  </si>
  <si>
    <t>Corrected John Farrell surgery date</t>
  </si>
  <si>
    <t>Added Chad Smith, Alec Asher</t>
  </si>
  <si>
    <t>Corrected Scott Williamson (2001) surgery date</t>
  </si>
  <si>
    <t>Williams Perez</t>
  </si>
  <si>
    <t>Added Joel Hanrahan (2015)</t>
  </si>
  <si>
    <t>Corrected Mason Tobin surgery date</t>
  </si>
  <si>
    <t>Added Matt DeRosier</t>
  </si>
  <si>
    <t>Added Brandon Cumpton</t>
  </si>
  <si>
    <t>Added Wei-Chung Wang, Gus Benusa, Ricky Orta</t>
  </si>
  <si>
    <t>Added Tim Collins</t>
  </si>
  <si>
    <t>Added Yu Darvish</t>
  </si>
  <si>
    <t>Added Josh Edgin, Jose Martinez, Luis Merejo, Tim Berry, Corey Black, Brandon Brennan, Scott Oberg, Austin Wood, Sam Dyson, Elvis Araujo, Leonel Campos, Cole Wiper</t>
  </si>
  <si>
    <t>Added Jose Garcia, Rodrigo Lopez, Edward Campusano</t>
  </si>
  <si>
    <t>Corrected Michael Gonzalez surgery date</t>
  </si>
  <si>
    <t>Added Jeff Johnson</t>
  </si>
  <si>
    <t>Added Zack Wheeler</t>
  </si>
  <si>
    <t>Added Pat Misch</t>
  </si>
  <si>
    <t>Added Post-TJ MLB G, Post-TJ MLB IP/PA and Active columns to TJ List</t>
  </si>
  <si>
    <t>Added Matt Quatraro</t>
  </si>
  <si>
    <t>Added Steven Inch, Will Remillard, Shawn Tolleson</t>
  </si>
  <si>
    <t>Added Erling Moreno, Austin Reed</t>
  </si>
  <si>
    <t>Added Rob Wooten, Jordan Romano, Domingo German</t>
  </si>
  <si>
    <t>Updated Tom Candiotti surgery date</t>
  </si>
  <si>
    <t>Added Kyle Smith, Andrew McKirahan, Christian Vazquez, Jacob Webb</t>
  </si>
  <si>
    <t>Added Lewis Thorpe</t>
  </si>
  <si>
    <t>Added Burch Smith, Ty Hensley, Aaron Crow</t>
  </si>
  <si>
    <t>Added B.J. Hermsen, Joe Rogers, Jesse Beal, Mario Hollands, Red Patterson, Jose Pena</t>
  </si>
  <si>
    <t>Added Kevin Johnson, Lisalverto Bonilla</t>
  </si>
  <si>
    <t>Added Drew Anderson</t>
  </si>
  <si>
    <t>Added Cameron Booser</t>
  </si>
  <si>
    <t>Added Jake Sweaney</t>
  </si>
  <si>
    <t>Added Will Fulmer</t>
  </si>
  <si>
    <t>Added Brady Feigl</t>
  </si>
  <si>
    <t>Added Jonas Dufek</t>
  </si>
  <si>
    <t>Added Joe Nathan</t>
  </si>
  <si>
    <t>Added Brandon McCarthy</t>
  </si>
  <si>
    <t>Added Homer Bailey, Jose Rosario</t>
  </si>
  <si>
    <t>Added Donald Lutz</t>
  </si>
  <si>
    <t>Added Domingo Tapia, Anthony Castro, Adam Ottavino, Matt Magill</t>
  </si>
  <si>
    <t>Added Alex Cobb</t>
  </si>
  <si>
    <t>Added Davis Ward</t>
  </si>
  <si>
    <t>Added Dayan Diaz, Daniel Missaki, Ramire Cleto, Justin Topa</t>
  </si>
  <si>
    <t>Added Mike Nesseth</t>
  </si>
  <si>
    <t>Added Kenny Mathews</t>
  </si>
  <si>
    <t>Added Chase Whitley</t>
  </si>
  <si>
    <t>Added Dylan Baker, Blaine Howell (2012, 2013), Reid Redman</t>
  </si>
  <si>
    <t>Corrected Justin Topa (2015) surgery date</t>
  </si>
  <si>
    <t>Added James Bourque, Brian Schlitter</t>
  </si>
  <si>
    <t>Added Nick Kingham</t>
  </si>
  <si>
    <t>Added Kevin Krause, Adrian Grullon</t>
  </si>
  <si>
    <t>Added Zeke McGranahan, Caleb Frare, Dietrich Enns, Conor Mullee, Jarret Leverett, Kent Emanuel</t>
  </si>
  <si>
    <t>Updated Jose Rosario and Conor Mullee surgery dates</t>
  </si>
  <si>
    <t>Added A.J. Ramos</t>
  </si>
  <si>
    <t>Added Jordan Stephens, Peter Fairbanks, Taylor Clarke</t>
  </si>
  <si>
    <t>Added Kyle Friedrichs, Pierce Romero, Erik Goeddel, Matt Crownover, Brian Ward, Dustin Hurlbutt, James Naile, Chase Johnson-Mullins, Andrew Lee, Adam Choplick (2011, 2010), Casey Mulholland, A.J. Minter, Mike Matuella</t>
  </si>
  <si>
    <t>Added Brandon Workman, Tommy Peterson, Trey Keegan, Ryan Perez, Alex Luna, Jordan Dunatov</t>
  </si>
  <si>
    <t>Matt Wisler</t>
  </si>
  <si>
    <t>Added Dakota Mitchell, Yomar Morel, Nate Griep, Quintin Torres-Costa, Matt Lujan</t>
  </si>
  <si>
    <t>Added Grant Hockin, Jace Fry (2015), Nick Vander Tuig (2009, 2015), Michael Hacker</t>
  </si>
  <si>
    <t>Added Shao-Ching Chiang, Brady Aiken, Tyler Nevin, Reilly Hovis, Tyler Higgins, Joe Harvey</t>
  </si>
  <si>
    <t>Added Trevor Megill, Jake Kalish</t>
  </si>
  <si>
    <t>Added Jeff Degano</t>
  </si>
  <si>
    <t>Changed name from Jose Campos to Vicente Campos</t>
  </si>
  <si>
    <t>Added Justin Garza</t>
  </si>
  <si>
    <t>Added Austin DeCarr</t>
  </si>
  <si>
    <t>Added Sergio Santos</t>
  </si>
  <si>
    <t>Added Blake Hickman, Jeff Burke</t>
  </si>
  <si>
    <t>Corrected Al Reyes surgery date (2005)</t>
  </si>
  <si>
    <t>Added Marc Magliaro</t>
  </si>
  <si>
    <t>Added Matt Strahm, Alec Mills, Colin Rodgers</t>
  </si>
  <si>
    <t>Added Alex Wilson</t>
  </si>
  <si>
    <t>Added Derek DeYoung, J.J. Picollo</t>
  </si>
  <si>
    <t>Added Michael Smith (2015)</t>
  </si>
  <si>
    <t>Added Josh Goossen-Brown, Jose Barraza, Matt Lane, Josh Romanski, Adam Lopez, James Marvel</t>
  </si>
  <si>
    <t>Added Jonah Wesely, Nicholas Padilla</t>
  </si>
  <si>
    <t>Added Don Kelly, Jamie Nelson, Joshua Rogers</t>
  </si>
  <si>
    <t>Added Chris Betts</t>
  </si>
  <si>
    <t>Converted from Majors to Level and College to College(s)</t>
  </si>
  <si>
    <t>Added Brad Kuntz</t>
  </si>
  <si>
    <t>Added Jacob Taylor</t>
  </si>
  <si>
    <t>Added Blake Taylor, Jack Leathersich</t>
  </si>
  <si>
    <t>Added Brooks Pounders</t>
  </si>
  <si>
    <t>Added Nate Adcock, Morgan Lofstrom, Glenn Sparkman, Walker Buehler</t>
  </si>
  <si>
    <t>Added Johnny Magliozzi, Wesley Rodriguez</t>
  </si>
  <si>
    <t>Added Hector Garcia, Ivan Cespedes, Eduardo Vera</t>
  </si>
  <si>
    <t>Added Cesar Araujo</t>
  </si>
  <si>
    <t>Added Taylor Williams, Jason Vargas</t>
  </si>
  <si>
    <t>Added Aaron Bummer</t>
  </si>
  <si>
    <t>Added Pete Kelich</t>
  </si>
  <si>
    <t>Added Brian Ellington</t>
  </si>
  <si>
    <t>Added Trey Nielsen</t>
  </si>
  <si>
    <t>Added Marcus Greene</t>
  </si>
  <si>
    <t>Added Hipolito Pichardo</t>
  </si>
  <si>
    <t>Added James Needy, Eduardo Jimenez</t>
  </si>
  <si>
    <t>Added Delvin Hiciano, Keaton Aldridge, Fernery Ozuna</t>
  </si>
  <si>
    <t>Added Nathan Kirby</t>
  </si>
  <si>
    <t>Added Aaron Barrett</t>
  </si>
  <si>
    <t>Added Harrison Musgrave</t>
  </si>
  <si>
    <t>Added Drew VerHagen</t>
  </si>
  <si>
    <t>Added Angel Sanchez, Saul De La Cruz, Cole Sulser (2011, 2015)</t>
  </si>
  <si>
    <t>Added Rene Arocha, Butch Henry</t>
  </si>
  <si>
    <t>Added Cameron Avila-Leeper</t>
  </si>
  <si>
    <t>Added David Ramos</t>
  </si>
  <si>
    <t>Added Kyle Waldrop</t>
  </si>
  <si>
    <t>Added Greg Holland</t>
  </si>
  <si>
    <t>Added Paco Rodriguez</t>
  </si>
  <si>
    <t>Added Jesse Biddle</t>
  </si>
  <si>
    <t>Added Eduardo Sanchez, Branden Kline, Greg Maisto</t>
  </si>
  <si>
    <t>Added Li-Jen Chu</t>
  </si>
  <si>
    <t>Added Mason Hope (2014, 2015)</t>
  </si>
  <si>
    <t>Added Marcos Molina</t>
  </si>
  <si>
    <t>Added Jacob Dahlstrand, Cameron Griffin</t>
  </si>
  <si>
    <t>Added Casey Sadler</t>
  </si>
  <si>
    <t>Corrected John Axford surgery date</t>
  </si>
  <si>
    <t>Joel De La Cruz</t>
  </si>
  <si>
    <t>Added Lance Lynn</t>
  </si>
  <si>
    <t>Added Brad Bergesen</t>
  </si>
  <si>
    <t>Added Beau Wright</t>
  </si>
  <si>
    <t>Added Chang-Yong Lim (2005), Sam Demel</t>
  </si>
  <si>
    <t>Added Diego Moreno, Benino Pruneda, Derrick Lewis, Brett Butts, Cody Allen, Mike James, Randy Velarde, Mitch LeVier, Bobby Munoz, Dae-Eun Rhee, Andrew Laughter, Steve Matre, Andrew Good, John Ennis, Marcus Walden, Parker Frazier, John Foster</t>
  </si>
  <si>
    <t>Added Mark Minicozzi, Mike Duvall, Lincoln Holdzkom, Scott Sobkowiak, Doug Creek, Todd Jennings, Osvaldo Fernandez, Ken Ryan, Luis Lopez, Francisco Cordova, Mike Benjamin, Tom Lampkin, Steve Stemle, Matt Hensley, Chuck Smith, Brian Rose, Nick Hill, Greg Wilborn, Jeff Wallace, Billy Petrick, Marc Valdes, T.J. Tucker, Jeff Tabaka, Brian Akin, Valerio De Los Santos, Jay Powell</t>
  </si>
  <si>
    <t>Added Seung-hwan Oh</t>
  </si>
  <si>
    <t>Added Sean Murphy</t>
  </si>
  <si>
    <t>Added Nick Petree</t>
  </si>
  <si>
    <t>Added Carter Capps</t>
  </si>
  <si>
    <t>Added Jairo Diaz</t>
  </si>
  <si>
    <t>Added Nick Sabo</t>
  </si>
  <si>
    <t>Added Matt Trowbridge</t>
  </si>
  <si>
    <t>Added Joel Bender</t>
  </si>
  <si>
    <t>Added Brusdar Graterol</t>
  </si>
  <si>
    <t>Added Andrew McKirahan (2016)</t>
  </si>
  <si>
    <t>Added Matt Whitehouse, Chaz Hebert</t>
  </si>
  <si>
    <t>Added Joan De La Cruz, Victor Diaz, Yosmer Leal, Milton Gomez</t>
  </si>
  <si>
    <t>Added Ian Gardeck</t>
  </si>
  <si>
    <t>Added Will Remillard (2016)</t>
  </si>
  <si>
    <t>Added Tyler Kolek</t>
  </si>
  <si>
    <t>Added Tim Collins (2016), Tim Melville, Felix Doubront</t>
  </si>
  <si>
    <t>Added Nick Rumbelow</t>
  </si>
  <si>
    <t>Added Marco Gonzales</t>
  </si>
  <si>
    <t>Added Jimmy Reed</t>
  </si>
  <si>
    <t>Added Jacob Lee</t>
  </si>
  <si>
    <t>Added Manny Parra, R.C. Orlan</t>
  </si>
  <si>
    <t>Added Gray Fenter</t>
  </si>
  <si>
    <t>Added Sebastian Kessay, Kirby Yates, George Kontos, Jose Alvarez, Joe Biagini</t>
  </si>
  <si>
    <t>Added Matt Marksberry, Brian Pearl, Arquimedes Caminero, Jumbo Diaz, Andrew Triggs, Harold Mozingo, Harrison Cooney, Wei-Yin Chen, Hyun-Jin Ryu</t>
  </si>
  <si>
    <t>Added Ryan Etsell, Delfo Terrero, Ramon Rodriguez, Miguel Del Pozo</t>
  </si>
  <si>
    <t>Added Keith Hessler</t>
  </si>
  <si>
    <t>Added Chris Bassitt</t>
  </si>
  <si>
    <t>Added Zac Reininger</t>
  </si>
  <si>
    <t>Added Javy Guerra, Steve Delabar, Eric Eadington (2008, 2014)</t>
  </si>
  <si>
    <t>Added Pablo Fernandez</t>
  </si>
  <si>
    <t>Added Michael Gibbons, Layne Somsen</t>
  </si>
  <si>
    <t>Added Dustin Antolin, Ben Bracewell</t>
  </si>
  <si>
    <t>Added Robbie Erlin, Deiyerbert Bolivar, Dylan Brooks</t>
  </si>
  <si>
    <t>Added Carson Smith, Alexis Diaz</t>
  </si>
  <si>
    <t>Added Tyler Cloyd, Tyler Sturdevant, A.J. Morris, Josh Smith</t>
  </si>
  <si>
    <t>Added Carlos Aponte</t>
  </si>
  <si>
    <t>Added Taylor Jordan (2016)</t>
  </si>
  <si>
    <t>Added Pedro Perez</t>
  </si>
  <si>
    <t>Added Aaron Wilkerson, Ty Hensley, Elliot Ashbeck</t>
  </si>
  <si>
    <t>Added Ryan Brett, Frank Batista</t>
  </si>
  <si>
    <t>Added Daniel Webb</t>
  </si>
  <si>
    <t>Added Cal Quantrill, Mitchell White, Mason Thompson, Jesus Luzardo, Sam Tewes</t>
  </si>
  <si>
    <t>Added Matt Krook</t>
  </si>
  <si>
    <t>Added Jacob Bosiokovic, Cameron Roegner, Heath Holder, Robert Calvano</t>
  </si>
  <si>
    <t>Added Mikey York, Jonas Wyatt</t>
  </si>
  <si>
    <t>Added Zach Becherer, Braden Webb</t>
  </si>
  <si>
    <t>Added Jesse Stallings, Reid Humphreys, Raudel Lazo</t>
  </si>
  <si>
    <t>Added Zach Plesac, Adam Parks (2012, 2016)</t>
  </si>
  <si>
    <t>Added Sam Lewis, Tyler Benninghoff</t>
  </si>
  <si>
    <t>Added Jordan Sheffield, Cole Irvin, Robby Sexton, Ryan Williamson, Kyle Hart, Martin Agosta, Logan Webb, Hever Bueno</t>
  </si>
  <si>
    <t>Added Chris Thomas</t>
  </si>
  <si>
    <t>Mauricio Cabrera</t>
  </si>
  <si>
    <t>Added Jose Garcia, Scott Moss</t>
  </si>
  <si>
    <t>Added Andrew Heaney, Art Warren, Alex Hermeling, Matthew Grimes, Bryce Beeler, Kyle Survance, James Carter, Conor Costello</t>
  </si>
  <si>
    <t>Added Zach Remillard, Enrique Zamora, Joseph Colon, Jo-Jo Reyes</t>
  </si>
  <si>
    <t>Added Jon Moscot</t>
  </si>
  <si>
    <t>Added Matt Crouse, Koda Glover</t>
  </si>
  <si>
    <t>Added Adrian Houser, Hunter Harvey</t>
  </si>
  <si>
    <t>Added Carlos Luna</t>
  </si>
  <si>
    <t>Added Adrian Perez</t>
  </si>
  <si>
    <t>Added Malcolm Van Buren</t>
  </si>
  <si>
    <t>Added Miguel Socolovich, Tyler Melling</t>
  </si>
  <si>
    <t>Added Andrew Lee (2016)</t>
  </si>
  <si>
    <t>Added Raymond Burgos, Sam Hentges, Chad Donato, Francisco Lopez</t>
  </si>
  <si>
    <t>Jed Bradley</t>
  </si>
  <si>
    <t>Added Jacob Lindgren</t>
  </si>
  <si>
    <t>Added David Elder, Dalton Geekie</t>
  </si>
  <si>
    <t>Added Walker Weickel</t>
  </si>
  <si>
    <t>Added Drew Steckenrider</t>
  </si>
  <si>
    <t>Added Chris Paddack</t>
  </si>
  <si>
    <t>Added Nathan Eovaldi (2016)</t>
  </si>
  <si>
    <t>Added Sean Nolin</t>
  </si>
  <si>
    <t>Added Nick Tropeano, Andy Parrino</t>
  </si>
  <si>
    <t>Added Derek Hill</t>
  </si>
  <si>
    <t>Added Doug Willey</t>
  </si>
  <si>
    <t>Added Eddie Gamboa, Josh Uhen</t>
  </si>
  <si>
    <t>Added Christian Morris</t>
  </si>
  <si>
    <t>Added Cesar Gonzalez, Johan Belisario</t>
  </si>
  <si>
    <t>Added Mark Armstrong</t>
  </si>
  <si>
    <t>Added Anthony Kay</t>
  </si>
  <si>
    <t>Added James Jones</t>
  </si>
  <si>
    <t>Added Andro Cutura, Erik Johnson, J.B. Wendelken</t>
  </si>
  <si>
    <t>Added Josh Prevost</t>
  </si>
  <si>
    <t>Added Zach Duke</t>
  </si>
  <si>
    <t>Added Derek Tate</t>
  </si>
  <si>
    <t>Added Ryan Cook</t>
  </si>
  <si>
    <t>Added Colin Rea</t>
  </si>
  <si>
    <t>Added Bryan Harper</t>
  </si>
  <si>
    <t>Added Yimi Garcia</t>
  </si>
  <si>
    <t>* MLB Return% includes all TJ surgeries performed on MLB players who have had 18 months to return to MLB. Surgeries performed prior to:</t>
  </si>
  <si>
    <t>John Gant</t>
  </si>
  <si>
    <t>TJ Surgeries</t>
  </si>
  <si>
    <t>Average Age</t>
  </si>
  <si>
    <t>High School State</t>
  </si>
  <si>
    <t>Regulations?</t>
  </si>
  <si>
    <t>Mandated Rest?</t>
  </si>
  <si>
    <t>P TJ Surgeries</t>
  </si>
  <si>
    <t>State Population</t>
  </si>
  <si>
    <t>US, warm climate</t>
  </si>
  <si>
    <t>Aaron Blair</t>
  </si>
  <si>
    <t>US, cool climate</t>
  </si>
  <si>
    <t>Non-US</t>
  </si>
  <si>
    <t>Player Group</t>
  </si>
  <si>
    <t>Position Players</t>
  </si>
  <si>
    <t>NP</t>
  </si>
  <si>
    <t>Sam Freeman</t>
  </si>
  <si>
    <t>1974-1999</t>
  </si>
  <si>
    <t>Blaine Boyer</t>
  </si>
  <si>
    <t>active</t>
  </si>
  <si>
    <t>Matt Garza</t>
  </si>
  <si>
    <t>out of</t>
  </si>
  <si>
    <t>Junior Guerra</t>
  </si>
  <si>
    <t>Chase Anderson</t>
  </si>
  <si>
    <t>Carlos Torres</t>
  </si>
  <si>
    <t>Michael Blazek</t>
  </si>
  <si>
    <t>Ariel Pena</t>
  </si>
  <si>
    <t>Jimmy Nelson</t>
  </si>
  <si>
    <t>Max Possible</t>
  </si>
  <si>
    <t>2000-2009</t>
  </si>
  <si>
    <t>Tyler Cravy</t>
  </si>
  <si>
    <t>Ben Rowen</t>
  </si>
  <si>
    <t>David Goforth</t>
  </si>
  <si>
    <t>Jacob Barnes</t>
  </si>
  <si>
    <t>Taylor Jungmann</t>
  </si>
  <si>
    <t>Zach Davies</t>
  </si>
  <si>
    <t>Damien Magnifico</t>
  </si>
  <si>
    <t>Brent Suter</t>
  </si>
  <si>
    <t>Corey Knebel</t>
  </si>
  <si>
    <t>Seung Hwan Oh</t>
  </si>
  <si>
    <t>Jerome Williams</t>
  </si>
  <si>
    <t>Jonathan Broxton</t>
  </si>
  <si>
    <t>2010-2012</t>
  </si>
  <si>
    <t>Kevin Siegrist</t>
  </si>
  <si>
    <t>Mike Leake</t>
  </si>
  <si>
    <t>Dean Kiekhefer</t>
  </si>
  <si>
    <t>Trevor Rosenthal</t>
  </si>
  <si>
    <t>Samuel Tuivailala</t>
  </si>
  <si>
    <t>Matt Bowman</t>
  </si>
  <si>
    <t>Michael Wacha</t>
  </si>
  <si>
    <t>Alex Reyes</t>
  </si>
  <si>
    <t>Mike Mayers</t>
  </si>
  <si>
    <t>Luke Weaver</t>
  </si>
  <si>
    <t>Vermont</t>
  </si>
  <si>
    <t>Pedro Strop</t>
  </si>
  <si>
    <t>Jake Arrieta</t>
  </si>
  <si>
    <t>16-23</t>
  </si>
  <si>
    <t>Wyoming</t>
  </si>
  <si>
    <t>Jason Hammel</t>
  </si>
  <si>
    <t>Jon Lester</t>
  </si>
  <si>
    <t>Trevor Cahill</t>
  </si>
  <si>
    <t>Travis Wood</t>
  </si>
  <si>
    <t>Jake Buchanan</t>
  </si>
  <si>
    <t>Justin Grimm</t>
  </si>
  <si>
    <t>Kyle Hendricks</t>
  </si>
  <si>
    <t>Spencer Patton</t>
  </si>
  <si>
    <t>24-27</t>
  </si>
  <si>
    <t>Felix Pena</t>
  </si>
  <si>
    <t>Carl Edwards Jr.</t>
  </si>
  <si>
    <t>Gerardo Concepcion</t>
  </si>
  <si>
    <t>Rob Zastryzny</t>
  </si>
  <si>
    <t>Rubby de la Rosa</t>
  </si>
  <si>
    <t>28-31</t>
  </si>
  <si>
    <t>Zack Greinke</t>
  </si>
  <si>
    <t>Adam Loewen</t>
  </si>
  <si>
    <t>32-50</t>
  </si>
  <si>
    <t>Matt Buschmann</t>
  </si>
  <si>
    <t>Enrique Burgos</t>
  </si>
  <si>
    <t>Randall Delgado</t>
  </si>
  <si>
    <t>Shelby Miller</t>
  </si>
  <si>
    <t>Edwin Escobar</t>
  </si>
  <si>
    <t>1-11</t>
  </si>
  <si>
    <t>Robbie Ray</t>
  </si>
  <si>
    <t>Evan Marshall</t>
  </si>
  <si>
    <t>Archie Bradley</t>
  </si>
  <si>
    <t>Jake Barrett</t>
  </si>
  <si>
    <t>Matt Koch</t>
  </si>
  <si>
    <t>Dominic Leone</t>
  </si>
  <si>
    <t>Tyler Wagner</t>
  </si>
  <si>
    <t>Zack Godley</t>
  </si>
  <si>
    <t>Silvino Bracho</t>
  </si>
  <si>
    <t>12-23</t>
  </si>
  <si>
    <t>Braden Shipley</t>
  </si>
  <si>
    <t>Steve Hathaway</t>
  </si>
  <si>
    <t>Zac Curtis</t>
  </si>
  <si>
    <t>Chin-hui Tsao</t>
  </si>
  <si>
    <t>24-100</t>
  </si>
  <si>
    <t>Clayton Kershaw</t>
  </si>
  <si>
    <t>Luis Avilan</t>
  </si>
  <si>
    <t>Josh Ravin</t>
  </si>
  <si>
    <t>Kenley Jansen</t>
  </si>
  <si>
    <t>Joe Blanton</t>
  </si>
  <si>
    <t>Scott Kazmir</t>
  </si>
  <si>
    <t>Pedro Baez</t>
  </si>
  <si>
    <t>J.P. Howell</t>
  </si>
  <si>
    <t>Louis Coleman</t>
  </si>
  <si>
    <t>Mike Bolsinger</t>
  </si>
  <si>
    <t>Grant Dayton</t>
  </si>
  <si>
    <t>Nick Tepesch</t>
  </si>
  <si>
    <t>Julio Urias</t>
  </si>
  <si>
    <t>Jose De Leon</t>
  </si>
  <si>
    <t>Brock Stewart</t>
  </si>
  <si>
    <t>Kenta Maeda</t>
  </si>
  <si>
    <t>Jake Peavy</t>
  </si>
  <si>
    <t>Javier Lopez</t>
  </si>
  <si>
    <t>Santiago Casilla</t>
  </si>
  <si>
    <t>Jeff Samardzija</t>
  </si>
  <si>
    <t>Matt Cain</t>
  </si>
  <si>
    <t>Vin Mazzaro</t>
  </si>
  <si>
    <t>Madison Bumgarner</t>
  </si>
  <si>
    <t>Johnny Cueto</t>
  </si>
  <si>
    <t>Sergio Romo</t>
  </si>
  <si>
    <t>Mike Broadway</t>
  </si>
  <si>
    <t>Steven Okert</t>
  </si>
  <si>
    <t>Chris Stratton</t>
  </si>
  <si>
    <t>Ty Blach</t>
  </si>
  <si>
    <t>Mike Clevinger</t>
  </si>
  <si>
    <t>Corey Kluber</t>
  </si>
  <si>
    <t>Zach McAllister</t>
  </si>
  <si>
    <t>Tom Gorzelanny</t>
  </si>
  <si>
    <t>Austin Adams</t>
  </si>
  <si>
    <t>Bryan Shaw</t>
  </si>
  <si>
    <t>T.J. House</t>
  </si>
  <si>
    <t>Perci Garner</t>
  </si>
  <si>
    <t>Trevor Bauer</t>
  </si>
  <si>
    <t>Cody Anderson</t>
  </si>
  <si>
    <t>Shawn Armstrong</t>
  </si>
  <si>
    <t>Shawn Morimando</t>
  </si>
  <si>
    <t>Ryan Merritt</t>
  </si>
  <si>
    <t>Kyle Crockett</t>
  </si>
  <si>
    <t>Adam Plutko</t>
  </si>
  <si>
    <t>Steve Johnson</t>
  </si>
  <si>
    <t>Felix Hernandez</t>
  </si>
  <si>
    <t>Steve Cishek</t>
  </si>
  <si>
    <t>Evan Scribner</t>
  </si>
  <si>
    <t>Nick Vincent</t>
  </si>
  <si>
    <t>Vidal Nuno</t>
  </si>
  <si>
    <t>Donn Roach</t>
  </si>
  <si>
    <t>Mayckol Guaipe</t>
  </si>
  <si>
    <t>James Paxton</t>
  </si>
  <si>
    <t>Taijuan Walker</t>
  </si>
  <si>
    <t>David Rollins</t>
  </si>
  <si>
    <t>Cody Martin</t>
  </si>
  <si>
    <t>Tony Zych</t>
  </si>
  <si>
    <t>Hisashi Iwakuma</t>
  </si>
  <si>
    <t>Jonathan Aro</t>
  </si>
  <si>
    <t>Edwin Diaz</t>
  </si>
  <si>
    <t>Dan Altavilla</t>
  </si>
  <si>
    <t>Craig Breslow</t>
  </si>
  <si>
    <t>David Phelps</t>
  </si>
  <si>
    <t>Tom Koehler</t>
  </si>
  <si>
    <t>Mike Dunn</t>
  </si>
  <si>
    <t>Jose Urena</t>
  </si>
  <si>
    <t>Justin Nicolino</t>
  </si>
  <si>
    <t>Kendry Flores</t>
  </si>
  <si>
    <t>Cody Hall</t>
  </si>
  <si>
    <t>Nefi Ogando</t>
  </si>
  <si>
    <t>Jake Esch</t>
  </si>
  <si>
    <t>Kyle Barraclough</t>
  </si>
  <si>
    <t>Adam Conley</t>
  </si>
  <si>
    <t>Nick Wittgren</t>
  </si>
  <si>
    <t>Austin Brice</t>
  </si>
  <si>
    <t>Bartolo Colon</t>
  </si>
  <si>
    <t>Jeurys Familia</t>
  </si>
  <si>
    <t>Jim Henderson</t>
  </si>
  <si>
    <t>Jerry Blevins</t>
  </si>
  <si>
    <t>Josh Smoker</t>
  </si>
  <si>
    <t>Addison Reed</t>
  </si>
  <si>
    <t>Noah Syndergaard</t>
  </si>
  <si>
    <t>Hansel Robles</t>
  </si>
  <si>
    <t>Seth Lugo</t>
  </si>
  <si>
    <t>Rafael Montero</t>
  </si>
  <si>
    <t>Sean Gilmartin</t>
  </si>
  <si>
    <t>Logan Verrett</t>
  </si>
  <si>
    <t>Gabriel Ynoa</t>
  </si>
  <si>
    <t>Robert Gsellman</t>
  </si>
  <si>
    <t>Oliver Perez</t>
  </si>
  <si>
    <t>Matt Belisle</t>
  </si>
  <si>
    <t>Max Scherzer</t>
  </si>
  <si>
    <t>Yusmeiro Petit</t>
  </si>
  <si>
    <t>Jonathan Papelbon</t>
  </si>
  <si>
    <t>Gio Gonzalez</t>
  </si>
  <si>
    <t>Tanner Roark</t>
  </si>
  <si>
    <t>Rafael Martin</t>
  </si>
  <si>
    <t>Matt Grace</t>
  </si>
  <si>
    <t>A.J. Cole</t>
  </si>
  <si>
    <t>Blake Treinen</t>
  </si>
  <si>
    <t>Joe Ross</t>
  </si>
  <si>
    <t>Trevor Gott</t>
  </si>
  <si>
    <t>Reynaldo Lopez</t>
  </si>
  <si>
    <t>T.J. McFarland</t>
  </si>
  <si>
    <t>Zach Britton</t>
  </si>
  <si>
    <t>Darren O'Day</t>
  </si>
  <si>
    <t>Ubaldo Jimenez</t>
  </si>
  <si>
    <t>Logan Ondrusek</t>
  </si>
  <si>
    <t>Chris Tillman</t>
  </si>
  <si>
    <t>Vance Worley</t>
  </si>
  <si>
    <t>Brad Brach</t>
  </si>
  <si>
    <t>Yovani Gallardo</t>
  </si>
  <si>
    <t>Oliver Drake</t>
  </si>
  <si>
    <t>Ashur Tolliver</t>
  </si>
  <si>
    <t>Mychal Givens</t>
  </si>
  <si>
    <t>Parker Bridwell</t>
  </si>
  <si>
    <t>Mike Wright</t>
  </si>
  <si>
    <t>Tyler Wilson</t>
  </si>
  <si>
    <t>Jayson Aquino</t>
  </si>
  <si>
    <t>Kevin Gausman</t>
  </si>
  <si>
    <t>Donnie Hart</t>
  </si>
  <si>
    <t>Carlos Villanueva</t>
  </si>
  <si>
    <t>Brandon Maurer</t>
  </si>
  <si>
    <t>Christian Friedrich</t>
  </si>
  <si>
    <t>Brad Hand</t>
  </si>
  <si>
    <t>Buddy Baumann</t>
  </si>
  <si>
    <t>Brandon Morrow</t>
  </si>
  <si>
    <t>Ryan Buchter</t>
  </si>
  <si>
    <t>Jose Dominguez</t>
  </si>
  <si>
    <t>Tayron Guerrero</t>
  </si>
  <si>
    <t>Kevin Quackenbush</t>
  </si>
  <si>
    <t>Jake Smith</t>
  </si>
  <si>
    <t>Luis Perdomo</t>
  </si>
  <si>
    <t>Jose Torres</t>
  </si>
  <si>
    <t>Vince Velasquez</t>
  </si>
  <si>
    <t>James Russell</t>
  </si>
  <si>
    <t>Jeremy Hellickson</t>
  </si>
  <si>
    <t>Luis Garcia</t>
  </si>
  <si>
    <t>Jeanmar Gomez</t>
  </si>
  <si>
    <t>Michael Mariot</t>
  </si>
  <si>
    <t>Joely Rodriguez</t>
  </si>
  <si>
    <t>Hector Neris</t>
  </si>
  <si>
    <t>Colton Murray</t>
  </si>
  <si>
    <t>Adam Morgan</t>
  </si>
  <si>
    <t>Jerad Eickhoff</t>
  </si>
  <si>
    <t>Daniel Stumpf</t>
  </si>
  <si>
    <t>Jake Thompson</t>
  </si>
  <si>
    <t>Severino Gonzalez</t>
  </si>
  <si>
    <t>Dalier Hinojosa</t>
  </si>
  <si>
    <t>Edubray Ramos</t>
  </si>
  <si>
    <t>Zach Phillips</t>
  </si>
  <si>
    <t>Curtis Partch</t>
  </si>
  <si>
    <t>Jeff Locke</t>
  </si>
  <si>
    <t>Tony Watson</t>
  </si>
  <si>
    <t>Kelvin Marte</t>
  </si>
  <si>
    <t>Jorge Rondon</t>
  </si>
  <si>
    <t>Wilfredo Boscan</t>
  </si>
  <si>
    <t>Juan Nicasio</t>
  </si>
  <si>
    <t>Kyle Lobstein</t>
  </si>
  <si>
    <t>Jared Hughes</t>
  </si>
  <si>
    <t>Tyler Glasnow</t>
  </si>
  <si>
    <t>Chad Kuhl</t>
  </si>
  <si>
    <t>Steven Brault</t>
  </si>
  <si>
    <t>Trevor Williams</t>
  </si>
  <si>
    <t>Kyle Lohse</t>
  </si>
  <si>
    <t>Cesar Ramos</t>
  </si>
  <si>
    <t>Tony Barnette</t>
  </si>
  <si>
    <t>Derek Holland</t>
  </si>
  <si>
    <t>Cole Hamels</t>
  </si>
  <si>
    <t>Jake Diekman</t>
  </si>
  <si>
    <t>Tanner Scheppers</t>
  </si>
  <si>
    <t>Luke Jackson</t>
  </si>
  <si>
    <t>Nick Martinez</t>
  </si>
  <si>
    <t>Alex Claudio</t>
  </si>
  <si>
    <t>Andrew Faulkner</t>
  </si>
  <si>
    <t>Michael Roth</t>
  </si>
  <si>
    <t>Yohander Mendez</t>
  </si>
  <si>
    <t>Jose Leclerc</t>
  </si>
  <si>
    <t>Chi Chi Gonzalez</t>
  </si>
  <si>
    <t>Keone Kela</t>
  </si>
  <si>
    <t>Xavier Cedeno</t>
  </si>
  <si>
    <t>Enny Romero</t>
  </si>
  <si>
    <t>Chris Archer</t>
  </si>
  <si>
    <t>Jake Odorizzi</t>
  </si>
  <si>
    <t>Alex Colome</t>
  </si>
  <si>
    <t>Ryan Webb</t>
  </si>
  <si>
    <t>Steve Geltz</t>
  </si>
  <si>
    <t>Danny Farquhar</t>
  </si>
  <si>
    <t>Brad Boxberger</t>
  </si>
  <si>
    <t>Justin Marks</t>
  </si>
  <si>
    <t>Erasmo Ramirez</t>
  </si>
  <si>
    <t>Drew Smyly</t>
  </si>
  <si>
    <t>Matt Andriese</t>
  </si>
  <si>
    <t>Dylan Floro</t>
  </si>
  <si>
    <t>Blake Snell</t>
  </si>
  <si>
    <t>Ryan Garton</t>
  </si>
  <si>
    <t>Rick Porcello</t>
  </si>
  <si>
    <t>David Price</t>
  </si>
  <si>
    <t>Clay Buchholz</t>
  </si>
  <si>
    <t>Craig Kimbrel</t>
  </si>
  <si>
    <t>Robbie Ross Jr.</t>
  </si>
  <si>
    <t>Steven Wright</t>
  </si>
  <si>
    <t>Sean O'Sullivan</t>
  </si>
  <si>
    <t>Koji Uehara</t>
  </si>
  <si>
    <t>Joe Kelly</t>
  </si>
  <si>
    <t>Heath Hembree</t>
  </si>
  <si>
    <t>Roenis Elias</t>
  </si>
  <si>
    <t>Noe Ramirez</t>
  </si>
  <si>
    <t>Matt Barnes</t>
  </si>
  <si>
    <t>Robby Scott</t>
  </si>
  <si>
    <t>Henry Owens</t>
  </si>
  <si>
    <t>Eduardo Rodriguez</t>
  </si>
  <si>
    <t>William Cuevas</t>
  </si>
  <si>
    <t>Ross Ohlendorf</t>
  </si>
  <si>
    <t>J.J. Hoover</t>
  </si>
  <si>
    <t>Dan Straily</t>
  </si>
  <si>
    <t>Keyvius Sampson</t>
  </si>
  <si>
    <t>Drew Hayes</t>
  </si>
  <si>
    <t>Tim Adleman</t>
  </si>
  <si>
    <t>Tony Cingrani</t>
  </si>
  <si>
    <t>Abel De Los Santos</t>
  </si>
  <si>
    <t>Anthony DeSclafani</t>
  </si>
  <si>
    <t>Robert Stephenson</t>
  </si>
  <si>
    <t>Wandy Peralta</t>
  </si>
  <si>
    <t>Brandon Finnegan</t>
  </si>
  <si>
    <t>Raisel Iglesias</t>
  </si>
  <si>
    <t>Jorge de la Rosa</t>
  </si>
  <si>
    <t>Chad Qualls</t>
  </si>
  <si>
    <t>Yohan Flande</t>
  </si>
  <si>
    <t>Boone Logan</t>
  </si>
  <si>
    <t>Gonzalez Germen</t>
  </si>
  <si>
    <t>Jordan Lyles</t>
  </si>
  <si>
    <t>Jason Gurka</t>
  </si>
  <si>
    <t>David Hale</t>
  </si>
  <si>
    <t>Chris Rusin</t>
  </si>
  <si>
    <t>Chad Bettis</t>
  </si>
  <si>
    <t>Christian Bergman</t>
  </si>
  <si>
    <t>Tyler Anderson</t>
  </si>
  <si>
    <t>Matt Carasiti</t>
  </si>
  <si>
    <t>Eddie Butler</t>
  </si>
  <si>
    <t>Carlos Estevez</t>
  </si>
  <si>
    <t>Jon Gray</t>
  </si>
  <si>
    <t>German Marquez</t>
  </si>
  <si>
    <t>Miguel Castro</t>
  </si>
  <si>
    <t>Chien-Ming Wang</t>
  </si>
  <si>
    <t>Chris Young</t>
  </si>
  <si>
    <t>Kelvin Herrera</t>
  </si>
  <si>
    <t>Ian Kennedy</t>
  </si>
  <si>
    <t>Dillon Gee</t>
  </si>
  <si>
    <t>Wade Davis</t>
  </si>
  <si>
    <t>Scott Alexander</t>
  </si>
  <si>
    <t>Yordano Ventura</t>
  </si>
  <si>
    <t>Brian Flynn</t>
  </si>
  <si>
    <t>Kevin McCarthy</t>
  </si>
  <si>
    <t>Francisco Rodriguez</t>
  </si>
  <si>
    <t>Justin Wilson</t>
  </si>
  <si>
    <t>Blaine Hardy</t>
  </si>
  <si>
    <t>Mark Lowe</t>
  </si>
  <si>
    <t>Justin Verlander</t>
  </si>
  <si>
    <t>Kyle Ryan</t>
  </si>
  <si>
    <t>Warwick Saupold</t>
  </si>
  <si>
    <t>Michael Fulmer</t>
  </si>
  <si>
    <t>Daniel Norris</t>
  </si>
  <si>
    <t>Buck Farmer</t>
  </si>
  <si>
    <t>Joe Mantiply</t>
  </si>
  <si>
    <t>Matt Boyd</t>
  </si>
  <si>
    <t>Ervin Santana</t>
  </si>
  <si>
    <t>Trevor May</t>
  </si>
  <si>
    <t>Ryan Pressly</t>
  </si>
  <si>
    <t>Tommy Milone</t>
  </si>
  <si>
    <t>Buddy Boshers</t>
  </si>
  <si>
    <t>Brandon Kintzler</t>
  </si>
  <si>
    <t>Michael Tonkin</t>
  </si>
  <si>
    <t>Ryan O'Rourke</t>
  </si>
  <si>
    <t>Pat Dean</t>
  </si>
  <si>
    <t>J.R. Graham</t>
  </si>
  <si>
    <t>Adalberto Mejia</t>
  </si>
  <si>
    <t>Taylor Rogers</t>
  </si>
  <si>
    <t>Tyler Duffey</t>
  </si>
  <si>
    <t>Jose Berrios</t>
  </si>
  <si>
    <t>Matt Albers</t>
  </si>
  <si>
    <t>John Danks</t>
  </si>
  <si>
    <t>Dan Jennings</t>
  </si>
  <si>
    <t>David Robertson</t>
  </si>
  <si>
    <t>Zach Putnam</t>
  </si>
  <si>
    <t>Blake Smith</t>
  </si>
  <si>
    <t>Jacob Turner</t>
  </si>
  <si>
    <t>Juan Minaya</t>
  </si>
  <si>
    <t>Chris Sale</t>
  </si>
  <si>
    <t>Tommy Kahnle</t>
  </si>
  <si>
    <t>Jose Quintana</t>
  </si>
  <si>
    <t>Chris Beck</t>
  </si>
  <si>
    <t>Tyler Danish</t>
  </si>
  <si>
    <t>Carlos Rodon</t>
  </si>
  <si>
    <t>Carson Fulmer</t>
  </si>
  <si>
    <t>CC Sabathia</t>
  </si>
  <si>
    <t>Michael Pineda</t>
  </si>
  <si>
    <t>Dellin Betances</t>
  </si>
  <si>
    <t>Anthony Swarzak</t>
  </si>
  <si>
    <t>Richard Bleier</t>
  </si>
  <si>
    <t>Chasen Shreve</t>
  </si>
  <si>
    <t>Johnny Barbato</t>
  </si>
  <si>
    <t>Bryan Mitchell</t>
  </si>
  <si>
    <t>James Pazos</t>
  </si>
  <si>
    <t>Luis Cessa</t>
  </si>
  <si>
    <t>Tyler Olson</t>
  </si>
  <si>
    <t>Ben Heller</t>
  </si>
  <si>
    <t>Luis Severino</t>
  </si>
  <si>
    <t>Jonathan Holder</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</si>
</sst>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0.0"/>
    <numFmt numFmtId="165" formatCode="0.0"/>
    <numFmt numFmtId="166" formatCode="0.0%"/>
    <numFmt numFmtId="167" formatCode="M/d/yyyy"/>
    <numFmt numFmtId="168" formatCode="m/d/yyyy"/>
  </numFmts>
  <fonts count="9">
    <font>
      <sz val="10.0"/>
      <color rgb="FF000000"/>
      <name val="Arial"/>
    </font>
    <font>
      <b/>
    </font>
    <font/>
    <font>
      <name val="Arial"/>
    </font>
    <font>
      <u/>
      <color rgb="FF0000FF"/>
    </font>
    <font>
      <b/>
      <color rgb="FF000000"/>
    </font>
    <font>
      <color rgb="FF000000"/>
    </font>
    <font>
      <sz val="10.0"/>
    </font>
    <font>
      <color rgb="FF000000"/>
      <name val="Arial"/>
    </font>
  </fonts>
  <fills count="5">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D9D9D9"/>
        <bgColor rgb="FFD9D9D9"/>
      </patternFill>
    </fill>
  </fills>
  <borders count="12">
    <border>
      <left/>
      <right/>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
      <left style="thin">
        <color rgb="FF000000"/>
      </left>
      <right/>
      <top/>
      <bottom style="thin">
        <color rgb="FF000000"/>
      </bottom>
    </border>
    <border>
      <left/>
      <right style="thin">
        <color rgb="FF000000"/>
      </right>
      <top/>
      <bottom style="thin">
        <color rgb="FF000000"/>
      </bottom>
    </border>
    <border>
      <left/>
      <right/>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right/>
      <top style="thin">
        <color rgb="FF000000"/>
      </top>
      <bottom style="thin">
        <color rgb="FF000000"/>
      </bottom>
    </border>
  </borders>
  <cellStyleXfs count="1">
    <xf borderId="0" fillId="0" fontId="0" numFmtId="0" applyAlignment="1" applyFont="1"/>
  </cellStyleXfs>
  <cellXfs count="148">
    <xf borderId="0" fillId="0" fontId="0" numFmtId="0" xfId="0" applyAlignment="1" applyFont="1">
      <alignment/>
    </xf>
    <xf borderId="0" fillId="0" fontId="1" numFmtId="0" xfId="0" applyAlignment="1" applyFont="1">
      <alignment/>
    </xf>
    <xf borderId="0" fillId="0" fontId="1" numFmtId="0" xfId="0" applyAlignment="1" applyFont="1">
      <alignment horizontal="center"/>
    </xf>
    <xf borderId="0" fillId="0" fontId="1" numFmtId="0" xfId="0" applyAlignment="1" applyFont="1">
      <alignment horizontal="center" wrapText="1"/>
    </xf>
    <xf borderId="0" fillId="0" fontId="2" numFmtId="0" xfId="0" applyAlignment="1" applyFont="1">
      <alignment/>
    </xf>
    <xf borderId="0" fillId="0" fontId="1" numFmtId="164" xfId="0" applyAlignment="1" applyFont="1" applyNumberFormat="1">
      <alignment horizontal="center" wrapText="1"/>
    </xf>
    <xf borderId="0" fillId="0" fontId="1" numFmtId="165" xfId="0" applyAlignment="1" applyFont="1" applyNumberFormat="1">
      <alignment/>
    </xf>
    <xf borderId="0" fillId="2" fontId="1" numFmtId="0" xfId="0" applyAlignment="1" applyFill="1" applyFont="1">
      <alignment horizontal="center"/>
    </xf>
    <xf borderId="0" fillId="0" fontId="1" numFmtId="166" xfId="0" applyAlignment="1" applyFont="1" applyNumberFormat="1">
      <alignment/>
    </xf>
    <xf borderId="0" fillId="0" fontId="1" numFmtId="0" xfId="0" applyFont="1"/>
    <xf borderId="0" fillId="0" fontId="2" numFmtId="14" xfId="0" applyAlignment="1" applyFont="1" applyNumberFormat="1">
      <alignment/>
    </xf>
    <xf borderId="0" fillId="0" fontId="2" numFmtId="0" xfId="0" applyAlignment="1" applyFont="1">
      <alignment horizontal="center"/>
    </xf>
    <xf borderId="0" fillId="0" fontId="1" numFmtId="0" xfId="0" applyAlignment="1" applyFont="1">
      <alignment horizontal="right"/>
    </xf>
    <xf borderId="0" fillId="0" fontId="2" numFmtId="14" xfId="0" applyAlignment="1" applyFont="1" applyNumberFormat="1">
      <alignment horizontal="center"/>
    </xf>
    <xf borderId="0" fillId="0" fontId="2" numFmtId="0" xfId="0" applyAlignment="1" applyFont="1">
      <alignment horizontal="center"/>
    </xf>
    <xf borderId="0" fillId="0" fontId="2" numFmtId="164" xfId="0" applyAlignment="1" applyFont="1" applyNumberFormat="1">
      <alignment horizontal="center"/>
    </xf>
    <xf borderId="0" fillId="0" fontId="1" numFmtId="167" xfId="0" applyAlignment="1" applyFont="1" applyNumberFormat="1">
      <alignment/>
    </xf>
    <xf borderId="0" fillId="2" fontId="1" numFmtId="0" xfId="0" applyAlignment="1" applyFont="1">
      <alignment/>
    </xf>
    <xf borderId="0" fillId="0" fontId="2" numFmtId="165" xfId="0" applyFont="1" applyNumberFormat="1"/>
    <xf borderId="0" fillId="0" fontId="2" numFmtId="166" xfId="0" applyFont="1" applyNumberFormat="1"/>
    <xf borderId="0" fillId="0" fontId="2" numFmtId="168" xfId="0" applyAlignment="1" applyFont="1" applyNumberFormat="1">
      <alignment/>
    </xf>
    <xf borderId="0" fillId="0" fontId="2" numFmtId="0" xfId="0" applyAlignment="1" applyFont="1">
      <alignment horizontal="right"/>
    </xf>
    <xf borderId="0" fillId="0" fontId="2" numFmtId="0" xfId="0" applyAlignment="1" applyFont="1">
      <alignment horizontal="center"/>
    </xf>
    <xf borderId="0" fillId="0" fontId="1" numFmtId="1" xfId="0" applyAlignment="1" applyFont="1" applyNumberFormat="1">
      <alignment horizontal="center"/>
    </xf>
    <xf borderId="0" fillId="0" fontId="1" numFmtId="0" xfId="0" applyAlignment="1" applyFont="1">
      <alignment horizontal="left"/>
    </xf>
    <xf borderId="0" fillId="0" fontId="2" numFmtId="1" xfId="0" applyAlignment="1" applyFont="1" applyNumberFormat="1">
      <alignment horizontal="center"/>
    </xf>
    <xf borderId="0" fillId="0" fontId="2" numFmtId="2" xfId="0" applyAlignment="1" applyFont="1" applyNumberFormat="1">
      <alignment horizontal="left"/>
    </xf>
    <xf borderId="0" fillId="0" fontId="2" numFmtId="2" xfId="0" applyAlignment="1" applyFont="1" applyNumberFormat="1">
      <alignment horizontal="left"/>
    </xf>
    <xf borderId="0" fillId="0" fontId="2" numFmtId="0" xfId="0" applyAlignment="1" applyFont="1">
      <alignment horizontal="left"/>
    </xf>
    <xf borderId="0" fillId="0" fontId="2" numFmtId="167" xfId="0" applyFont="1" applyNumberFormat="1"/>
    <xf borderId="0" fillId="0" fontId="2" numFmtId="0" xfId="0" applyAlignment="1" applyFont="1">
      <alignment/>
    </xf>
    <xf borderId="0" fillId="0" fontId="2" numFmtId="0" xfId="0" applyAlignment="1" applyFont="1">
      <alignment horizontal="left"/>
    </xf>
    <xf borderId="0" fillId="0" fontId="2" numFmtId="164" xfId="0" applyAlignment="1" applyFont="1" applyNumberFormat="1">
      <alignment horizontal="center"/>
    </xf>
    <xf borderId="0" fillId="0" fontId="2" numFmtId="168" xfId="0" applyAlignment="1" applyFont="1" applyNumberFormat="1">
      <alignment horizontal="center"/>
    </xf>
    <xf borderId="0" fillId="0" fontId="3" numFmtId="0" xfId="0" applyAlignment="1" applyFont="1">
      <alignment/>
    </xf>
    <xf borderId="0" fillId="0" fontId="3" numFmtId="14" xfId="0" applyAlignment="1" applyFont="1" applyNumberFormat="1">
      <alignment horizontal="right"/>
    </xf>
    <xf borderId="0" fillId="0" fontId="3" numFmtId="0" xfId="0" applyAlignment="1" applyFont="1">
      <alignment horizontal="center"/>
    </xf>
    <xf borderId="0" fillId="0" fontId="3" numFmtId="168" xfId="0" applyAlignment="1" applyFont="1" applyNumberFormat="1">
      <alignment horizontal="center"/>
    </xf>
    <xf borderId="0" fillId="0" fontId="3" numFmtId="0" xfId="0" applyAlignment="1" applyFont="1">
      <alignment horizontal="center"/>
    </xf>
    <xf borderId="0" fillId="0" fontId="3" numFmtId="164" xfId="0" applyAlignment="1" applyFont="1" applyNumberFormat="1">
      <alignment horizontal="center"/>
    </xf>
    <xf borderId="0" fillId="0" fontId="3" numFmtId="0" xfId="0" applyAlignment="1" applyFont="1">
      <alignment horizontal="right"/>
    </xf>
    <xf borderId="0" fillId="0" fontId="3" numFmtId="168" xfId="0" applyAlignment="1" applyFont="1" applyNumberFormat="1">
      <alignment/>
    </xf>
    <xf borderId="0" fillId="0" fontId="3" numFmtId="0" xfId="0" applyAlignment="1" applyFont="1">
      <alignment/>
    </xf>
    <xf borderId="0" fillId="0" fontId="3" numFmtId="165" xfId="0" applyAlignment="1" applyFont="1" applyNumberFormat="1">
      <alignment/>
    </xf>
    <xf borderId="0" fillId="0" fontId="3" numFmtId="166" xfId="0" applyAlignment="1" applyFont="1" applyNumberFormat="1">
      <alignment/>
    </xf>
    <xf borderId="0" fillId="0" fontId="2" numFmtId="14" xfId="0" applyFont="1" applyNumberFormat="1"/>
    <xf borderId="0" fillId="0" fontId="2" numFmtId="4" xfId="0" applyAlignment="1" applyFont="1" applyNumberFormat="1">
      <alignment horizontal="center"/>
    </xf>
    <xf borderId="0" fillId="0" fontId="2" numFmtId="4" xfId="0" applyAlignment="1" applyFont="1" applyNumberFormat="1">
      <alignment/>
    </xf>
    <xf borderId="0" fillId="3" fontId="2" numFmtId="0" xfId="0" applyAlignment="1" applyFill="1" applyFont="1">
      <alignment/>
    </xf>
    <xf borderId="0" fillId="0" fontId="4" numFmtId="0" xfId="0" applyAlignment="1" applyFont="1">
      <alignment/>
    </xf>
    <xf borderId="0" fillId="2" fontId="2" numFmtId="0" xfId="0" applyFont="1"/>
    <xf borderId="0" fillId="2" fontId="1" numFmtId="0" xfId="0" applyAlignment="1" applyFont="1">
      <alignment horizontal="center"/>
    </xf>
    <xf borderId="0" fillId="2" fontId="1" numFmtId="1" xfId="0" applyAlignment="1" applyFont="1" applyNumberFormat="1">
      <alignment horizontal="center"/>
    </xf>
    <xf borderId="0" fillId="0" fontId="1" numFmtId="0" xfId="0" applyAlignment="1" applyFont="1">
      <alignment horizontal="center"/>
    </xf>
    <xf borderId="0" fillId="0" fontId="2" numFmtId="165" xfId="0" applyAlignment="1" applyFont="1" applyNumberFormat="1">
      <alignment/>
    </xf>
    <xf borderId="0" fillId="0" fontId="2" numFmtId="166" xfId="0" applyAlignment="1" applyFont="1" applyNumberFormat="1">
      <alignment/>
    </xf>
    <xf borderId="0" fillId="2" fontId="1" numFmtId="0" xfId="0" applyAlignment="1" applyFont="1">
      <alignment horizontal="center"/>
    </xf>
    <xf borderId="0" fillId="2" fontId="1" numFmtId="0" xfId="0" applyFont="1"/>
    <xf borderId="0" fillId="2" fontId="1" numFmtId="166" xfId="0" applyAlignment="1" applyFont="1" applyNumberFormat="1">
      <alignment horizontal="center"/>
    </xf>
    <xf borderId="0" fillId="2" fontId="1" numFmtId="14" xfId="0" applyAlignment="1" applyFont="1" applyNumberFormat="1">
      <alignment horizontal="center"/>
    </xf>
    <xf borderId="0" fillId="0" fontId="2" numFmtId="0" xfId="0" applyFont="1"/>
    <xf borderId="0" fillId="2" fontId="1" numFmtId="1" xfId="0" applyAlignment="1" applyFont="1" applyNumberFormat="1">
      <alignment horizontal="center"/>
    </xf>
    <xf borderId="1" fillId="2" fontId="1" numFmtId="0" xfId="0" applyAlignment="1" applyBorder="1" applyFont="1">
      <alignment horizontal="center"/>
    </xf>
    <xf borderId="2" fillId="0" fontId="2" numFmtId="0" xfId="0" applyBorder="1" applyFont="1"/>
    <xf borderId="3" fillId="0" fontId="2" numFmtId="0" xfId="0" applyBorder="1" applyFont="1"/>
    <xf borderId="4" fillId="0" fontId="2" numFmtId="0" xfId="0" applyAlignment="1" applyBorder="1" applyFont="1">
      <alignment/>
    </xf>
    <xf borderId="5" fillId="0" fontId="2" numFmtId="0" xfId="0" applyBorder="1" applyFont="1"/>
    <xf borderId="1" fillId="0" fontId="1" numFmtId="0" xfId="0" applyAlignment="1" applyBorder="1" applyFont="1">
      <alignment horizontal="center"/>
    </xf>
    <xf borderId="3" fillId="0" fontId="1" numFmtId="0" xfId="0" applyAlignment="1" applyBorder="1" applyFont="1">
      <alignment horizontal="center"/>
    </xf>
    <xf borderId="2" fillId="2" fontId="1" numFmtId="0" xfId="0" applyAlignment="1" applyBorder="1" applyFont="1">
      <alignment horizontal="center"/>
    </xf>
    <xf borderId="6" fillId="0" fontId="2" numFmtId="0" xfId="0" applyBorder="1" applyFont="1"/>
    <xf borderId="7" fillId="0" fontId="2" numFmtId="0" xfId="0" applyBorder="1" applyFont="1"/>
    <xf borderId="6" fillId="0" fontId="1" numFmtId="0" xfId="0" applyAlignment="1" applyBorder="1" applyFont="1">
      <alignment horizontal="center"/>
    </xf>
    <xf borderId="8" fillId="0" fontId="1" numFmtId="0" xfId="0" applyAlignment="1" applyBorder="1" applyFont="1">
      <alignment horizontal="center"/>
    </xf>
    <xf borderId="7" fillId="0" fontId="1" numFmtId="0" xfId="0" applyAlignment="1" applyBorder="1" applyFont="1">
      <alignment horizontal="center"/>
    </xf>
    <xf borderId="6" fillId="2" fontId="1" numFmtId="0" xfId="0" applyAlignment="1" applyBorder="1" applyFont="1">
      <alignment horizontal="center"/>
    </xf>
    <xf borderId="8" fillId="2" fontId="1" numFmtId="0" xfId="0" applyAlignment="1" applyBorder="1" applyFont="1">
      <alignment horizontal="center"/>
    </xf>
    <xf borderId="7" fillId="2" fontId="1" numFmtId="0" xfId="0" applyAlignment="1" applyBorder="1" applyFont="1">
      <alignment horizontal="center"/>
    </xf>
    <xf borderId="4" fillId="0" fontId="2" numFmtId="0" xfId="0" applyAlignment="1" applyBorder="1" applyFont="1">
      <alignment horizontal="center"/>
    </xf>
    <xf borderId="5" fillId="0" fontId="2" numFmtId="0" xfId="0" applyAlignment="1" applyBorder="1" applyFont="1">
      <alignment horizontal="center"/>
    </xf>
    <xf borderId="0" fillId="0" fontId="2" numFmtId="165" xfId="0" applyAlignment="1" applyFont="1" applyNumberFormat="1">
      <alignment horizontal="center"/>
    </xf>
    <xf borderId="5" fillId="0" fontId="2" numFmtId="165" xfId="0" applyAlignment="1" applyBorder="1" applyFont="1" applyNumberFormat="1">
      <alignment horizontal="center"/>
    </xf>
    <xf borderId="4" fillId="2" fontId="1" numFmtId="165" xfId="0" applyAlignment="1" applyBorder="1" applyFont="1" applyNumberFormat="1">
      <alignment horizontal="center"/>
    </xf>
    <xf borderId="0" fillId="2" fontId="1" numFmtId="164" xfId="0" applyAlignment="1" applyFont="1" applyNumberFormat="1">
      <alignment horizontal="center"/>
    </xf>
    <xf borderId="0" fillId="2" fontId="1" numFmtId="9" xfId="0" applyAlignment="1" applyFont="1" applyNumberFormat="1">
      <alignment horizontal="center"/>
    </xf>
    <xf borderId="0" fillId="2" fontId="1" numFmtId="0" xfId="0" applyAlignment="1" applyFont="1">
      <alignment horizontal="center"/>
    </xf>
    <xf borderId="4" fillId="2" fontId="1" numFmtId="164" xfId="0" applyAlignment="1" applyBorder="1" applyFont="1" applyNumberFormat="1">
      <alignment horizontal="center"/>
    </xf>
    <xf borderId="5" fillId="2" fontId="1" numFmtId="0" xfId="0" applyAlignment="1" applyBorder="1" applyFont="1">
      <alignment horizontal="center"/>
    </xf>
    <xf borderId="0" fillId="2" fontId="1" numFmtId="9" xfId="0" applyAlignment="1" applyFont="1" applyNumberFormat="1">
      <alignment horizontal="center"/>
    </xf>
    <xf borderId="4" fillId="2" fontId="1" numFmtId="164" xfId="0" applyAlignment="1" applyBorder="1" applyFont="1" applyNumberFormat="1">
      <alignment horizontal="center"/>
    </xf>
    <xf borderId="5" fillId="2" fontId="1" numFmtId="0" xfId="0" applyAlignment="1" applyBorder="1" applyFont="1">
      <alignment horizontal="center"/>
    </xf>
    <xf borderId="9" fillId="4" fontId="5" numFmtId="0" xfId="0" applyAlignment="1" applyBorder="1" applyFill="1" applyFont="1">
      <alignment horizontal="center"/>
    </xf>
    <xf borderId="10" fillId="0" fontId="2" numFmtId="0" xfId="0" applyBorder="1" applyFont="1"/>
    <xf borderId="9" fillId="4" fontId="6" numFmtId="164" xfId="0" applyAlignment="1" applyBorder="1" applyFont="1" applyNumberFormat="1">
      <alignment horizontal="center"/>
    </xf>
    <xf borderId="11" fillId="4" fontId="6" numFmtId="164" xfId="0" applyAlignment="1" applyBorder="1" applyFont="1" applyNumberFormat="1">
      <alignment horizontal="center"/>
    </xf>
    <xf borderId="10" fillId="4" fontId="6" numFmtId="164" xfId="0" applyAlignment="1" applyBorder="1" applyFont="1" applyNumberFormat="1">
      <alignment horizontal="center"/>
    </xf>
    <xf borderId="9" fillId="4" fontId="5" numFmtId="164" xfId="0" applyAlignment="1" applyBorder="1" applyFont="1" applyNumberFormat="1">
      <alignment horizontal="center"/>
    </xf>
    <xf borderId="11" fillId="4" fontId="5" numFmtId="164" xfId="0" applyAlignment="1" applyBorder="1" applyFont="1" applyNumberFormat="1">
      <alignment horizontal="center"/>
    </xf>
    <xf borderId="11" fillId="4" fontId="5" numFmtId="9" xfId="0" applyAlignment="1" applyBorder="1" applyFont="1" applyNumberFormat="1">
      <alignment horizontal="center"/>
    </xf>
    <xf borderId="11" fillId="4" fontId="5" numFmtId="0" xfId="0" applyAlignment="1" applyBorder="1" applyFont="1">
      <alignment horizontal="center"/>
    </xf>
    <xf borderId="10" fillId="4" fontId="5" numFmtId="0" xfId="0" applyAlignment="1" applyBorder="1" applyFont="1">
      <alignment horizontal="center"/>
    </xf>
    <xf borderId="0" fillId="0" fontId="2" numFmtId="164" xfId="0" applyAlignment="1" applyFont="1" applyNumberFormat="1">
      <alignment/>
    </xf>
    <xf borderId="0" fillId="0" fontId="1" numFmtId="4" xfId="0" applyAlignment="1" applyFont="1" applyNumberFormat="1">
      <alignment horizontal="center"/>
    </xf>
    <xf borderId="4" fillId="2" fontId="1" numFmtId="165" xfId="0" applyAlignment="1" applyBorder="1" applyFont="1" applyNumberFormat="1">
      <alignment horizontal="center"/>
    </xf>
    <xf borderId="5" fillId="2" fontId="1" numFmtId="0" xfId="0" applyAlignment="1" applyBorder="1" applyFont="1">
      <alignment horizontal="center"/>
    </xf>
    <xf borderId="5" fillId="2" fontId="1" numFmtId="3" xfId="0" applyAlignment="1" applyBorder="1" applyFont="1" applyNumberFormat="1">
      <alignment horizontal="center"/>
    </xf>
    <xf borderId="0" fillId="0" fontId="7" numFmtId="0" xfId="0" applyAlignment="1" applyFont="1">
      <alignment horizontal="center"/>
    </xf>
    <xf borderId="0" fillId="0" fontId="7" numFmtId="164" xfId="0" applyAlignment="1" applyFont="1" applyNumberFormat="1">
      <alignment horizontal="center"/>
    </xf>
    <xf borderId="6" fillId="0" fontId="2" numFmtId="0" xfId="0" applyAlignment="1" applyBorder="1" applyFont="1">
      <alignment horizontal="center"/>
    </xf>
    <xf borderId="7" fillId="0" fontId="2" numFmtId="0" xfId="0" applyAlignment="1" applyBorder="1" applyFont="1">
      <alignment horizontal="center"/>
    </xf>
    <xf borderId="6" fillId="2" fontId="1" numFmtId="165" xfId="0" applyAlignment="1" applyBorder="1" applyFont="1" applyNumberFormat="1">
      <alignment horizontal="center"/>
    </xf>
    <xf borderId="8" fillId="2" fontId="1" numFmtId="9" xfId="0" applyAlignment="1" applyBorder="1" applyFont="1" applyNumberFormat="1">
      <alignment horizontal="center"/>
    </xf>
    <xf borderId="7" fillId="2" fontId="1" numFmtId="0" xfId="0" applyAlignment="1" applyBorder="1" applyFont="1">
      <alignment horizontal="center"/>
    </xf>
    <xf borderId="7" fillId="2" fontId="1" numFmtId="3" xfId="0" applyAlignment="1" applyBorder="1" applyFont="1" applyNumberFormat="1">
      <alignment horizontal="center"/>
    </xf>
    <xf borderId="9" fillId="4" fontId="1" numFmtId="0" xfId="0" applyAlignment="1" applyBorder="1" applyFont="1">
      <alignment horizontal="center"/>
    </xf>
    <xf borderId="9" fillId="4" fontId="1" numFmtId="165" xfId="0" applyAlignment="1" applyBorder="1" applyFont="1" applyNumberFormat="1">
      <alignment horizontal="center"/>
    </xf>
    <xf borderId="11" fillId="4" fontId="1" numFmtId="9" xfId="0" applyAlignment="1" applyBorder="1" applyFont="1" applyNumberFormat="1">
      <alignment horizontal="center"/>
    </xf>
    <xf borderId="10" fillId="4" fontId="1" numFmtId="0" xfId="0" applyAlignment="1" applyBorder="1" applyFont="1">
      <alignment horizontal="center"/>
    </xf>
    <xf borderId="11" fillId="4" fontId="1" numFmtId="164" xfId="0" applyAlignment="1" applyBorder="1" applyFont="1" applyNumberFormat="1">
      <alignment horizontal="center"/>
    </xf>
    <xf borderId="0" fillId="0" fontId="2" numFmtId="9" xfId="0" applyAlignment="1" applyFont="1" applyNumberFormat="1">
      <alignment horizontal="center"/>
    </xf>
    <xf borderId="0" fillId="0" fontId="7" numFmtId="0" xfId="0" applyAlignment="1" applyFont="1">
      <alignment horizontal="left"/>
    </xf>
    <xf borderId="0" fillId="0" fontId="7" numFmtId="14" xfId="0" applyAlignment="1" applyFont="1" applyNumberFormat="1">
      <alignment horizontal="right"/>
    </xf>
    <xf borderId="0" fillId="0" fontId="7" numFmtId="0" xfId="0" applyAlignment="1" applyFont="1">
      <alignment horizontal="center"/>
    </xf>
    <xf borderId="0" fillId="0" fontId="7" numFmtId="14" xfId="0" applyAlignment="1" applyFont="1" applyNumberFormat="1">
      <alignment horizontal="center"/>
    </xf>
    <xf borderId="0" fillId="0" fontId="7" numFmtId="164" xfId="0" applyAlignment="1" applyFont="1" applyNumberFormat="1">
      <alignment horizontal="center"/>
    </xf>
    <xf borderId="0" fillId="0" fontId="7" numFmtId="165" xfId="0" applyAlignment="1" applyFont="1" applyNumberFormat="1">
      <alignment horizontal="left"/>
    </xf>
    <xf borderId="0" fillId="0" fontId="7" numFmtId="166" xfId="0" applyAlignment="1" applyFont="1" applyNumberFormat="1">
      <alignment horizontal="left"/>
    </xf>
    <xf borderId="0" fillId="0" fontId="7" numFmtId="0" xfId="0" applyAlignment="1" applyFont="1">
      <alignment horizontal="left"/>
    </xf>
    <xf borderId="0" fillId="0" fontId="7" numFmtId="0" xfId="0" applyAlignment="1" applyFont="1">
      <alignment horizontal="left"/>
    </xf>
    <xf borderId="0" fillId="0" fontId="7" numFmtId="0" xfId="0" applyAlignment="1" applyFont="1">
      <alignment horizontal="center"/>
    </xf>
    <xf borderId="0" fillId="0" fontId="7" numFmtId="14" xfId="0" applyAlignment="1" applyFont="1" applyNumberFormat="1">
      <alignment horizontal="center"/>
    </xf>
    <xf borderId="0" fillId="3" fontId="8" numFmtId="0" xfId="0" applyAlignment="1" applyFont="1">
      <alignment/>
    </xf>
    <xf borderId="0" fillId="0" fontId="1" numFmtId="0" xfId="0" applyAlignment="1" applyFont="1">
      <alignment wrapText="1"/>
    </xf>
    <xf borderId="0" fillId="0" fontId="2" numFmtId="0" xfId="0" applyAlignment="1" applyFont="1">
      <alignment wrapText="1"/>
    </xf>
    <xf borderId="0" fillId="2" fontId="2" numFmtId="0" xfId="0" applyAlignment="1" applyFont="1">
      <alignment horizontal="right" wrapText="1"/>
    </xf>
    <xf borderId="0" fillId="2" fontId="2" numFmtId="14" xfId="0" applyAlignment="1" applyFont="1" applyNumberFormat="1">
      <alignment horizontal="left"/>
    </xf>
    <xf borderId="0" fillId="0" fontId="2" numFmtId="0" xfId="0" applyAlignment="1" applyFont="1">
      <alignment horizontal="right" wrapText="1"/>
    </xf>
    <xf borderId="0" fillId="0" fontId="2" numFmtId="14" xfId="0" applyAlignment="1" applyFont="1" applyNumberFormat="1">
      <alignment horizontal="left"/>
    </xf>
    <xf borderId="0" fillId="0" fontId="1" numFmtId="3" xfId="0" applyAlignment="1" applyFont="1" applyNumberFormat="1">
      <alignment horizontal="center"/>
    </xf>
    <xf borderId="0" fillId="0" fontId="1" numFmtId="3" xfId="0" applyAlignment="1" applyFont="1" applyNumberFormat="1">
      <alignment/>
    </xf>
    <xf borderId="0" fillId="0" fontId="2" numFmtId="3" xfId="0" applyAlignment="1" applyFont="1" applyNumberFormat="1">
      <alignment/>
    </xf>
    <xf borderId="0" fillId="0" fontId="2" numFmtId="165" xfId="0" applyAlignment="1" applyFont="1" applyNumberFormat="1">
      <alignment horizontal="center"/>
    </xf>
    <xf borderId="0" fillId="0" fontId="2" numFmtId="3" xfId="0" applyAlignment="1" applyFont="1" applyNumberFormat="1">
      <alignment horizontal="center"/>
    </xf>
    <xf borderId="0" fillId="0" fontId="2" numFmtId="3" xfId="0" applyFont="1" applyNumberFormat="1"/>
    <xf borderId="0" fillId="0" fontId="2" numFmtId="3" xfId="0" applyAlignment="1" applyFont="1" applyNumberFormat="1">
      <alignment horizontal="center"/>
    </xf>
    <xf borderId="0" fillId="0" fontId="2" numFmtId="9" xfId="0" applyFont="1" applyNumberFormat="1"/>
    <xf borderId="0" fillId="0" fontId="2" numFmtId="9" xfId="0" applyAlignment="1" applyFont="1" applyNumberFormat="1">
      <alignment/>
    </xf>
    <xf borderId="0" fillId="0" fontId="2" numFmtId="0" xfId="0" applyAlignment="1" applyFont="1">
      <alignment horizontal="right"/>
    </xf>
  </cellXfs>
  <cellStyles count="1">
    <cellStyle xfId="0" name="Normal" builtinId="0"/>
  </cellStyles>
  <dxfs count="1">
    <dxf>
      <font/>
      <fill>
        <patternFill patternType="solid">
          <fgColor rgb="FFEFEFEF"/>
          <bgColor rgb="FFEFEFEF"/>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www.baseballprospectus.com/article.php?articleid=16104" TargetMode="External"/><Relationship Id="rId2" Type="http://schemas.openxmlformats.org/officeDocument/2006/relationships/hyperlink" Target="https://twitter.com/cmullee11/status/728238350306578436" TargetMode="External"/><Relationship Id="rId3" Type="http://schemas.openxmlformats.org/officeDocument/2006/relationships/hyperlink" Target="http://www.cbc.ca/sports/baseball/eric-gagne-dodges-tommy-john-surgery-1.550244" TargetMode="External"/><Relationship Id="rId4" Type="http://schemas.openxmlformats.org/officeDocument/2006/relationships/hyperlink" Target="http://m.cardinals.mlb.com/news/article/3336721/" TargetMode="External"/><Relationship Id="rId10" Type="http://schemas.openxmlformats.org/officeDocument/2006/relationships/drawing" Target="../drawings/drawing8.xml"/><Relationship Id="rId9" Type="http://schemas.openxmlformats.org/officeDocument/2006/relationships/hyperlink" Target="http://blogs.mycentraljersey.com/patriots/2010/08/03/scott-williamson-q-a/" TargetMode="External"/><Relationship Id="rId5" Type="http://schemas.openxmlformats.org/officeDocument/2006/relationships/hyperlink" Target="http://books.google.ca/books?id=4TJ4gxrpRTQC&amp;pg=PA71&amp;lpg=PA71&amp;dq=Jose+Rijo+first+Tommy+John+surgery&amp;source=bl&amp;ots=-Q_0TB9nBe&amp;sig=Pl7KrbAaRCB2DvETYoAhDiNmXlc&amp;hl=en&amp;sa=X&amp;ei=GForU8aRMIPG0QH5z4DQAg&amp;ved=0CG4Q6AEwCQ" TargetMode="External"/><Relationship Id="rId6" Type="http://schemas.openxmlformats.org/officeDocument/2006/relationships/hyperlink" Target="http://books.google.ca/books?id=4TJ4gxrpRTQC&amp;pg=PA71&amp;lpg=PA71&amp;dq=Jose+Rijo+first+Tommy+John+surgery&amp;source=bl&amp;ots=-Q_0TB9nBe&amp;sig=Pl7KrbAaRCB2DvETYoAhDiNmXlc&amp;hl=en&amp;sa=X&amp;ei=GForU8aRMIPG0QH5z4DQAg&amp;ved=0CG4Q6AEwCQ" TargetMode="External"/><Relationship Id="rId7" Type="http://schemas.openxmlformats.org/officeDocument/2006/relationships/hyperlink" Target="http://books.google.ca/books?id=4TJ4gxrpRTQC&amp;pg=PA71&amp;lpg=PA71&amp;dq=Jose+Rijo+first+Tommy+John+surgery&amp;source=bl&amp;ots=-Q_0TB9nBe&amp;sig=Pl7KrbAaRCB2DvETYoAhDiNmXlc&amp;hl=en&amp;sa=X&amp;ei=GForU8aRMIPG0QH5z4DQAg&amp;ved=0CG4Q6AEwCQ" TargetMode="External"/><Relationship Id="rId8" Type="http://schemas.openxmlformats.org/officeDocument/2006/relationships/hyperlink" Target="http://books.google.ca/books?id=4TJ4gxrpRTQC&amp;pg=PA71&amp;lpg=PA71&amp;dq=Jose+Rijo+first+Tommy+John+surgery&amp;source=bl&amp;ots=-Q_0TB9nBe&amp;sig=Pl7KrbAaRCB2DvETYoAhDiNmXlc&amp;hl=en&amp;sa=X&amp;ei=GForU8aRMIPG0QH5z4DQAg&amp;ved=0CG4Q6AEwCQ"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twitter.com/m_sheldon/status/596798256627249153" TargetMode="External"/><Relationship Id="rId2" Type="http://schemas.openxmlformats.org/officeDocument/2006/relationships/hyperlink" Target="http://www.nydailynews.com/sports/baseball/mets/harvey-pitch-season-collins-job-safe-mets-gm-article-1.1824543" TargetMode="External"/><Relationship Id="rId3" Type="http://schemas.openxmlformats.org/officeDocument/2006/relationships/hyperlink" Target="http://news.nationalpost.com/sports/mlb/toronto-blue-jays-prospect-jeff-hoffman-in-a-low-spot-after-tommy-john-surgery-feeling-great-about-his-arm-and-his-team"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0.29"/>
    <col customWidth="1" min="2" max="2" width="15.29"/>
    <col customWidth="1" min="3" max="3" width="5.86"/>
    <col customWidth="1" min="4" max="4" width="5.71"/>
    <col customWidth="1" min="5" max="5" width="8.29"/>
    <col customWidth="1" min="6" max="6" width="7.57"/>
    <col customWidth="1" min="7" max="7" width="14.29"/>
    <col customWidth="1" min="8" max="8" width="14.14"/>
    <col customWidth="1" min="9" max="9" width="38.43"/>
    <col customWidth="1" min="10" max="10" width="4.57"/>
    <col customWidth="1" min="11" max="11" width="12.14"/>
    <col customWidth="1" min="12" max="12" width="14.43"/>
    <col customWidth="1" min="13" max="13" width="8.57"/>
    <col customWidth="1" min="14" max="14" width="9.14"/>
    <col customWidth="1" min="15" max="15" width="45.57"/>
    <col customWidth="1" hidden="1" min="16" max="16" width="8.57"/>
    <col customWidth="1" hidden="1" min="17" max="17" width="11.29"/>
    <col customWidth="1" hidden="1" min="18" max="18" width="6.57"/>
    <col customWidth="1" hidden="1" min="19" max="19" width="5.0"/>
    <col customWidth="1" hidden="1" min="20" max="20" width="6.57"/>
    <col customWidth="1" hidden="1" min="21" max="21" width="10.29"/>
    <col customWidth="1" hidden="1" min="22" max="24" width="9.14"/>
    <col customWidth="1" hidden="1" min="25" max="25" width="10.0"/>
    <col customWidth="1" hidden="1" min="26" max="26" width="10.14"/>
    <col customWidth="1" hidden="1" min="27" max="27" width="24.29"/>
    <col customWidth="1" hidden="1" min="28" max="28" width="9.14"/>
    <col customWidth="1" hidden="1" min="29" max="29" width="16.29"/>
    <col customWidth="1" hidden="1" min="30" max="31" width="3.71"/>
    <col customWidth="1" hidden="1" min="32" max="32" width="6.29"/>
    <col customWidth="1" hidden="1" min="33" max="33" width="8.86"/>
    <col customWidth="1" hidden="1" min="34" max="35" width="7.86"/>
    <col customWidth="1" hidden="1" min="36" max="37" width="4.43"/>
    <col customWidth="1" hidden="1" min="38" max="38" width="7.29"/>
    <col customWidth="1" hidden="1" min="39" max="39" width="7.71"/>
    <col customWidth="1" hidden="1" min="40" max="40" width="8.0"/>
    <col customWidth="1" hidden="1" min="41" max="41" width="7.57"/>
  </cols>
  <sheetData>
    <row r="1">
      <c r="A1" s="1" t="s">
        <v>0</v>
      </c>
      <c r="B1" s="1" t="s">
        <v>1</v>
      </c>
      <c r="C1" s="2" t="s">
        <v>2</v>
      </c>
      <c r="D1" s="2" t="s">
        <v>3</v>
      </c>
      <c r="E1" s="2" t="s">
        <v>4</v>
      </c>
      <c r="F1" s="2" t="s">
        <v>5</v>
      </c>
      <c r="G1" s="2" t="s">
        <v>6</v>
      </c>
      <c r="H1" s="2" t="s">
        <v>7</v>
      </c>
      <c r="I1" s="2" t="s">
        <v>8</v>
      </c>
      <c r="J1" s="2" t="s">
        <v>9</v>
      </c>
      <c r="K1" s="3" t="s">
        <v>10</v>
      </c>
      <c r="L1" s="3" t="s">
        <v>14</v>
      </c>
      <c r="M1" s="2" t="s">
        <v>15</v>
      </c>
      <c r="N1" s="2" t="s">
        <v>16</v>
      </c>
      <c r="O1" s="1" t="s">
        <v>17</v>
      </c>
      <c r="P1" s="3" t="s">
        <v>18</v>
      </c>
      <c r="Q1" s="5" t="s">
        <v>19</v>
      </c>
      <c r="R1" s="2" t="s">
        <v>24</v>
      </c>
      <c r="S1" s="1" t="s">
        <v>25</v>
      </c>
      <c r="T1" s="1" t="s">
        <v>26</v>
      </c>
      <c r="U1" s="1" t="s">
        <v>27</v>
      </c>
      <c r="V1" s="1" t="s">
        <v>28</v>
      </c>
      <c r="W1" s="1" t="s">
        <v>29</v>
      </c>
      <c r="X1" s="1" t="s">
        <v>30</v>
      </c>
      <c r="Y1" s="1" t="s">
        <v>31</v>
      </c>
      <c r="Z1" s="1" t="s">
        <v>32</v>
      </c>
      <c r="AA1" s="1" t="s">
        <v>33</v>
      </c>
      <c r="AB1" s="1" t="s">
        <v>32</v>
      </c>
      <c r="AC1" s="1" t="s">
        <v>33</v>
      </c>
      <c r="AD1" s="1" t="s">
        <v>35</v>
      </c>
      <c r="AE1" s="1" t="s">
        <v>36</v>
      </c>
      <c r="AF1" s="6" t="s">
        <v>37</v>
      </c>
      <c r="AG1" s="8" t="s">
        <v>41</v>
      </c>
      <c r="AH1" s="1" t="s">
        <v>42</v>
      </c>
      <c r="AI1" s="1" t="s">
        <v>43</v>
      </c>
      <c r="AJ1" s="1" t="s">
        <v>35</v>
      </c>
      <c r="AK1" s="1" t="s">
        <v>36</v>
      </c>
      <c r="AL1" s="6" t="s">
        <v>37</v>
      </c>
      <c r="AM1" s="8" t="s">
        <v>41</v>
      </c>
      <c r="AN1" s="1" t="s">
        <v>42</v>
      </c>
      <c r="AO1" s="1" t="s">
        <v>43</v>
      </c>
    </row>
    <row r="2">
      <c r="A2" s="4" t="s">
        <v>44</v>
      </c>
      <c r="B2" s="10">
        <v>42684.0</v>
      </c>
      <c r="C2" s="11" t="s">
        <v>49</v>
      </c>
      <c r="D2" s="11" t="s">
        <v>51</v>
      </c>
      <c r="E2" s="11" t="s">
        <v>52</v>
      </c>
      <c r="F2" s="11" t="s">
        <v>53</v>
      </c>
      <c r="G2" s="11" t="s">
        <v>54</v>
      </c>
      <c r="H2" s="11" t="s">
        <v>55</v>
      </c>
      <c r="I2" s="11" t="s">
        <v>56</v>
      </c>
      <c r="J2" s="11">
        <v>25.0</v>
      </c>
      <c r="K2" s="13"/>
      <c r="L2" s="14"/>
      <c r="M2" s="11">
        <v>607067.0</v>
      </c>
      <c r="N2" s="11">
        <v>12317.0</v>
      </c>
      <c r="O2" s="4" t="s">
        <v>59</v>
      </c>
      <c r="P2" s="11">
        <v>0.0</v>
      </c>
      <c r="Q2" s="15">
        <v>0.0</v>
      </c>
      <c r="R2" s="11">
        <v>1.0</v>
      </c>
      <c r="S2">
        <f t="shared" ref="S2:S1336" si="1">YEAR(B2)</f>
        <v>2016</v>
      </c>
      <c r="T2">
        <f t="shared" ref="T2:T1336" si="2">MONTH(B2)</f>
        <v>11</v>
      </c>
      <c r="AF2" s="18"/>
      <c r="AG2" s="19"/>
      <c r="AL2" s="18"/>
      <c r="AM2" s="19"/>
    </row>
    <row r="3">
      <c r="A3" s="4" t="s">
        <v>73</v>
      </c>
      <c r="B3" s="10">
        <v>42682.0</v>
      </c>
      <c r="C3" s="11" t="s">
        <v>74</v>
      </c>
      <c r="D3" s="11" t="s">
        <v>75</v>
      </c>
      <c r="E3" s="11" t="s">
        <v>52</v>
      </c>
      <c r="F3" s="11" t="s">
        <v>76</v>
      </c>
      <c r="G3" s="11" t="s">
        <v>54</v>
      </c>
      <c r="H3" s="11" t="s">
        <v>77</v>
      </c>
      <c r="I3" s="11" t="s">
        <v>78</v>
      </c>
      <c r="J3" s="11">
        <v>26.0</v>
      </c>
      <c r="K3" s="13"/>
      <c r="L3" s="14"/>
      <c r="M3" s="11">
        <v>543280.0</v>
      </c>
      <c r="N3" s="11" t="s">
        <v>79</v>
      </c>
      <c r="O3" s="4"/>
      <c r="P3" s="11">
        <v>0.0</v>
      </c>
      <c r="Q3" s="15">
        <v>0.0</v>
      </c>
      <c r="R3" s="11">
        <v>1.0</v>
      </c>
      <c r="S3">
        <f t="shared" si="1"/>
        <v>2016</v>
      </c>
      <c r="T3">
        <f t="shared" si="2"/>
        <v>11</v>
      </c>
      <c r="AF3" s="18"/>
      <c r="AG3" s="19"/>
      <c r="AL3" s="18"/>
      <c r="AM3" s="19"/>
    </row>
    <row r="4">
      <c r="A4" s="4" t="s">
        <v>80</v>
      </c>
      <c r="B4" s="10">
        <v>42668.0</v>
      </c>
      <c r="C4" s="11" t="s">
        <v>81</v>
      </c>
      <c r="D4" s="11" t="s">
        <v>82</v>
      </c>
      <c r="E4" s="11" t="s">
        <v>52</v>
      </c>
      <c r="F4" s="11" t="s">
        <v>53</v>
      </c>
      <c r="G4" s="11" t="s">
        <v>83</v>
      </c>
      <c r="H4" s="11"/>
      <c r="I4" s="11"/>
      <c r="J4" s="11">
        <v>25.0</v>
      </c>
      <c r="K4" s="13"/>
      <c r="L4" s="14"/>
      <c r="M4" s="11">
        <v>554340.0</v>
      </c>
      <c r="N4" s="11">
        <v>12095.0</v>
      </c>
      <c r="O4" s="4"/>
      <c r="P4" s="11">
        <v>0.0</v>
      </c>
      <c r="Q4" s="15">
        <v>0.0</v>
      </c>
      <c r="R4" s="11">
        <v>1.0</v>
      </c>
      <c r="S4">
        <f t="shared" si="1"/>
        <v>2016</v>
      </c>
      <c r="T4">
        <f t="shared" si="2"/>
        <v>10</v>
      </c>
      <c r="AF4" s="18"/>
      <c r="AG4" s="19"/>
      <c r="AL4" s="18"/>
      <c r="AM4" s="19"/>
    </row>
    <row r="5">
      <c r="A5" s="4" t="s">
        <v>89</v>
      </c>
      <c r="B5" s="10">
        <v>42663.0</v>
      </c>
      <c r="C5" s="11" t="s">
        <v>90</v>
      </c>
      <c r="D5" s="11" t="s">
        <v>91</v>
      </c>
      <c r="E5" s="11" t="s">
        <v>52</v>
      </c>
      <c r="F5" s="11" t="s">
        <v>53</v>
      </c>
      <c r="G5" s="11" t="s">
        <v>54</v>
      </c>
      <c r="H5" s="11" t="s">
        <v>92</v>
      </c>
      <c r="I5" s="11" t="s">
        <v>93</v>
      </c>
      <c r="J5" s="11">
        <v>29.0</v>
      </c>
      <c r="K5" s="13"/>
      <c r="L5" s="14"/>
      <c r="M5" s="11">
        <v>475857.0</v>
      </c>
      <c r="N5" s="11">
        <v>8855.0</v>
      </c>
      <c r="O5" s="4"/>
      <c r="P5" s="11">
        <v>0.0</v>
      </c>
      <c r="Q5" s="15">
        <v>0.0</v>
      </c>
      <c r="R5" s="11">
        <v>1.0</v>
      </c>
      <c r="S5">
        <f t="shared" si="1"/>
        <v>2016</v>
      </c>
      <c r="T5">
        <f t="shared" si="2"/>
        <v>10</v>
      </c>
      <c r="AF5" s="18"/>
      <c r="AG5" s="19"/>
      <c r="AL5" s="18"/>
      <c r="AM5" s="19"/>
    </row>
    <row r="6">
      <c r="A6" s="4" t="s">
        <v>95</v>
      </c>
      <c r="B6" s="10">
        <v>42655.0</v>
      </c>
      <c r="C6" s="11" t="s">
        <v>97</v>
      </c>
      <c r="D6" s="11" t="s">
        <v>51</v>
      </c>
      <c r="E6" s="11" t="s">
        <v>52</v>
      </c>
      <c r="F6" s="11" t="s">
        <v>53</v>
      </c>
      <c r="G6" s="11" t="s">
        <v>54</v>
      </c>
      <c r="H6" s="11" t="s">
        <v>99</v>
      </c>
      <c r="I6" s="11" t="s">
        <v>100</v>
      </c>
      <c r="J6" s="11">
        <v>23.0</v>
      </c>
      <c r="K6" s="13"/>
      <c r="L6" s="14"/>
      <c r="M6" s="11">
        <v>605525.0</v>
      </c>
      <c r="N6" s="11">
        <v>14506.0</v>
      </c>
      <c r="O6" s="4" t="s">
        <v>102</v>
      </c>
      <c r="P6" s="11">
        <v>0.0</v>
      </c>
      <c r="Q6" s="15">
        <v>0.0</v>
      </c>
      <c r="R6" s="11">
        <v>1.0</v>
      </c>
      <c r="S6">
        <f t="shared" si="1"/>
        <v>2016</v>
      </c>
      <c r="T6">
        <f t="shared" si="2"/>
        <v>10</v>
      </c>
      <c r="AF6" s="18"/>
      <c r="AG6" s="19"/>
      <c r="AL6" s="18"/>
      <c r="AM6" s="19"/>
    </row>
    <row r="7">
      <c r="A7" s="4" t="s">
        <v>107</v>
      </c>
      <c r="B7" s="10">
        <v>42655.0</v>
      </c>
      <c r="C7" s="11" t="s">
        <v>109</v>
      </c>
      <c r="D7" s="11" t="s">
        <v>110</v>
      </c>
      <c r="E7" s="11" t="s">
        <v>52</v>
      </c>
      <c r="F7" s="11" t="s">
        <v>53</v>
      </c>
      <c r="G7" s="11" t="s">
        <v>54</v>
      </c>
      <c r="H7" s="11" t="s">
        <v>112</v>
      </c>
      <c r="I7" s="11" t="s">
        <v>113</v>
      </c>
      <c r="J7" s="11">
        <v>24.0</v>
      </c>
      <c r="K7" s="13"/>
      <c r="L7" s="14"/>
      <c r="M7" s="11">
        <v>656864.0</v>
      </c>
      <c r="N7" s="11" t="s">
        <v>115</v>
      </c>
      <c r="O7" s="4"/>
      <c r="P7" s="11">
        <v>0.0</v>
      </c>
      <c r="Q7" s="15">
        <v>0.0</v>
      </c>
      <c r="R7" s="11">
        <v>1.0</v>
      </c>
      <c r="S7">
        <f t="shared" si="1"/>
        <v>2016</v>
      </c>
      <c r="T7">
        <f t="shared" si="2"/>
        <v>10</v>
      </c>
      <c r="AF7" s="18"/>
      <c r="AG7" s="19"/>
      <c r="AL7" s="18"/>
      <c r="AM7" s="19"/>
    </row>
    <row r="8">
      <c r="A8" s="4" t="s">
        <v>120</v>
      </c>
      <c r="B8" s="10">
        <v>42655.0</v>
      </c>
      <c r="C8" s="11" t="s">
        <v>123</v>
      </c>
      <c r="D8" s="11" t="s">
        <v>124</v>
      </c>
      <c r="E8" s="11" t="s">
        <v>52</v>
      </c>
      <c r="F8" s="11" t="s">
        <v>53</v>
      </c>
      <c r="G8" s="11" t="s">
        <v>54</v>
      </c>
      <c r="H8" s="11" t="s">
        <v>126</v>
      </c>
      <c r="I8" s="11" t="s">
        <v>128</v>
      </c>
      <c r="J8" s="11">
        <v>22.0</v>
      </c>
      <c r="K8" s="13"/>
      <c r="L8" s="14"/>
      <c r="M8" s="11">
        <v>656345.0</v>
      </c>
      <c r="N8" s="11" t="s">
        <v>131</v>
      </c>
      <c r="O8" s="4"/>
      <c r="P8" s="11">
        <v>0.0</v>
      </c>
      <c r="Q8" s="15">
        <v>0.0</v>
      </c>
      <c r="R8" s="11">
        <v>1.0</v>
      </c>
      <c r="S8">
        <f t="shared" si="1"/>
        <v>2016</v>
      </c>
      <c r="T8">
        <f t="shared" si="2"/>
        <v>10</v>
      </c>
      <c r="AF8" s="18"/>
      <c r="AG8" s="19"/>
      <c r="AL8" s="18"/>
      <c r="AM8" s="19"/>
    </row>
    <row r="9">
      <c r="A9" s="4" t="s">
        <v>135</v>
      </c>
      <c r="B9" s="10">
        <v>42649.0</v>
      </c>
      <c r="C9" s="11" t="s">
        <v>49</v>
      </c>
      <c r="D9" s="11" t="s">
        <v>51</v>
      </c>
      <c r="E9" s="11" t="s">
        <v>52</v>
      </c>
      <c r="F9" s="11" t="s">
        <v>53</v>
      </c>
      <c r="G9" s="11" t="s">
        <v>54</v>
      </c>
      <c r="H9" s="11" t="s">
        <v>92</v>
      </c>
      <c r="I9" s="11" t="s">
        <v>139</v>
      </c>
      <c r="J9" s="11">
        <v>26.0</v>
      </c>
      <c r="K9" s="13"/>
      <c r="L9" s="14"/>
      <c r="M9" s="11">
        <v>605304.0</v>
      </c>
      <c r="N9" s="11">
        <v>12520.0</v>
      </c>
      <c r="O9" s="4" t="s">
        <v>59</v>
      </c>
      <c r="P9" s="11">
        <v>0.0</v>
      </c>
      <c r="Q9" s="15">
        <v>0.0</v>
      </c>
      <c r="R9" s="11">
        <v>1.0</v>
      </c>
      <c r="S9">
        <f t="shared" si="1"/>
        <v>2016</v>
      </c>
      <c r="T9">
        <f t="shared" si="2"/>
        <v>10</v>
      </c>
      <c r="AF9" s="18"/>
      <c r="AG9" s="19"/>
      <c r="AL9" s="18"/>
      <c r="AM9" s="19"/>
    </row>
    <row r="10">
      <c r="A10" s="4" t="s">
        <v>149</v>
      </c>
      <c r="B10" s="10">
        <v>42647.0</v>
      </c>
      <c r="C10" s="11" t="s">
        <v>109</v>
      </c>
      <c r="D10" s="11" t="s">
        <v>151</v>
      </c>
      <c r="E10" s="11" t="s">
        <v>52</v>
      </c>
      <c r="F10" s="11" t="s">
        <v>76</v>
      </c>
      <c r="G10" s="11" t="s">
        <v>54</v>
      </c>
      <c r="H10" s="11" t="s">
        <v>153</v>
      </c>
      <c r="I10" s="11" t="s">
        <v>154</v>
      </c>
      <c r="J10" s="11">
        <v>21.0</v>
      </c>
      <c r="K10" s="13"/>
      <c r="L10" s="14"/>
      <c r="M10" s="11">
        <v>641743.0</v>
      </c>
      <c r="N10" s="11"/>
      <c r="O10" s="4"/>
      <c r="P10" s="11">
        <v>0.0</v>
      </c>
      <c r="Q10" s="15">
        <v>0.0</v>
      </c>
      <c r="R10" s="11">
        <v>1.0</v>
      </c>
      <c r="S10">
        <f t="shared" si="1"/>
        <v>2016</v>
      </c>
      <c r="T10">
        <f t="shared" si="2"/>
        <v>10</v>
      </c>
      <c r="AF10" s="18"/>
      <c r="AG10" s="19"/>
      <c r="AL10" s="18"/>
      <c r="AM10" s="19"/>
    </row>
    <row r="11">
      <c r="A11" s="4" t="s">
        <v>155</v>
      </c>
      <c r="B11" s="10">
        <v>42644.0</v>
      </c>
      <c r="C11" s="11" t="s">
        <v>156</v>
      </c>
      <c r="D11" s="11" t="s">
        <v>51</v>
      </c>
      <c r="E11" s="11" t="s">
        <v>52</v>
      </c>
      <c r="F11" s="11" t="s">
        <v>76</v>
      </c>
      <c r="G11" s="11" t="s">
        <v>54</v>
      </c>
      <c r="H11" s="11" t="s">
        <v>157</v>
      </c>
      <c r="I11" s="11"/>
      <c r="J11" s="11">
        <v>33.0</v>
      </c>
      <c r="K11" s="13"/>
      <c r="L11" s="14"/>
      <c r="M11" s="11">
        <v>435043.0</v>
      </c>
      <c r="N11" s="11">
        <v>3840.0</v>
      </c>
      <c r="O11" s="4" t="s">
        <v>59</v>
      </c>
      <c r="P11" s="11">
        <v>0.0</v>
      </c>
      <c r="Q11" s="15">
        <v>0.0</v>
      </c>
      <c r="R11" s="11">
        <v>1.0</v>
      </c>
      <c r="S11">
        <f t="shared" si="1"/>
        <v>2016</v>
      </c>
      <c r="T11">
        <f t="shared" si="2"/>
        <v>10</v>
      </c>
      <c r="AF11" s="18"/>
      <c r="AG11" s="19"/>
      <c r="AL11" s="18"/>
      <c r="AM11" s="19"/>
    </row>
    <row r="12">
      <c r="A12" s="4" t="s">
        <v>158</v>
      </c>
      <c r="B12" s="10">
        <v>42632.0</v>
      </c>
      <c r="C12" s="11" t="s">
        <v>159</v>
      </c>
      <c r="D12" s="11" t="s">
        <v>91</v>
      </c>
      <c r="E12" s="11" t="s">
        <v>160</v>
      </c>
      <c r="F12" s="11" t="s">
        <v>53</v>
      </c>
      <c r="G12" s="11" t="s">
        <v>83</v>
      </c>
      <c r="H12" s="11"/>
      <c r="I12" s="11"/>
      <c r="J12" s="11">
        <v>21.0</v>
      </c>
      <c r="K12" s="13"/>
      <c r="L12" s="14"/>
      <c r="M12" s="11">
        <v>642464.0</v>
      </c>
      <c r="N12" s="11" t="s">
        <v>161</v>
      </c>
      <c r="O12" s="4"/>
      <c r="P12" s="11">
        <v>0.0</v>
      </c>
      <c r="Q12" s="15">
        <v>0.0</v>
      </c>
      <c r="R12" s="11">
        <v>1.0</v>
      </c>
      <c r="S12">
        <f t="shared" si="1"/>
        <v>2016</v>
      </c>
      <c r="T12">
        <f t="shared" si="2"/>
        <v>9</v>
      </c>
      <c r="AF12" s="18"/>
      <c r="AG12" s="19"/>
      <c r="AL12" s="18"/>
      <c r="AM12" s="19"/>
    </row>
    <row r="13">
      <c r="A13" s="4" t="s">
        <v>162</v>
      </c>
      <c r="B13" s="10">
        <v>42628.0</v>
      </c>
      <c r="C13" s="11" t="s">
        <v>108</v>
      </c>
      <c r="D13" s="11" t="s">
        <v>91</v>
      </c>
      <c r="E13" s="11" t="s">
        <v>52</v>
      </c>
      <c r="F13" s="11" t="s">
        <v>53</v>
      </c>
      <c r="G13" s="11" t="s">
        <v>54</v>
      </c>
      <c r="H13" s="11" t="s">
        <v>163</v>
      </c>
      <c r="I13" s="11" t="s">
        <v>164</v>
      </c>
      <c r="J13" s="11">
        <v>24.0</v>
      </c>
      <c r="K13" s="13"/>
      <c r="M13" s="11">
        <v>667419.0</v>
      </c>
      <c r="N13" s="11" t="s">
        <v>165</v>
      </c>
      <c r="O13" s="4"/>
      <c r="P13" s="11">
        <v>0.0</v>
      </c>
      <c r="Q13" s="15">
        <v>0.0</v>
      </c>
      <c r="R13" s="22">
        <v>1.0</v>
      </c>
      <c r="S13">
        <f t="shared" si="1"/>
        <v>2016</v>
      </c>
      <c r="T13">
        <f t="shared" si="2"/>
        <v>9</v>
      </c>
      <c r="AF13" s="18"/>
      <c r="AG13" s="19"/>
      <c r="AL13" s="18"/>
      <c r="AM13" s="19"/>
    </row>
    <row r="14">
      <c r="A14" s="4" t="s">
        <v>168</v>
      </c>
      <c r="B14" s="10">
        <v>42620.0</v>
      </c>
      <c r="C14" s="11" t="s">
        <v>169</v>
      </c>
      <c r="D14" s="11" t="s">
        <v>170</v>
      </c>
      <c r="E14" s="11" t="s">
        <v>52</v>
      </c>
      <c r="F14" s="11" t="s">
        <v>76</v>
      </c>
      <c r="G14" s="11" t="s">
        <v>172</v>
      </c>
      <c r="H14" s="11"/>
      <c r="I14" s="11"/>
      <c r="J14" s="11">
        <v>17.0</v>
      </c>
      <c r="K14" s="13"/>
      <c r="L14" s="11"/>
      <c r="M14" s="11"/>
      <c r="N14" s="11"/>
      <c r="O14" s="4"/>
      <c r="P14" s="11">
        <v>0.0</v>
      </c>
      <c r="Q14" s="15">
        <v>0.0</v>
      </c>
      <c r="R14" s="22">
        <v>1.0</v>
      </c>
      <c r="S14">
        <f t="shared" si="1"/>
        <v>2016</v>
      </c>
      <c r="T14">
        <f t="shared" si="2"/>
        <v>9</v>
      </c>
      <c r="AF14" s="18"/>
      <c r="AG14" s="19"/>
      <c r="AL14" s="18"/>
      <c r="AM14" s="19"/>
    </row>
    <row r="15">
      <c r="A15" s="4" t="s">
        <v>175</v>
      </c>
      <c r="B15" s="10">
        <v>42606.0</v>
      </c>
      <c r="C15" s="11" t="s">
        <v>159</v>
      </c>
      <c r="D15" s="11" t="s">
        <v>124</v>
      </c>
      <c r="E15" s="11" t="s">
        <v>160</v>
      </c>
      <c r="F15" s="11" t="s">
        <v>53</v>
      </c>
      <c r="G15" s="11" t="s">
        <v>54</v>
      </c>
      <c r="H15" s="11" t="s">
        <v>92</v>
      </c>
      <c r="I15" s="11"/>
      <c r="J15" s="11">
        <v>20.0</v>
      </c>
      <c r="K15" s="13"/>
      <c r="L15" s="14"/>
      <c r="M15" s="11">
        <v>656537.0</v>
      </c>
      <c r="N15" s="11" t="s">
        <v>176</v>
      </c>
      <c r="O15" s="4" t="s">
        <v>177</v>
      </c>
      <c r="P15" s="11">
        <v>0.0</v>
      </c>
      <c r="Q15" s="15">
        <v>0.0</v>
      </c>
      <c r="R15" s="22">
        <v>1.0</v>
      </c>
      <c r="S15">
        <f t="shared" si="1"/>
        <v>2016</v>
      </c>
      <c r="T15">
        <f t="shared" si="2"/>
        <v>8</v>
      </c>
      <c r="AF15" s="18"/>
      <c r="AG15" s="19"/>
      <c r="AL15" s="18"/>
      <c r="AM15" s="19"/>
    </row>
    <row r="16">
      <c r="A16" s="4" t="s">
        <v>178</v>
      </c>
      <c r="B16" s="10">
        <v>42606.0</v>
      </c>
      <c r="C16" s="11" t="s">
        <v>179</v>
      </c>
      <c r="D16" s="11" t="s">
        <v>124</v>
      </c>
      <c r="E16" s="11" t="s">
        <v>52</v>
      </c>
      <c r="F16" s="11" t="s">
        <v>76</v>
      </c>
      <c r="G16" s="11" t="s">
        <v>54</v>
      </c>
      <c r="H16" s="11" t="s">
        <v>153</v>
      </c>
      <c r="I16" s="11" t="s">
        <v>180</v>
      </c>
      <c r="J16" s="11">
        <v>27.0</v>
      </c>
      <c r="K16" s="13"/>
      <c r="L16" s="14"/>
      <c r="M16" s="11">
        <v>571825.0</v>
      </c>
      <c r="N16" s="11">
        <v>9767.0</v>
      </c>
      <c r="O16" s="4"/>
      <c r="P16" s="11">
        <v>0.0</v>
      </c>
      <c r="Q16" s="15">
        <v>0.0</v>
      </c>
      <c r="R16" s="11">
        <v>1.0</v>
      </c>
      <c r="S16">
        <f t="shared" si="1"/>
        <v>2016</v>
      </c>
      <c r="T16">
        <f t="shared" si="2"/>
        <v>8</v>
      </c>
      <c r="AF16" s="18"/>
      <c r="AG16" s="19"/>
      <c r="AL16" s="18"/>
      <c r="AM16" s="19"/>
    </row>
    <row r="17">
      <c r="A17" s="4" t="s">
        <v>181</v>
      </c>
      <c r="B17" s="10">
        <v>42601.0</v>
      </c>
      <c r="C17" s="11" t="s">
        <v>138</v>
      </c>
      <c r="D17" s="11" t="s">
        <v>51</v>
      </c>
      <c r="E17" s="11" t="s">
        <v>52</v>
      </c>
      <c r="F17" s="11" t="s">
        <v>53</v>
      </c>
      <c r="G17" s="14" t="s">
        <v>54</v>
      </c>
      <c r="H17" s="11" t="s">
        <v>157</v>
      </c>
      <c r="I17" s="11"/>
      <c r="J17" s="11">
        <v>26.0</v>
      </c>
      <c r="K17" s="13"/>
      <c r="L17" s="14"/>
      <c r="M17" s="11">
        <v>543135.0</v>
      </c>
      <c r="N17" s="11">
        <v>9132.0</v>
      </c>
      <c r="O17" s="4" t="s">
        <v>183</v>
      </c>
      <c r="P17" s="11">
        <v>0.0</v>
      </c>
      <c r="Q17" s="15">
        <v>0.0</v>
      </c>
      <c r="R17" s="22">
        <v>1.0</v>
      </c>
      <c r="S17">
        <f t="shared" si="1"/>
        <v>2016</v>
      </c>
      <c r="T17">
        <f t="shared" si="2"/>
        <v>8</v>
      </c>
      <c r="AF17" s="18"/>
      <c r="AG17" s="19"/>
      <c r="AL17" s="18"/>
      <c r="AM17" s="19"/>
    </row>
    <row r="18">
      <c r="A18" s="4" t="s">
        <v>186</v>
      </c>
      <c r="B18" s="10">
        <v>42598.0</v>
      </c>
      <c r="C18" s="11" t="s">
        <v>108</v>
      </c>
      <c r="D18" s="11" t="s">
        <v>51</v>
      </c>
      <c r="E18" s="11" t="s">
        <v>52</v>
      </c>
      <c r="F18" s="11" t="s">
        <v>76</v>
      </c>
      <c r="G18" s="11" t="s">
        <v>54</v>
      </c>
      <c r="H18" s="11" t="s">
        <v>153</v>
      </c>
      <c r="I18" s="11" t="s">
        <v>187</v>
      </c>
      <c r="J18" s="11">
        <v>25.0</v>
      </c>
      <c r="K18" s="13"/>
      <c r="L18" s="11"/>
      <c r="M18" s="11">
        <v>607374.0</v>
      </c>
      <c r="N18" s="11">
        <v>12385.0</v>
      </c>
      <c r="O18" s="4" t="s">
        <v>188</v>
      </c>
      <c r="P18" s="11">
        <v>0.0</v>
      </c>
      <c r="Q18" s="15">
        <v>0.0</v>
      </c>
      <c r="R18" s="22">
        <v>1.0</v>
      </c>
      <c r="S18">
        <f t="shared" si="1"/>
        <v>2016</v>
      </c>
      <c r="T18">
        <f t="shared" si="2"/>
        <v>8</v>
      </c>
      <c r="AF18" s="18"/>
      <c r="AG18" s="19"/>
      <c r="AL18" s="18"/>
      <c r="AM18" s="19"/>
    </row>
    <row r="19">
      <c r="A19" s="4" t="s">
        <v>189</v>
      </c>
      <c r="B19" s="10">
        <v>42597.0</v>
      </c>
      <c r="C19" s="11" t="s">
        <v>49</v>
      </c>
      <c r="D19" s="11" t="s">
        <v>124</v>
      </c>
      <c r="E19" s="11" t="s">
        <v>52</v>
      </c>
      <c r="F19" s="11" t="s">
        <v>53</v>
      </c>
      <c r="G19" s="11" t="s">
        <v>54</v>
      </c>
      <c r="H19" s="11" t="s">
        <v>157</v>
      </c>
      <c r="I19" s="11"/>
      <c r="J19" s="11">
        <v>20.0</v>
      </c>
      <c r="K19" s="13"/>
      <c r="L19" s="11"/>
      <c r="M19" s="11">
        <v>663978.0</v>
      </c>
      <c r="N19" s="11" t="s">
        <v>191</v>
      </c>
      <c r="O19" s="4" t="s">
        <v>177</v>
      </c>
      <c r="P19" s="11">
        <v>0.0</v>
      </c>
      <c r="Q19" s="15">
        <v>0.0</v>
      </c>
      <c r="R19" s="22">
        <v>1.0</v>
      </c>
      <c r="S19">
        <f t="shared" si="1"/>
        <v>2016</v>
      </c>
      <c r="T19">
        <f t="shared" si="2"/>
        <v>8</v>
      </c>
      <c r="AF19" s="18"/>
      <c r="AG19" s="19"/>
      <c r="AL19" s="18"/>
      <c r="AM19" s="19"/>
    </row>
    <row r="20">
      <c r="A20" s="4" t="s">
        <v>192</v>
      </c>
      <c r="B20" s="10">
        <v>42587.0</v>
      </c>
      <c r="C20" s="11" t="s">
        <v>142</v>
      </c>
      <c r="D20" s="11" t="s">
        <v>124</v>
      </c>
      <c r="E20" s="11" t="s">
        <v>52</v>
      </c>
      <c r="F20" s="11" t="s">
        <v>53</v>
      </c>
      <c r="G20" s="11" t="s">
        <v>54</v>
      </c>
      <c r="H20" s="11" t="s">
        <v>99</v>
      </c>
      <c r="I20" s="11" t="s">
        <v>193</v>
      </c>
      <c r="J20" s="11">
        <v>21.0</v>
      </c>
      <c r="K20" s="13"/>
      <c r="L20" s="11"/>
      <c r="M20" s="11">
        <v>664016.0</v>
      </c>
      <c r="N20" s="11" t="s">
        <v>195</v>
      </c>
      <c r="O20" s="4"/>
      <c r="P20" s="11">
        <v>0.0</v>
      </c>
      <c r="Q20" s="15">
        <v>0.0</v>
      </c>
      <c r="R20" s="22">
        <v>1.0</v>
      </c>
      <c r="S20">
        <f t="shared" si="1"/>
        <v>2016</v>
      </c>
      <c r="T20">
        <f t="shared" si="2"/>
        <v>8</v>
      </c>
      <c r="AF20" s="18"/>
      <c r="AG20" s="19"/>
      <c r="AL20" s="18"/>
      <c r="AM20" s="19"/>
    </row>
    <row r="21">
      <c r="A21" s="4" t="s">
        <v>196</v>
      </c>
      <c r="B21" s="10">
        <v>42587.0</v>
      </c>
      <c r="C21" s="11" t="s">
        <v>138</v>
      </c>
      <c r="D21" s="11" t="s">
        <v>110</v>
      </c>
      <c r="E21" s="11" t="s">
        <v>52</v>
      </c>
      <c r="F21" s="11" t="s">
        <v>76</v>
      </c>
      <c r="G21" s="11" t="s">
        <v>54</v>
      </c>
      <c r="H21" s="11" t="s">
        <v>197</v>
      </c>
      <c r="I21" s="11" t="s">
        <v>198</v>
      </c>
      <c r="J21" s="11">
        <v>23.0</v>
      </c>
      <c r="K21" s="13"/>
      <c r="L21" s="11"/>
      <c r="M21" s="11">
        <v>605338.0</v>
      </c>
      <c r="N21" s="11">
        <v>16215.0</v>
      </c>
      <c r="O21" s="4"/>
      <c r="P21" s="11">
        <v>0.0</v>
      </c>
      <c r="Q21" s="15">
        <v>0.0</v>
      </c>
      <c r="R21" s="22">
        <v>1.0</v>
      </c>
      <c r="S21">
        <f t="shared" si="1"/>
        <v>2016</v>
      </c>
      <c r="T21">
        <f t="shared" si="2"/>
        <v>8</v>
      </c>
      <c r="AF21" s="18"/>
      <c r="AG21" s="19"/>
      <c r="AL21" s="18"/>
      <c r="AM21" s="19"/>
    </row>
    <row r="22">
      <c r="A22" s="4" t="s">
        <v>111</v>
      </c>
      <c r="B22" s="10">
        <v>42583.0</v>
      </c>
      <c r="C22" s="11" t="s">
        <v>114</v>
      </c>
      <c r="D22" s="11" t="s">
        <v>51</v>
      </c>
      <c r="E22" s="11" t="s">
        <v>52</v>
      </c>
      <c r="F22" s="11" t="s">
        <v>76</v>
      </c>
      <c r="G22" s="11" t="s">
        <v>54</v>
      </c>
      <c r="H22" s="11" t="s">
        <v>153</v>
      </c>
      <c r="I22" s="11" t="s">
        <v>202</v>
      </c>
      <c r="J22" s="11">
        <v>26.0</v>
      </c>
      <c r="K22" s="13"/>
      <c r="L22" s="11"/>
      <c r="M22" s="11">
        <v>543594.0</v>
      </c>
      <c r="N22" s="11">
        <v>11341.0</v>
      </c>
      <c r="O22" s="4" t="s">
        <v>59</v>
      </c>
      <c r="P22" s="11">
        <v>0.0</v>
      </c>
      <c r="Q22" s="15">
        <v>0.0</v>
      </c>
      <c r="R22" s="22">
        <v>1.0</v>
      </c>
      <c r="S22">
        <f t="shared" si="1"/>
        <v>2016</v>
      </c>
      <c r="T22">
        <f t="shared" si="2"/>
        <v>8</v>
      </c>
      <c r="AF22" s="18"/>
      <c r="AG22" s="19"/>
      <c r="AL22" s="18"/>
      <c r="AM22" s="19"/>
    </row>
    <row r="23">
      <c r="A23" s="4" t="s">
        <v>199</v>
      </c>
      <c r="B23" s="10">
        <v>42580.0</v>
      </c>
      <c r="C23" s="11" t="s">
        <v>74</v>
      </c>
      <c r="D23" s="11" t="s">
        <v>124</v>
      </c>
      <c r="E23" s="11" t="s">
        <v>52</v>
      </c>
      <c r="F23" s="11" t="s">
        <v>53</v>
      </c>
      <c r="G23" s="11" t="s">
        <v>54</v>
      </c>
      <c r="H23" s="11" t="s">
        <v>204</v>
      </c>
      <c r="I23" s="11" t="s">
        <v>204</v>
      </c>
      <c r="J23" s="11">
        <v>22.0</v>
      </c>
      <c r="K23" s="13"/>
      <c r="L23" s="11"/>
      <c r="M23" s="11">
        <v>622230.0</v>
      </c>
      <c r="N23" s="11" t="s">
        <v>205</v>
      </c>
      <c r="O23" s="4"/>
      <c r="P23" s="11">
        <v>0.0</v>
      </c>
      <c r="Q23" s="15">
        <v>0.0</v>
      </c>
      <c r="R23" s="22">
        <v>1.0</v>
      </c>
      <c r="S23">
        <f t="shared" si="1"/>
        <v>2016</v>
      </c>
      <c r="T23">
        <f t="shared" si="2"/>
        <v>7</v>
      </c>
      <c r="AF23" s="18"/>
      <c r="AG23" s="19"/>
      <c r="AL23" s="18"/>
      <c r="AM23" s="19"/>
    </row>
    <row r="24">
      <c r="A24" s="4" t="s">
        <v>208</v>
      </c>
      <c r="B24" s="10">
        <v>42577.0</v>
      </c>
      <c r="C24" s="11" t="s">
        <v>209</v>
      </c>
      <c r="D24" s="11" t="s">
        <v>210</v>
      </c>
      <c r="E24" s="11" t="s">
        <v>52</v>
      </c>
      <c r="F24" s="11" t="s">
        <v>53</v>
      </c>
      <c r="G24" s="11" t="s">
        <v>54</v>
      </c>
      <c r="H24" s="11" t="s">
        <v>211</v>
      </c>
      <c r="I24" s="11"/>
      <c r="J24" s="11">
        <v>21.0</v>
      </c>
      <c r="K24" s="13"/>
      <c r="L24" s="11"/>
      <c r="M24" s="11">
        <v>640451.0</v>
      </c>
      <c r="N24" s="11" t="s">
        <v>213</v>
      </c>
      <c r="O24" s="4" t="s">
        <v>214</v>
      </c>
      <c r="P24" s="11">
        <v>0.0</v>
      </c>
      <c r="Q24" s="15">
        <v>0.0</v>
      </c>
      <c r="R24" s="22">
        <v>1.0</v>
      </c>
      <c r="S24">
        <f t="shared" si="1"/>
        <v>2016</v>
      </c>
      <c r="T24">
        <f t="shared" si="2"/>
        <v>7</v>
      </c>
      <c r="U24" s="20">
        <v>42730.0</v>
      </c>
      <c r="AF24" s="18"/>
      <c r="AG24" s="19"/>
      <c r="AL24" s="18"/>
      <c r="AM24" s="19"/>
    </row>
    <row r="25">
      <c r="A25" s="4" t="s">
        <v>215</v>
      </c>
      <c r="B25" s="10">
        <v>42577.0</v>
      </c>
      <c r="C25" s="11" t="s">
        <v>81</v>
      </c>
      <c r="D25" s="11" t="s">
        <v>91</v>
      </c>
      <c r="E25" s="11" t="s">
        <v>52</v>
      </c>
      <c r="F25" s="11" t="s">
        <v>53</v>
      </c>
      <c r="G25" s="11" t="s">
        <v>216</v>
      </c>
      <c r="H25" s="11"/>
      <c r="I25" s="11"/>
      <c r="J25" s="11">
        <v>18.0</v>
      </c>
      <c r="K25" s="13"/>
      <c r="L25" s="11"/>
      <c r="M25" s="11"/>
      <c r="N25" s="11"/>
      <c r="O25" s="4"/>
      <c r="P25" s="11">
        <v>0.0</v>
      </c>
      <c r="Q25" s="15">
        <v>0.0</v>
      </c>
      <c r="R25" s="22">
        <v>1.0</v>
      </c>
      <c r="S25">
        <f t="shared" si="1"/>
        <v>2016</v>
      </c>
      <c r="T25">
        <f t="shared" si="2"/>
        <v>7</v>
      </c>
      <c r="AF25" s="18"/>
      <c r="AG25" s="19"/>
      <c r="AL25" s="18"/>
      <c r="AM25" s="19"/>
    </row>
    <row r="26">
      <c r="A26" s="4" t="s">
        <v>217</v>
      </c>
      <c r="B26" s="10">
        <v>42572.0</v>
      </c>
      <c r="C26" s="11" t="s">
        <v>114</v>
      </c>
      <c r="D26" s="11" t="s">
        <v>82</v>
      </c>
      <c r="E26" s="11" t="s">
        <v>52</v>
      </c>
      <c r="F26" s="11" t="s">
        <v>53</v>
      </c>
      <c r="G26" s="11" t="s">
        <v>54</v>
      </c>
      <c r="H26" s="11" t="s">
        <v>218</v>
      </c>
      <c r="I26" s="11"/>
      <c r="J26" s="11">
        <v>23.0</v>
      </c>
      <c r="K26" s="13"/>
      <c r="L26" s="11"/>
      <c r="M26" s="11">
        <v>605288.0</v>
      </c>
      <c r="N26" s="11">
        <v>12718.0</v>
      </c>
      <c r="O26" s="4" t="s">
        <v>220</v>
      </c>
      <c r="P26" s="11">
        <v>0.0</v>
      </c>
      <c r="Q26" s="15">
        <v>0.0</v>
      </c>
      <c r="R26" s="22">
        <v>1.0</v>
      </c>
      <c r="S26">
        <f t="shared" si="1"/>
        <v>2016</v>
      </c>
      <c r="T26">
        <f t="shared" si="2"/>
        <v>7</v>
      </c>
      <c r="AF26" s="18"/>
      <c r="AG26" s="19"/>
      <c r="AL26" s="18"/>
      <c r="AM26" s="19"/>
    </row>
    <row r="27">
      <c r="A27" s="4" t="s">
        <v>221</v>
      </c>
      <c r="B27" s="10">
        <v>42570.0</v>
      </c>
      <c r="C27" s="11" t="s">
        <v>119</v>
      </c>
      <c r="D27" s="11" t="s">
        <v>75</v>
      </c>
      <c r="E27" s="11" t="s">
        <v>52</v>
      </c>
      <c r="F27" s="11" t="s">
        <v>53</v>
      </c>
      <c r="G27" s="11" t="s">
        <v>54</v>
      </c>
      <c r="H27" s="11" t="s">
        <v>92</v>
      </c>
      <c r="I27" s="11" t="s">
        <v>223</v>
      </c>
      <c r="J27" s="11">
        <v>24.0</v>
      </c>
      <c r="K27" s="13"/>
      <c r="L27" s="11"/>
      <c r="M27" s="11">
        <v>621209.0</v>
      </c>
      <c r="N27" s="11">
        <v>13849.0</v>
      </c>
      <c r="O27" s="4" t="s">
        <v>224</v>
      </c>
      <c r="P27" s="11">
        <v>0.0</v>
      </c>
      <c r="Q27" s="15">
        <v>0.0</v>
      </c>
      <c r="R27" s="22">
        <v>1.0</v>
      </c>
      <c r="S27">
        <f t="shared" si="1"/>
        <v>2016</v>
      </c>
      <c r="T27">
        <f t="shared" si="2"/>
        <v>7</v>
      </c>
      <c r="AF27" s="18"/>
      <c r="AG27" s="19"/>
      <c r="AL27" s="18"/>
      <c r="AM27" s="19"/>
    </row>
    <row r="28">
      <c r="A28" s="4" t="s">
        <v>225</v>
      </c>
      <c r="B28" s="10">
        <v>42559.0</v>
      </c>
      <c r="C28" s="11" t="s">
        <v>108</v>
      </c>
      <c r="D28" s="11" t="s">
        <v>91</v>
      </c>
      <c r="E28" s="11" t="s">
        <v>160</v>
      </c>
      <c r="F28" s="11" t="s">
        <v>53</v>
      </c>
      <c r="G28" s="11" t="s">
        <v>54</v>
      </c>
      <c r="H28" s="11" t="s">
        <v>157</v>
      </c>
      <c r="I28" s="11" t="s">
        <v>226</v>
      </c>
      <c r="J28" s="11">
        <v>22.0</v>
      </c>
      <c r="K28" s="13"/>
      <c r="L28" s="11"/>
      <c r="M28" s="11">
        <v>664133.0</v>
      </c>
      <c r="N28" s="11" t="s">
        <v>227</v>
      </c>
      <c r="O28" s="4"/>
      <c r="P28" s="11">
        <v>0.0</v>
      </c>
      <c r="Q28" s="15">
        <v>0.0</v>
      </c>
      <c r="R28" s="22">
        <v>1.0</v>
      </c>
      <c r="S28">
        <f t="shared" si="1"/>
        <v>2016</v>
      </c>
      <c r="T28">
        <f t="shared" si="2"/>
        <v>7</v>
      </c>
      <c r="AF28" s="18"/>
      <c r="AG28" s="19"/>
      <c r="AL28" s="18"/>
      <c r="AM28" s="19"/>
    </row>
    <row r="29">
      <c r="A29" s="4" t="s">
        <v>228</v>
      </c>
      <c r="B29" s="10">
        <v>42557.0</v>
      </c>
      <c r="C29" s="11" t="s">
        <v>229</v>
      </c>
      <c r="D29" s="11" t="s">
        <v>170</v>
      </c>
      <c r="E29" s="11" t="s">
        <v>52</v>
      </c>
      <c r="F29" s="11" t="s">
        <v>53</v>
      </c>
      <c r="G29" s="11" t="s">
        <v>54</v>
      </c>
      <c r="H29" s="11" t="s">
        <v>230</v>
      </c>
      <c r="I29" s="11"/>
      <c r="J29" s="11">
        <v>18.0</v>
      </c>
      <c r="K29" s="13"/>
      <c r="L29" s="11"/>
      <c r="M29" s="11"/>
      <c r="N29" s="11"/>
      <c r="O29" s="4"/>
      <c r="P29" s="11">
        <v>0.0</v>
      </c>
      <c r="Q29" s="15">
        <v>0.0</v>
      </c>
      <c r="R29" s="22">
        <v>1.0</v>
      </c>
      <c r="S29">
        <f t="shared" si="1"/>
        <v>2016</v>
      </c>
      <c r="T29">
        <f t="shared" si="2"/>
        <v>7</v>
      </c>
      <c r="AF29" s="18"/>
      <c r="AG29" s="19"/>
      <c r="AL29" s="18"/>
      <c r="AM29" s="19"/>
    </row>
    <row r="30">
      <c r="A30" s="4" t="s">
        <v>231</v>
      </c>
      <c r="B30" s="10">
        <v>42552.0</v>
      </c>
      <c r="C30" s="11" t="s">
        <v>169</v>
      </c>
      <c r="D30" s="11" t="s">
        <v>124</v>
      </c>
      <c r="E30" s="11" t="s">
        <v>52</v>
      </c>
      <c r="F30" s="11" t="s">
        <v>76</v>
      </c>
      <c r="G30" s="11" t="s">
        <v>54</v>
      </c>
      <c r="H30" s="11" t="s">
        <v>232</v>
      </c>
      <c r="I30" s="11"/>
      <c r="J30" s="11">
        <v>19.0</v>
      </c>
      <c r="K30" s="13"/>
      <c r="L30" s="11"/>
      <c r="M30" s="11">
        <v>656529.0</v>
      </c>
      <c r="N30" s="11" t="s">
        <v>233</v>
      </c>
      <c r="O30" s="4"/>
      <c r="P30" s="11">
        <v>0.0</v>
      </c>
      <c r="Q30" s="15">
        <v>0.0</v>
      </c>
      <c r="R30" s="22">
        <v>1.0</v>
      </c>
      <c r="S30">
        <f t="shared" si="1"/>
        <v>2016</v>
      </c>
      <c r="T30">
        <f t="shared" si="2"/>
        <v>7</v>
      </c>
      <c r="AF30" s="18"/>
      <c r="AG30" s="19"/>
      <c r="AL30" s="18"/>
      <c r="AM30" s="19"/>
    </row>
    <row r="31">
      <c r="A31" s="4" t="s">
        <v>234</v>
      </c>
      <c r="B31" s="10">
        <v>42552.0</v>
      </c>
      <c r="C31" s="11" t="s">
        <v>169</v>
      </c>
      <c r="D31" s="11" t="s">
        <v>91</v>
      </c>
      <c r="E31" s="11" t="s">
        <v>52</v>
      </c>
      <c r="F31" s="11" t="s">
        <v>53</v>
      </c>
      <c r="G31" s="11" t="s">
        <v>83</v>
      </c>
      <c r="H31" s="11"/>
      <c r="I31" s="11"/>
      <c r="J31" s="11">
        <v>21.0</v>
      </c>
      <c r="K31" s="13"/>
      <c r="L31" s="11"/>
      <c r="M31" s="11">
        <v>642684.0</v>
      </c>
      <c r="N31" s="11" t="s">
        <v>235</v>
      </c>
      <c r="O31" s="4"/>
      <c r="P31" s="11">
        <v>0.0</v>
      </c>
      <c r="Q31" s="15">
        <v>0.0</v>
      </c>
      <c r="R31" s="22">
        <v>1.0</v>
      </c>
      <c r="S31">
        <f t="shared" si="1"/>
        <v>2016</v>
      </c>
      <c r="T31">
        <f t="shared" si="2"/>
        <v>7</v>
      </c>
      <c r="AF31" s="18"/>
      <c r="AG31" s="19"/>
      <c r="AL31" s="18"/>
      <c r="AM31" s="19"/>
    </row>
    <row r="32">
      <c r="A32" s="4" t="s">
        <v>238</v>
      </c>
      <c r="B32" s="10">
        <v>42552.0</v>
      </c>
      <c r="C32" s="11" t="s">
        <v>239</v>
      </c>
      <c r="D32" s="11" t="s">
        <v>151</v>
      </c>
      <c r="E32" s="11" t="s">
        <v>52</v>
      </c>
      <c r="F32" s="11" t="s">
        <v>53</v>
      </c>
      <c r="G32" s="11" t="s">
        <v>54</v>
      </c>
      <c r="H32" s="11" t="s">
        <v>157</v>
      </c>
      <c r="I32" s="11" t="s">
        <v>240</v>
      </c>
      <c r="J32" s="11">
        <v>21.0</v>
      </c>
      <c r="K32" s="13"/>
      <c r="L32" s="11"/>
      <c r="M32" s="11">
        <v>669942.0</v>
      </c>
      <c r="N32" s="11"/>
      <c r="O32" s="4"/>
      <c r="P32" s="11">
        <v>0.0</v>
      </c>
      <c r="Q32" s="15">
        <v>0.0</v>
      </c>
      <c r="R32" s="22">
        <v>1.0</v>
      </c>
      <c r="S32">
        <f t="shared" si="1"/>
        <v>2016</v>
      </c>
      <c r="T32">
        <f t="shared" si="2"/>
        <v>7</v>
      </c>
      <c r="AF32" s="18"/>
      <c r="AG32" s="19"/>
      <c r="AL32" s="18"/>
      <c r="AM32" s="19"/>
    </row>
    <row r="33">
      <c r="A33" s="4" t="s">
        <v>116</v>
      </c>
      <c r="B33" s="10">
        <v>42552.0</v>
      </c>
      <c r="C33" s="11" t="s">
        <v>108</v>
      </c>
      <c r="D33" s="11" t="s">
        <v>51</v>
      </c>
      <c r="E33" s="11" t="s">
        <v>52</v>
      </c>
      <c r="F33" s="11" t="s">
        <v>76</v>
      </c>
      <c r="G33" s="11" t="s">
        <v>54</v>
      </c>
      <c r="H33" s="11" t="s">
        <v>218</v>
      </c>
      <c r="I33" s="11" t="s">
        <v>242</v>
      </c>
      <c r="J33" s="11">
        <v>25.0</v>
      </c>
      <c r="K33" s="13"/>
      <c r="L33" s="11"/>
      <c r="M33" s="11">
        <v>571760.0</v>
      </c>
      <c r="N33" s="11">
        <v>15423.0</v>
      </c>
      <c r="O33" s="4" t="s">
        <v>188</v>
      </c>
      <c r="P33" s="11">
        <v>0.0</v>
      </c>
      <c r="Q33" s="15">
        <v>0.0</v>
      </c>
      <c r="R33" s="22">
        <v>1.0</v>
      </c>
      <c r="S33">
        <f t="shared" si="1"/>
        <v>2016</v>
      </c>
      <c r="T33">
        <f t="shared" si="2"/>
        <v>7</v>
      </c>
      <c r="AF33" s="18"/>
      <c r="AG33" s="19"/>
      <c r="AL33" s="18"/>
      <c r="AM33" s="19"/>
    </row>
    <row r="34">
      <c r="A34" s="4" t="s">
        <v>243</v>
      </c>
      <c r="B34" s="10">
        <v>42549.0</v>
      </c>
      <c r="C34" s="11" t="s">
        <v>156</v>
      </c>
      <c r="D34" s="11" t="s">
        <v>82</v>
      </c>
      <c r="E34" s="11" t="s">
        <v>52</v>
      </c>
      <c r="F34" s="11" t="s">
        <v>53</v>
      </c>
      <c r="G34" s="11" t="s">
        <v>54</v>
      </c>
      <c r="H34" s="11" t="s">
        <v>244</v>
      </c>
      <c r="I34" s="11" t="s">
        <v>245</v>
      </c>
      <c r="J34" s="11">
        <v>28.0</v>
      </c>
      <c r="K34" s="13"/>
      <c r="L34" s="11"/>
      <c r="M34" s="11">
        <v>623914.0</v>
      </c>
      <c r="N34" s="11" t="s">
        <v>246</v>
      </c>
      <c r="O34" s="4"/>
      <c r="P34" s="11">
        <v>0.0</v>
      </c>
      <c r="Q34" s="15">
        <v>0.0</v>
      </c>
      <c r="R34" s="22">
        <v>1.0</v>
      </c>
      <c r="S34">
        <f t="shared" si="1"/>
        <v>2016</v>
      </c>
      <c r="T34">
        <f t="shared" si="2"/>
        <v>6</v>
      </c>
      <c r="AF34" s="18"/>
      <c r="AG34" s="19"/>
      <c r="AL34" s="18"/>
      <c r="AM34" s="19"/>
    </row>
    <row r="35">
      <c r="A35" s="4" t="s">
        <v>247</v>
      </c>
      <c r="B35" s="10">
        <v>42544.0</v>
      </c>
      <c r="C35" s="11" t="s">
        <v>169</v>
      </c>
      <c r="D35" s="11" t="s">
        <v>91</v>
      </c>
      <c r="E35" s="11" t="s">
        <v>52</v>
      </c>
      <c r="F35" s="11" t="s">
        <v>53</v>
      </c>
      <c r="G35" s="11" t="s">
        <v>54</v>
      </c>
      <c r="H35" s="11" t="s">
        <v>92</v>
      </c>
      <c r="I35" s="11"/>
      <c r="J35" s="11">
        <v>18.0</v>
      </c>
      <c r="K35" s="13"/>
      <c r="L35" s="11"/>
      <c r="M35" s="11">
        <v>663454.0</v>
      </c>
      <c r="N35" s="11" t="s">
        <v>248</v>
      </c>
      <c r="O35" s="4" t="s">
        <v>188</v>
      </c>
      <c r="P35" s="11">
        <v>0.0</v>
      </c>
      <c r="Q35" s="15">
        <v>0.0</v>
      </c>
      <c r="R35" s="22">
        <v>1.0</v>
      </c>
      <c r="S35">
        <f t="shared" si="1"/>
        <v>2016</v>
      </c>
      <c r="T35">
        <f t="shared" si="2"/>
        <v>6</v>
      </c>
      <c r="AF35" s="18"/>
      <c r="AG35" s="19"/>
      <c r="AL35" s="18"/>
      <c r="AM35" s="19"/>
    </row>
    <row r="36">
      <c r="A36" s="4" t="s">
        <v>249</v>
      </c>
      <c r="B36" s="10">
        <v>42544.0</v>
      </c>
      <c r="C36" s="11" t="s">
        <v>123</v>
      </c>
      <c r="D36" s="11" t="s">
        <v>170</v>
      </c>
      <c r="E36" s="11" t="s">
        <v>52</v>
      </c>
      <c r="F36" s="11" t="s">
        <v>53</v>
      </c>
      <c r="G36" s="11" t="s">
        <v>54</v>
      </c>
      <c r="H36" s="11" t="s">
        <v>250</v>
      </c>
      <c r="I36" s="11"/>
      <c r="J36" s="11">
        <v>18.0</v>
      </c>
      <c r="K36" s="13"/>
      <c r="L36" s="11"/>
      <c r="M36" s="11">
        <v>668797.0</v>
      </c>
      <c r="N36" s="11"/>
      <c r="O36" s="4" t="s">
        <v>59</v>
      </c>
      <c r="P36" s="11">
        <v>0.0</v>
      </c>
      <c r="Q36" s="15">
        <v>0.0</v>
      </c>
      <c r="R36" s="22">
        <v>1.0</v>
      </c>
      <c r="S36">
        <f t="shared" si="1"/>
        <v>2016</v>
      </c>
      <c r="T36">
        <f t="shared" si="2"/>
        <v>6</v>
      </c>
      <c r="AF36" s="18"/>
      <c r="AG36" s="19"/>
      <c r="AL36" s="18"/>
      <c r="AM36" s="19"/>
    </row>
    <row r="37">
      <c r="A37" s="4" t="s">
        <v>184</v>
      </c>
      <c r="B37" s="10">
        <v>42544.0</v>
      </c>
      <c r="C37" s="11" t="s">
        <v>179</v>
      </c>
      <c r="D37" s="11" t="s">
        <v>82</v>
      </c>
      <c r="E37" s="11" t="s">
        <v>52</v>
      </c>
      <c r="F37" s="11" t="s">
        <v>53</v>
      </c>
      <c r="G37" s="11" t="s">
        <v>54</v>
      </c>
      <c r="H37" s="11" t="s">
        <v>251</v>
      </c>
      <c r="I37" s="11" t="s">
        <v>252</v>
      </c>
      <c r="J37" s="11">
        <v>23.0</v>
      </c>
      <c r="K37" s="13"/>
      <c r="L37" s="11"/>
      <c r="M37" s="11">
        <v>657710.0</v>
      </c>
      <c r="N37" s="11" t="s">
        <v>254</v>
      </c>
      <c r="O37" s="10"/>
      <c r="P37" s="11">
        <v>0.0</v>
      </c>
      <c r="Q37" s="15">
        <v>0.0</v>
      </c>
      <c r="R37" s="22">
        <v>1.0</v>
      </c>
      <c r="S37">
        <f t="shared" si="1"/>
        <v>2016</v>
      </c>
      <c r="T37">
        <f t="shared" si="2"/>
        <v>6</v>
      </c>
      <c r="AF37" s="18"/>
      <c r="AG37" s="19"/>
      <c r="AL37" s="18"/>
      <c r="AM37" s="19"/>
    </row>
    <row r="38">
      <c r="A38" s="4" t="s">
        <v>255</v>
      </c>
      <c r="B38" s="10">
        <v>42543.0</v>
      </c>
      <c r="C38" s="11" t="s">
        <v>74</v>
      </c>
      <c r="D38" s="11" t="s">
        <v>151</v>
      </c>
      <c r="E38" s="11" t="s">
        <v>52</v>
      </c>
      <c r="F38" s="11" t="s">
        <v>53</v>
      </c>
      <c r="G38" s="11" t="s">
        <v>54</v>
      </c>
      <c r="H38" s="11" t="s">
        <v>112</v>
      </c>
      <c r="I38" s="11" t="s">
        <v>256</v>
      </c>
      <c r="J38" s="11">
        <v>21.0</v>
      </c>
      <c r="K38" s="13"/>
      <c r="L38" s="11"/>
      <c r="M38" s="11">
        <v>642213.0</v>
      </c>
      <c r="N38" s="11"/>
      <c r="O38" s="4" t="s">
        <v>59</v>
      </c>
      <c r="P38" s="11">
        <v>0.0</v>
      </c>
      <c r="Q38" s="15">
        <v>0.0</v>
      </c>
      <c r="R38" s="22">
        <v>1.0</v>
      </c>
      <c r="S38">
        <f t="shared" si="1"/>
        <v>2016</v>
      </c>
      <c r="T38">
        <f t="shared" si="2"/>
        <v>6</v>
      </c>
      <c r="AF38" s="18"/>
      <c r="AG38" s="19"/>
      <c r="AL38" s="18"/>
      <c r="AM38" s="19"/>
    </row>
    <row r="39">
      <c r="A39" s="4" t="s">
        <v>258</v>
      </c>
      <c r="B39" s="10">
        <v>42531.0</v>
      </c>
      <c r="C39" s="11" t="s">
        <v>259</v>
      </c>
      <c r="D39" s="11" t="s">
        <v>51</v>
      </c>
      <c r="E39" s="11" t="s">
        <v>52</v>
      </c>
      <c r="F39" s="11" t="s">
        <v>53</v>
      </c>
      <c r="G39" s="11" t="s">
        <v>54</v>
      </c>
      <c r="H39" s="11" t="s">
        <v>260</v>
      </c>
      <c r="I39" s="11" t="s">
        <v>261</v>
      </c>
      <c r="J39" s="11">
        <v>26.0</v>
      </c>
      <c r="K39" s="13"/>
      <c r="L39" s="11"/>
      <c r="M39" s="11">
        <v>543900.0</v>
      </c>
      <c r="N39" s="11">
        <v>10558.0</v>
      </c>
      <c r="O39" s="4"/>
      <c r="P39" s="11">
        <v>0.0</v>
      </c>
      <c r="Q39" s="15">
        <v>0.0</v>
      </c>
      <c r="R39" s="22">
        <v>1.0</v>
      </c>
      <c r="S39">
        <f t="shared" si="1"/>
        <v>2016</v>
      </c>
      <c r="T39">
        <f t="shared" si="2"/>
        <v>6</v>
      </c>
      <c r="AF39" s="18"/>
      <c r="AG39" s="19"/>
      <c r="AL39" s="18"/>
      <c r="AM39" s="19"/>
    </row>
    <row r="40">
      <c r="A40" s="4" t="s">
        <v>263</v>
      </c>
      <c r="B40" s="10">
        <v>42522.0</v>
      </c>
      <c r="C40" s="11" t="s">
        <v>109</v>
      </c>
      <c r="D40" s="11" t="s">
        <v>124</v>
      </c>
      <c r="E40" s="11" t="s">
        <v>264</v>
      </c>
      <c r="F40" s="11" t="s">
        <v>53</v>
      </c>
      <c r="G40" s="11" t="s">
        <v>265</v>
      </c>
      <c r="H40" s="11"/>
      <c r="I40" s="11"/>
      <c r="J40" s="11">
        <v>21.0</v>
      </c>
      <c r="K40" s="13"/>
      <c r="L40" s="11"/>
      <c r="M40" s="11">
        <v>622511.0</v>
      </c>
      <c r="N40" s="11" t="s">
        <v>266</v>
      </c>
      <c r="O40" s="4"/>
      <c r="P40" s="11">
        <v>0.0</v>
      </c>
      <c r="Q40" s="15">
        <v>0.0</v>
      </c>
      <c r="R40" s="22">
        <v>1.0</v>
      </c>
      <c r="S40">
        <f t="shared" si="1"/>
        <v>2016</v>
      </c>
      <c r="T40">
        <f t="shared" si="2"/>
        <v>6</v>
      </c>
      <c r="AF40" s="18"/>
      <c r="AG40" s="19"/>
      <c r="AL40" s="18"/>
      <c r="AM40" s="19"/>
    </row>
    <row r="41">
      <c r="A41" s="4" t="s">
        <v>267</v>
      </c>
      <c r="B41" s="10">
        <v>42522.0</v>
      </c>
      <c r="C41" s="11" t="s">
        <v>109</v>
      </c>
      <c r="D41" s="11" t="s">
        <v>210</v>
      </c>
      <c r="E41" s="11" t="s">
        <v>52</v>
      </c>
      <c r="F41" s="11" t="s">
        <v>53</v>
      </c>
      <c r="G41" s="11" t="s">
        <v>216</v>
      </c>
      <c r="H41" s="11"/>
      <c r="I41" s="11"/>
      <c r="J41" s="11">
        <v>21.0</v>
      </c>
      <c r="K41" s="13"/>
      <c r="L41" s="11"/>
      <c r="M41" s="11">
        <v>601971.0</v>
      </c>
      <c r="N41" s="11" t="s">
        <v>268</v>
      </c>
      <c r="O41" s="4"/>
      <c r="P41" s="11">
        <v>0.0</v>
      </c>
      <c r="Q41" s="15">
        <v>0.0</v>
      </c>
      <c r="R41" s="22">
        <v>1.0</v>
      </c>
      <c r="S41">
        <f t="shared" si="1"/>
        <v>2016</v>
      </c>
      <c r="T41">
        <f t="shared" si="2"/>
        <v>6</v>
      </c>
      <c r="AF41" s="18"/>
      <c r="AG41" s="19"/>
      <c r="AL41" s="18"/>
      <c r="AM41" s="19"/>
    </row>
    <row r="42">
      <c r="A42" s="4" t="s">
        <v>269</v>
      </c>
      <c r="B42" s="10">
        <v>42522.0</v>
      </c>
      <c r="C42" s="11" t="s">
        <v>270</v>
      </c>
      <c r="D42" s="11" t="s">
        <v>110</v>
      </c>
      <c r="E42" s="11" t="s">
        <v>52</v>
      </c>
      <c r="F42" s="11" t="s">
        <v>53</v>
      </c>
      <c r="G42" s="11" t="s">
        <v>54</v>
      </c>
      <c r="H42" s="11" t="s">
        <v>92</v>
      </c>
      <c r="I42" s="11" t="s">
        <v>271</v>
      </c>
      <c r="J42" s="11">
        <v>25.0</v>
      </c>
      <c r="K42" s="13"/>
      <c r="L42" s="11"/>
      <c r="M42" s="11">
        <v>622094.0</v>
      </c>
      <c r="N42" s="11" t="s">
        <v>272</v>
      </c>
      <c r="O42" s="4"/>
      <c r="P42" s="11">
        <v>0.0</v>
      </c>
      <c r="Q42" s="15">
        <v>0.0</v>
      </c>
      <c r="R42" s="22">
        <v>1.0</v>
      </c>
      <c r="S42">
        <f t="shared" si="1"/>
        <v>2016</v>
      </c>
      <c r="T42">
        <f t="shared" si="2"/>
        <v>6</v>
      </c>
      <c r="AF42" s="18"/>
      <c r="AG42" s="19"/>
      <c r="AL42" s="18"/>
      <c r="AM42" s="19"/>
    </row>
    <row r="43">
      <c r="A43" s="4" t="s">
        <v>273</v>
      </c>
      <c r="B43" s="10">
        <v>42522.0</v>
      </c>
      <c r="C43" s="11" t="s">
        <v>270</v>
      </c>
      <c r="D43" s="11" t="s">
        <v>124</v>
      </c>
      <c r="E43" s="11" t="s">
        <v>52</v>
      </c>
      <c r="F43" s="11" t="s">
        <v>53</v>
      </c>
      <c r="G43" s="11" t="s">
        <v>54</v>
      </c>
      <c r="H43" s="11" t="s">
        <v>92</v>
      </c>
      <c r="I43" s="11"/>
      <c r="J43" s="11">
        <v>19.0</v>
      </c>
      <c r="K43" s="13"/>
      <c r="L43" s="11"/>
      <c r="M43" s="11">
        <v>657277.0</v>
      </c>
      <c r="N43" s="11" t="s">
        <v>274</v>
      </c>
      <c r="O43" s="4"/>
      <c r="P43" s="11">
        <v>0.0</v>
      </c>
      <c r="Q43" s="15">
        <v>0.0</v>
      </c>
      <c r="R43" s="22">
        <v>1.0</v>
      </c>
      <c r="S43">
        <f t="shared" si="1"/>
        <v>2016</v>
      </c>
      <c r="T43">
        <f t="shared" si="2"/>
        <v>6</v>
      </c>
      <c r="AF43" s="18"/>
      <c r="AG43" s="19"/>
      <c r="AL43" s="18"/>
      <c r="AM43" s="19"/>
    </row>
    <row r="44">
      <c r="A44" s="4" t="s">
        <v>278</v>
      </c>
      <c r="B44" s="10">
        <v>42522.0</v>
      </c>
      <c r="C44" s="11" t="s">
        <v>179</v>
      </c>
      <c r="D44" s="11" t="s">
        <v>151</v>
      </c>
      <c r="E44" s="11" t="s">
        <v>52</v>
      </c>
      <c r="F44" s="11" t="s">
        <v>53</v>
      </c>
      <c r="G44" s="11" t="s">
        <v>54</v>
      </c>
      <c r="H44" s="11" t="s">
        <v>279</v>
      </c>
      <c r="I44" s="11" t="s">
        <v>280</v>
      </c>
      <c r="J44" s="11">
        <v>21.0</v>
      </c>
      <c r="K44" s="13"/>
      <c r="L44" s="11"/>
      <c r="M44" s="11">
        <v>641416.0</v>
      </c>
      <c r="N44" s="11"/>
      <c r="O44" s="4"/>
      <c r="P44" s="11">
        <v>0.0</v>
      </c>
      <c r="Q44" s="15">
        <v>0.0</v>
      </c>
      <c r="R44" s="22">
        <v>1.0</v>
      </c>
      <c r="S44">
        <f t="shared" si="1"/>
        <v>2016</v>
      </c>
      <c r="T44">
        <f t="shared" si="2"/>
        <v>6</v>
      </c>
      <c r="AF44" s="18"/>
      <c r="AG44" s="19"/>
      <c r="AL44" s="18"/>
      <c r="AM44" s="19"/>
    </row>
    <row r="45">
      <c r="A45" s="4" t="s">
        <v>281</v>
      </c>
      <c r="B45" s="10">
        <v>42516.0</v>
      </c>
      <c r="C45" s="11" t="s">
        <v>74</v>
      </c>
      <c r="D45" s="11" t="s">
        <v>75</v>
      </c>
      <c r="E45" s="14" t="s">
        <v>52</v>
      </c>
      <c r="F45" s="11" t="s">
        <v>53</v>
      </c>
      <c r="G45" s="14" t="s">
        <v>54</v>
      </c>
      <c r="H45" s="11" t="s">
        <v>260</v>
      </c>
      <c r="I45" s="11" t="s">
        <v>283</v>
      </c>
      <c r="J45" s="11">
        <v>27.0</v>
      </c>
      <c r="K45" s="13"/>
      <c r="L45" s="11"/>
      <c r="M45" s="11">
        <v>518863.0</v>
      </c>
      <c r="N45" s="11">
        <v>10466.0</v>
      </c>
      <c r="O45" s="4" t="s">
        <v>59</v>
      </c>
      <c r="P45" s="11">
        <v>0.0</v>
      </c>
      <c r="Q45" s="15">
        <v>0.0</v>
      </c>
      <c r="R45" s="22">
        <v>1.0</v>
      </c>
      <c r="S45">
        <f t="shared" si="1"/>
        <v>2016</v>
      </c>
      <c r="T45">
        <f t="shared" si="2"/>
        <v>5</v>
      </c>
      <c r="AF45" s="18"/>
      <c r="AG45" s="19"/>
      <c r="AL45" s="18"/>
      <c r="AM45" s="19"/>
    </row>
    <row r="46">
      <c r="A46" s="4" t="s">
        <v>285</v>
      </c>
      <c r="B46" s="10">
        <v>42514.0</v>
      </c>
      <c r="C46" s="11" t="s">
        <v>133</v>
      </c>
      <c r="D46" s="11" t="s">
        <v>51</v>
      </c>
      <c r="E46" s="11" t="s">
        <v>52</v>
      </c>
      <c r="F46" s="11" t="s">
        <v>53</v>
      </c>
      <c r="G46" s="11" t="s">
        <v>54</v>
      </c>
      <c r="H46" s="11" t="s">
        <v>157</v>
      </c>
      <c r="I46" s="11" t="s">
        <v>286</v>
      </c>
      <c r="J46" s="11">
        <v>26.0</v>
      </c>
      <c r="K46" s="14"/>
      <c r="L46" s="14"/>
      <c r="M46" s="11">
        <v>605476.0</v>
      </c>
      <c r="N46" s="11">
        <v>13172.0</v>
      </c>
      <c r="O46" s="4" t="s">
        <v>287</v>
      </c>
      <c r="P46" s="11">
        <v>0.0</v>
      </c>
      <c r="Q46" s="15">
        <v>0.0</v>
      </c>
      <c r="R46" s="22">
        <v>1.0</v>
      </c>
      <c r="S46">
        <f t="shared" si="1"/>
        <v>2016</v>
      </c>
      <c r="T46">
        <f t="shared" si="2"/>
        <v>5</v>
      </c>
      <c r="AF46" s="18"/>
      <c r="AG46" s="19"/>
      <c r="AL46" s="18"/>
      <c r="AM46" s="19"/>
    </row>
    <row r="47">
      <c r="A47" s="4" t="s">
        <v>288</v>
      </c>
      <c r="B47" s="10">
        <v>42514.0</v>
      </c>
      <c r="C47" s="11" t="s">
        <v>119</v>
      </c>
      <c r="D47" s="11" t="s">
        <v>91</v>
      </c>
      <c r="E47" s="11" t="s">
        <v>52</v>
      </c>
      <c r="F47" s="11" t="s">
        <v>53</v>
      </c>
      <c r="G47" s="11" t="s">
        <v>172</v>
      </c>
      <c r="H47" s="11"/>
      <c r="I47" s="11"/>
      <c r="J47" s="11">
        <v>19.0</v>
      </c>
      <c r="K47" s="14"/>
      <c r="L47" s="14"/>
      <c r="M47" s="11">
        <v>664747.0</v>
      </c>
      <c r="N47" s="11" t="s">
        <v>289</v>
      </c>
      <c r="O47" s="4"/>
      <c r="P47" s="11">
        <v>0.0</v>
      </c>
      <c r="Q47" s="15">
        <v>0.0</v>
      </c>
      <c r="R47" s="22">
        <v>1.0</v>
      </c>
      <c r="S47">
        <f t="shared" si="1"/>
        <v>2016</v>
      </c>
      <c r="T47">
        <f t="shared" si="2"/>
        <v>5</v>
      </c>
      <c r="AF47" s="18"/>
      <c r="AG47" s="19"/>
      <c r="AL47" s="18"/>
      <c r="AM47" s="19"/>
    </row>
    <row r="48">
      <c r="A48" s="4" t="s">
        <v>290</v>
      </c>
      <c r="B48" s="10">
        <v>42510.0</v>
      </c>
      <c r="C48" s="11" t="s">
        <v>49</v>
      </c>
      <c r="D48" s="11" t="s">
        <v>110</v>
      </c>
      <c r="E48" s="11" t="s">
        <v>52</v>
      </c>
      <c r="F48" s="11" t="s">
        <v>53</v>
      </c>
      <c r="G48" s="11" t="s">
        <v>54</v>
      </c>
      <c r="H48" s="11" t="s">
        <v>291</v>
      </c>
      <c r="I48" s="11" t="s">
        <v>292</v>
      </c>
      <c r="J48" s="11">
        <v>22.0</v>
      </c>
      <c r="K48" s="14"/>
      <c r="L48" s="14"/>
      <c r="M48" s="11">
        <v>664142.0</v>
      </c>
      <c r="N48" s="11" t="s">
        <v>293</v>
      </c>
      <c r="O48" s="4"/>
      <c r="P48" s="11">
        <v>0.0</v>
      </c>
      <c r="Q48" s="15">
        <v>0.0</v>
      </c>
      <c r="R48" s="22">
        <v>1.0</v>
      </c>
      <c r="S48">
        <f t="shared" si="1"/>
        <v>2016</v>
      </c>
      <c r="T48">
        <f t="shared" si="2"/>
        <v>5</v>
      </c>
      <c r="AF48" s="18"/>
      <c r="AG48" s="19"/>
      <c r="AL48" s="18"/>
      <c r="AM48" s="19"/>
    </row>
    <row r="49">
      <c r="A49" s="4" t="s">
        <v>294</v>
      </c>
      <c r="B49" s="10">
        <v>42507.0</v>
      </c>
      <c r="C49" s="11" t="s">
        <v>49</v>
      </c>
      <c r="D49" s="11" t="s">
        <v>51</v>
      </c>
      <c r="E49" s="11" t="s">
        <v>52</v>
      </c>
      <c r="F49" s="11" t="s">
        <v>76</v>
      </c>
      <c r="G49" s="11" t="s">
        <v>54</v>
      </c>
      <c r="H49" s="11" t="s">
        <v>92</v>
      </c>
      <c r="I49" s="11"/>
      <c r="J49" s="11">
        <v>25.0</v>
      </c>
      <c r="K49" s="14"/>
      <c r="L49" s="14"/>
      <c r="M49" s="11">
        <v>572362.0</v>
      </c>
      <c r="N49" s="11">
        <v>10354.0</v>
      </c>
      <c r="O49" s="4" t="s">
        <v>188</v>
      </c>
      <c r="P49" s="11">
        <v>0.0</v>
      </c>
      <c r="Q49" s="15">
        <v>0.0</v>
      </c>
      <c r="R49" s="22">
        <v>1.0</v>
      </c>
      <c r="S49">
        <f t="shared" si="1"/>
        <v>2016</v>
      </c>
      <c r="T49">
        <f t="shared" si="2"/>
        <v>5</v>
      </c>
      <c r="AF49" s="18"/>
      <c r="AG49" s="19"/>
      <c r="AL49" s="18"/>
      <c r="AM49" s="19"/>
    </row>
    <row r="50">
      <c r="A50" s="4" t="s">
        <v>295</v>
      </c>
      <c r="B50" s="10">
        <v>42507.0</v>
      </c>
      <c r="C50" s="11" t="s">
        <v>109</v>
      </c>
      <c r="D50" s="11" t="s">
        <v>110</v>
      </c>
      <c r="E50" s="11" t="s">
        <v>52</v>
      </c>
      <c r="F50" s="11" t="s">
        <v>53</v>
      </c>
      <c r="G50" s="11" t="s">
        <v>54</v>
      </c>
      <c r="H50" s="11" t="s">
        <v>154</v>
      </c>
      <c r="I50" s="11" t="s">
        <v>296</v>
      </c>
      <c r="J50" s="11">
        <v>23.0</v>
      </c>
      <c r="K50" s="14"/>
      <c r="L50" s="14"/>
      <c r="M50" s="11">
        <v>660874.0</v>
      </c>
      <c r="N50" s="11">
        <v>660874.0</v>
      </c>
      <c r="O50" s="4" t="s">
        <v>287</v>
      </c>
      <c r="P50" s="11">
        <v>0.0</v>
      </c>
      <c r="Q50" s="15">
        <v>0.0</v>
      </c>
      <c r="R50" s="22">
        <v>1.0</v>
      </c>
      <c r="S50">
        <f t="shared" si="1"/>
        <v>2016</v>
      </c>
      <c r="T50">
        <f t="shared" si="2"/>
        <v>5</v>
      </c>
      <c r="AF50" s="18"/>
      <c r="AG50" s="19"/>
      <c r="AL50" s="18"/>
      <c r="AM50" s="19"/>
    </row>
    <row r="51">
      <c r="A51" s="4" t="s">
        <v>297</v>
      </c>
      <c r="B51" s="10">
        <v>42502.0</v>
      </c>
      <c r="C51" s="11" t="s">
        <v>81</v>
      </c>
      <c r="D51" s="11" t="s">
        <v>110</v>
      </c>
      <c r="E51" s="11" t="s">
        <v>52</v>
      </c>
      <c r="F51" s="11" t="s">
        <v>53</v>
      </c>
      <c r="G51" s="11" t="s">
        <v>299</v>
      </c>
      <c r="H51" s="11"/>
      <c r="I51" s="11"/>
      <c r="J51" s="11">
        <v>26.0</v>
      </c>
      <c r="K51" s="14"/>
      <c r="L51" s="14"/>
      <c r="M51" s="11">
        <v>664485.0</v>
      </c>
      <c r="N51" s="11" t="s">
        <v>300</v>
      </c>
      <c r="O51" s="4"/>
      <c r="P51" s="11">
        <v>0.0</v>
      </c>
      <c r="Q51" s="15">
        <v>0.0</v>
      </c>
      <c r="R51" s="22">
        <v>1.0</v>
      </c>
      <c r="S51">
        <f t="shared" si="1"/>
        <v>2016</v>
      </c>
      <c r="T51">
        <f t="shared" si="2"/>
        <v>5</v>
      </c>
      <c r="AF51" s="18"/>
      <c r="AG51" s="19"/>
      <c r="AL51" s="18"/>
      <c r="AM51" s="19"/>
    </row>
    <row r="52">
      <c r="A52" s="4" t="s">
        <v>301</v>
      </c>
      <c r="B52" s="10">
        <v>42499.0</v>
      </c>
      <c r="C52" s="11" t="s">
        <v>138</v>
      </c>
      <c r="D52" s="11" t="s">
        <v>75</v>
      </c>
      <c r="E52" s="11" t="s">
        <v>52</v>
      </c>
      <c r="F52" s="11" t="s">
        <v>53</v>
      </c>
      <c r="G52" s="11" t="s">
        <v>54</v>
      </c>
      <c r="H52" s="11" t="s">
        <v>302</v>
      </c>
      <c r="I52" s="11" t="s">
        <v>302</v>
      </c>
      <c r="J52" s="11">
        <v>29.0</v>
      </c>
      <c r="K52" s="14"/>
      <c r="L52" s="14"/>
      <c r="M52" s="11">
        <v>543031.0</v>
      </c>
      <c r="N52" s="11">
        <v>8536.0</v>
      </c>
      <c r="O52" s="4"/>
      <c r="P52" s="11">
        <v>0.0</v>
      </c>
      <c r="Q52" s="15">
        <v>0.0</v>
      </c>
      <c r="R52" s="22">
        <v>1.0</v>
      </c>
      <c r="S52">
        <f t="shared" si="1"/>
        <v>2016</v>
      </c>
      <c r="T52">
        <f t="shared" si="2"/>
        <v>5</v>
      </c>
      <c r="AF52" s="18"/>
      <c r="AG52" s="19"/>
      <c r="AL52" s="18"/>
      <c r="AM52" s="19"/>
    </row>
    <row r="53">
      <c r="A53" s="4" t="s">
        <v>304</v>
      </c>
      <c r="B53" s="10">
        <v>42496.0</v>
      </c>
      <c r="C53" s="11" t="s">
        <v>97</v>
      </c>
      <c r="D53" s="11" t="s">
        <v>51</v>
      </c>
      <c r="E53" s="11" t="s">
        <v>52</v>
      </c>
      <c r="F53" s="11" t="s">
        <v>53</v>
      </c>
      <c r="G53" s="11" t="s">
        <v>54</v>
      </c>
      <c r="H53" s="11" t="s">
        <v>305</v>
      </c>
      <c r="I53" s="11" t="s">
        <v>306</v>
      </c>
      <c r="J53" s="11">
        <v>27.0</v>
      </c>
      <c r="K53" s="14"/>
      <c r="L53" s="14"/>
      <c r="M53" s="11">
        <v>605135.0</v>
      </c>
      <c r="N53" s="11">
        <v>12304.0</v>
      </c>
      <c r="O53" s="4" t="s">
        <v>224</v>
      </c>
      <c r="P53" s="11">
        <v>0.0</v>
      </c>
      <c r="Q53" s="15">
        <v>0.0</v>
      </c>
      <c r="R53" s="22">
        <v>1.0</v>
      </c>
      <c r="S53">
        <f t="shared" si="1"/>
        <v>2016</v>
      </c>
      <c r="T53">
        <f t="shared" si="2"/>
        <v>5</v>
      </c>
      <c r="AF53" s="18"/>
      <c r="AG53" s="19"/>
      <c r="AL53" s="18"/>
      <c r="AM53" s="19"/>
    </row>
    <row r="54">
      <c r="A54" s="4" t="s">
        <v>307</v>
      </c>
      <c r="B54" s="10">
        <v>42494.0</v>
      </c>
      <c r="C54" s="11" t="s">
        <v>209</v>
      </c>
      <c r="D54" s="11" t="s">
        <v>91</v>
      </c>
      <c r="E54" s="11" t="s">
        <v>52</v>
      </c>
      <c r="F54" s="11" t="s">
        <v>53</v>
      </c>
      <c r="G54" s="11" t="s">
        <v>54</v>
      </c>
      <c r="H54" s="11" t="s">
        <v>308</v>
      </c>
      <c r="I54" s="11"/>
      <c r="J54" s="11">
        <v>20.0</v>
      </c>
      <c r="K54" s="14"/>
      <c r="L54" s="14"/>
      <c r="M54" s="11">
        <v>663383.0</v>
      </c>
      <c r="N54" s="11" t="s">
        <v>309</v>
      </c>
      <c r="O54" s="4"/>
      <c r="P54" s="11">
        <v>0.0</v>
      </c>
      <c r="Q54" s="15">
        <v>0.0</v>
      </c>
      <c r="R54" s="22">
        <v>1.0</v>
      </c>
      <c r="S54">
        <f t="shared" si="1"/>
        <v>2016</v>
      </c>
      <c r="T54">
        <f t="shared" si="2"/>
        <v>5</v>
      </c>
      <c r="AF54" s="18"/>
      <c r="AG54" s="19"/>
      <c r="AL54" s="18"/>
      <c r="AM54" s="19"/>
    </row>
    <row r="55">
      <c r="A55" s="4" t="s">
        <v>311</v>
      </c>
      <c r="B55" s="10">
        <v>42491.0</v>
      </c>
      <c r="C55" s="11" t="s">
        <v>270</v>
      </c>
      <c r="D55" s="11" t="s">
        <v>91</v>
      </c>
      <c r="E55" s="11" t="s">
        <v>52</v>
      </c>
      <c r="F55" s="11" t="s">
        <v>53</v>
      </c>
      <c r="G55" s="11" t="s">
        <v>312</v>
      </c>
      <c r="H55" s="11"/>
      <c r="I55" s="11"/>
      <c r="J55" s="11">
        <v>20.0</v>
      </c>
      <c r="K55" s="14"/>
      <c r="L55" s="14"/>
      <c r="M55" s="11">
        <v>641402.0</v>
      </c>
      <c r="N55" s="11" t="s">
        <v>313</v>
      </c>
      <c r="O55" s="4"/>
      <c r="P55" s="11">
        <v>0.0</v>
      </c>
      <c r="Q55" s="15">
        <v>0.0</v>
      </c>
      <c r="R55" s="22">
        <v>1.0</v>
      </c>
      <c r="S55">
        <f t="shared" si="1"/>
        <v>2016</v>
      </c>
      <c r="T55">
        <f t="shared" si="2"/>
        <v>5</v>
      </c>
      <c r="AF55" s="18"/>
      <c r="AG55" s="19"/>
      <c r="AL55" s="18"/>
      <c r="AM55" s="19"/>
    </row>
    <row r="56">
      <c r="A56" s="4" t="s">
        <v>314</v>
      </c>
      <c r="B56" s="10">
        <v>42491.0</v>
      </c>
      <c r="C56" s="11" t="s">
        <v>130</v>
      </c>
      <c r="D56" s="11" t="s">
        <v>75</v>
      </c>
      <c r="E56" s="11" t="s">
        <v>315</v>
      </c>
      <c r="F56" s="11" t="s">
        <v>53</v>
      </c>
      <c r="G56" s="11" t="s">
        <v>54</v>
      </c>
      <c r="H56" s="11" t="s">
        <v>316</v>
      </c>
      <c r="I56" s="11"/>
      <c r="J56" s="11">
        <v>24.0</v>
      </c>
      <c r="K56" s="14"/>
      <c r="L56" s="14"/>
      <c r="M56" s="11">
        <v>592166.0</v>
      </c>
      <c r="N56" s="11">
        <v>12138.0</v>
      </c>
      <c r="O56" s="4"/>
      <c r="P56" s="11">
        <v>0.0</v>
      </c>
      <c r="Q56" s="15">
        <v>0.0</v>
      </c>
      <c r="R56" s="22">
        <v>1.0</v>
      </c>
      <c r="S56">
        <f t="shared" si="1"/>
        <v>2016</v>
      </c>
      <c r="T56">
        <f t="shared" si="2"/>
        <v>5</v>
      </c>
      <c r="AF56" s="18"/>
      <c r="AG56" s="19"/>
      <c r="AL56" s="18"/>
      <c r="AM56" s="19"/>
    </row>
    <row r="57">
      <c r="A57" s="4" t="s">
        <v>318</v>
      </c>
      <c r="B57" s="10">
        <v>42489.0</v>
      </c>
      <c r="C57" s="11" t="s">
        <v>169</v>
      </c>
      <c r="D57" s="11" t="s">
        <v>151</v>
      </c>
      <c r="E57" s="11" t="s">
        <v>52</v>
      </c>
      <c r="F57" s="11" t="s">
        <v>53</v>
      </c>
      <c r="G57" s="11" t="s">
        <v>54</v>
      </c>
      <c r="H57" s="11" t="s">
        <v>322</v>
      </c>
      <c r="I57" s="11" t="s">
        <v>323</v>
      </c>
      <c r="J57" s="11">
        <v>21.0</v>
      </c>
      <c r="K57" s="14"/>
      <c r="L57" s="14"/>
      <c r="M57" s="11"/>
      <c r="N57" s="11"/>
      <c r="O57" s="4"/>
      <c r="P57" s="11">
        <v>0.0</v>
      </c>
      <c r="Q57" s="15">
        <v>0.0</v>
      </c>
      <c r="R57" s="22">
        <v>1.0</v>
      </c>
      <c r="S57">
        <f t="shared" si="1"/>
        <v>2016</v>
      </c>
      <c r="T57">
        <f t="shared" si="2"/>
        <v>4</v>
      </c>
      <c r="AF57" s="18"/>
      <c r="AG57" s="19"/>
      <c r="AL57" s="18"/>
      <c r="AM57" s="19"/>
    </row>
    <row r="58">
      <c r="A58" s="4" t="s">
        <v>324</v>
      </c>
      <c r="B58" s="10">
        <v>42486.0</v>
      </c>
      <c r="C58" s="11" t="s">
        <v>138</v>
      </c>
      <c r="D58" s="11" t="s">
        <v>51</v>
      </c>
      <c r="E58" s="11" t="s">
        <v>52</v>
      </c>
      <c r="F58" s="11" t="s">
        <v>53</v>
      </c>
      <c r="G58" s="11" t="s">
        <v>54</v>
      </c>
      <c r="H58" s="11" t="s">
        <v>92</v>
      </c>
      <c r="I58" s="11" t="s">
        <v>325</v>
      </c>
      <c r="J58" s="11">
        <v>27.0</v>
      </c>
      <c r="K58" s="14"/>
      <c r="L58" s="14"/>
      <c r="M58" s="11">
        <v>572038.0</v>
      </c>
      <c r="N58" s="11">
        <v>12093.0</v>
      </c>
      <c r="O58" s="4" t="s">
        <v>59</v>
      </c>
      <c r="P58" s="11">
        <v>0.0</v>
      </c>
      <c r="Q58" s="15">
        <v>0.0</v>
      </c>
      <c r="R58" s="22">
        <v>1.0</v>
      </c>
      <c r="S58">
        <f t="shared" si="1"/>
        <v>2016</v>
      </c>
      <c r="T58">
        <f t="shared" si="2"/>
        <v>4</v>
      </c>
      <c r="AF58" s="18"/>
      <c r="AG58" s="19"/>
      <c r="AL58" s="18"/>
      <c r="AM58" s="19"/>
    </row>
    <row r="59">
      <c r="A59" s="4" t="s">
        <v>327</v>
      </c>
      <c r="B59" s="10">
        <v>42486.0</v>
      </c>
      <c r="C59" s="11" t="s">
        <v>108</v>
      </c>
      <c r="D59" s="11" t="s">
        <v>110</v>
      </c>
      <c r="E59" s="11" t="s">
        <v>52</v>
      </c>
      <c r="F59" s="11" t="s">
        <v>53</v>
      </c>
      <c r="G59" s="11" t="s">
        <v>54</v>
      </c>
      <c r="H59" s="11" t="s">
        <v>260</v>
      </c>
      <c r="I59" s="11" t="s">
        <v>328</v>
      </c>
      <c r="J59" s="11">
        <v>24.0</v>
      </c>
      <c r="K59" s="14"/>
      <c r="L59" s="14"/>
      <c r="M59" s="11">
        <v>595165.0</v>
      </c>
      <c r="N59" s="11" t="s">
        <v>329</v>
      </c>
      <c r="O59" s="4"/>
      <c r="P59" s="11">
        <v>0.0</v>
      </c>
      <c r="Q59" s="15">
        <v>0.0</v>
      </c>
      <c r="R59" s="22">
        <v>1.0</v>
      </c>
      <c r="S59">
        <f t="shared" si="1"/>
        <v>2016</v>
      </c>
      <c r="T59">
        <f t="shared" si="2"/>
        <v>4</v>
      </c>
      <c r="AF59" s="18"/>
      <c r="AG59" s="19"/>
      <c r="AL59" s="18"/>
      <c r="AM59" s="19"/>
    </row>
    <row r="60">
      <c r="A60" s="4" t="s">
        <v>330</v>
      </c>
      <c r="B60" s="10">
        <v>42486.0</v>
      </c>
      <c r="C60" s="11" t="s">
        <v>331</v>
      </c>
      <c r="D60" s="11" t="s">
        <v>110</v>
      </c>
      <c r="E60" s="11" t="s">
        <v>52</v>
      </c>
      <c r="F60" s="11" t="s">
        <v>76</v>
      </c>
      <c r="G60" s="11" t="s">
        <v>83</v>
      </c>
      <c r="H60" s="11"/>
      <c r="I60" s="11"/>
      <c r="J60" s="11">
        <v>23.0</v>
      </c>
      <c r="K60" s="14"/>
      <c r="L60" s="14"/>
      <c r="M60" s="11">
        <v>600887.0</v>
      </c>
      <c r="N60" s="11" t="s">
        <v>332</v>
      </c>
      <c r="O60" s="4" t="s">
        <v>59</v>
      </c>
      <c r="P60" s="11">
        <v>0.0</v>
      </c>
      <c r="Q60" s="15">
        <v>0.0</v>
      </c>
      <c r="R60" s="22">
        <v>1.0</v>
      </c>
      <c r="S60">
        <f t="shared" si="1"/>
        <v>2016</v>
      </c>
      <c r="T60">
        <f t="shared" si="2"/>
        <v>4</v>
      </c>
      <c r="AF60" s="18"/>
      <c r="AG60" s="19"/>
      <c r="AL60" s="18"/>
      <c r="AM60" s="19"/>
    </row>
    <row r="61">
      <c r="A61" s="4" t="s">
        <v>333</v>
      </c>
      <c r="B61" s="10">
        <v>42479.0</v>
      </c>
      <c r="C61" s="11" t="s">
        <v>138</v>
      </c>
      <c r="D61" s="11" t="s">
        <v>75</v>
      </c>
      <c r="E61" s="11" t="s">
        <v>52</v>
      </c>
      <c r="F61" s="11" t="s">
        <v>53</v>
      </c>
      <c r="G61" s="11" t="s">
        <v>54</v>
      </c>
      <c r="H61" s="11" t="s">
        <v>157</v>
      </c>
      <c r="I61" s="11" t="s">
        <v>334</v>
      </c>
      <c r="J61" s="11">
        <v>24.0</v>
      </c>
      <c r="K61" s="14"/>
      <c r="L61" s="14"/>
      <c r="M61" s="11">
        <v>592705.0</v>
      </c>
      <c r="N61" s="11">
        <v>14867.0</v>
      </c>
      <c r="O61" s="4" t="s">
        <v>183</v>
      </c>
      <c r="P61" s="11">
        <v>0.0</v>
      </c>
      <c r="Q61" s="15">
        <v>0.0</v>
      </c>
      <c r="R61" s="22">
        <v>1.0</v>
      </c>
      <c r="S61">
        <f t="shared" si="1"/>
        <v>2016</v>
      </c>
      <c r="T61">
        <f t="shared" si="2"/>
        <v>4</v>
      </c>
      <c r="AF61" s="18"/>
      <c r="AG61" s="19"/>
      <c r="AL61" s="18"/>
      <c r="AM61" s="19"/>
    </row>
    <row r="62">
      <c r="A62" s="4" t="s">
        <v>336</v>
      </c>
      <c r="B62" s="10">
        <v>42475.0</v>
      </c>
      <c r="C62" s="11" t="s">
        <v>229</v>
      </c>
      <c r="D62" s="11" t="s">
        <v>51</v>
      </c>
      <c r="E62" s="11" t="s">
        <v>52</v>
      </c>
      <c r="F62" s="11" t="s">
        <v>76</v>
      </c>
      <c r="G62" s="11" t="s">
        <v>54</v>
      </c>
      <c r="H62" s="11" t="s">
        <v>337</v>
      </c>
      <c r="I62" s="11"/>
      <c r="J62" s="11">
        <v>26.0</v>
      </c>
      <c r="K62" s="14"/>
      <c r="L62" s="14"/>
      <c r="M62" s="11">
        <v>525768.0</v>
      </c>
      <c r="N62" s="11">
        <v>3164.0</v>
      </c>
      <c r="O62" s="4" t="s">
        <v>188</v>
      </c>
      <c r="P62" s="11">
        <v>0.0</v>
      </c>
      <c r="Q62" s="32">
        <v>0.0</v>
      </c>
      <c r="R62" s="22">
        <v>1.0</v>
      </c>
      <c r="S62">
        <f t="shared" si="1"/>
        <v>2016</v>
      </c>
      <c r="T62">
        <f t="shared" si="2"/>
        <v>4</v>
      </c>
      <c r="AF62" s="18"/>
      <c r="AG62" s="19"/>
      <c r="AL62" s="18"/>
      <c r="AM62" s="19"/>
    </row>
    <row r="63">
      <c r="A63" s="4" t="s">
        <v>339</v>
      </c>
      <c r="B63" s="10">
        <v>42475.0</v>
      </c>
      <c r="C63" s="11" t="s">
        <v>156</v>
      </c>
      <c r="D63" s="11" t="s">
        <v>75</v>
      </c>
      <c r="E63" s="11" t="s">
        <v>52</v>
      </c>
      <c r="F63" s="11" t="s">
        <v>76</v>
      </c>
      <c r="G63" s="11" t="s">
        <v>54</v>
      </c>
      <c r="H63" s="11" t="s">
        <v>341</v>
      </c>
      <c r="I63" s="11" t="s">
        <v>342</v>
      </c>
      <c r="J63" s="11">
        <v>24.0</v>
      </c>
      <c r="K63" s="14"/>
      <c r="L63" s="14"/>
      <c r="M63" s="11">
        <v>594835.0</v>
      </c>
      <c r="N63" s="11">
        <v>15467.0</v>
      </c>
      <c r="O63" s="4" t="s">
        <v>188</v>
      </c>
      <c r="P63" s="11">
        <v>0.0</v>
      </c>
      <c r="Q63" s="15">
        <v>0.0</v>
      </c>
      <c r="R63" s="22">
        <v>1.0</v>
      </c>
      <c r="S63">
        <f t="shared" si="1"/>
        <v>2016</v>
      </c>
      <c r="T63">
        <f t="shared" si="2"/>
        <v>4</v>
      </c>
      <c r="AF63" s="18"/>
      <c r="AG63" s="19"/>
      <c r="AL63" s="18"/>
      <c r="AM63" s="19"/>
    </row>
    <row r="64">
      <c r="A64" s="4" t="s">
        <v>343</v>
      </c>
      <c r="B64" s="10">
        <v>42473.0</v>
      </c>
      <c r="C64" s="11" t="s">
        <v>142</v>
      </c>
      <c r="D64" s="11" t="s">
        <v>151</v>
      </c>
      <c r="E64" s="11" t="s">
        <v>52</v>
      </c>
      <c r="F64" s="11" t="s">
        <v>53</v>
      </c>
      <c r="G64" s="11" t="s">
        <v>54</v>
      </c>
      <c r="H64" s="11" t="s">
        <v>344</v>
      </c>
      <c r="I64" s="11" t="s">
        <v>345</v>
      </c>
      <c r="J64" s="11">
        <v>21.0</v>
      </c>
      <c r="K64" s="14"/>
      <c r="L64" s="14"/>
      <c r="M64" s="11">
        <v>670165.0</v>
      </c>
      <c r="N64" s="11"/>
      <c r="O64" s="4"/>
      <c r="P64" s="11">
        <v>0.0</v>
      </c>
      <c r="Q64" s="15">
        <v>0.0</v>
      </c>
      <c r="R64" s="22">
        <v>1.0</v>
      </c>
      <c r="S64">
        <f t="shared" si="1"/>
        <v>2016</v>
      </c>
      <c r="T64">
        <f t="shared" si="2"/>
        <v>4</v>
      </c>
      <c r="AF64" s="18"/>
      <c r="AG64" s="19"/>
      <c r="AL64" s="18"/>
      <c r="AM64" s="19"/>
    </row>
    <row r="65">
      <c r="A65" s="4" t="s">
        <v>346</v>
      </c>
      <c r="B65" s="10">
        <v>42473.0</v>
      </c>
      <c r="C65" s="11" t="s">
        <v>156</v>
      </c>
      <c r="D65" s="11" t="s">
        <v>82</v>
      </c>
      <c r="E65" s="11" t="s">
        <v>52</v>
      </c>
      <c r="F65" s="11" t="s">
        <v>76</v>
      </c>
      <c r="G65" s="11" t="s">
        <v>54</v>
      </c>
      <c r="H65" s="11" t="s">
        <v>251</v>
      </c>
      <c r="I65" s="11" t="s">
        <v>251</v>
      </c>
      <c r="J65" s="11">
        <v>25.0</v>
      </c>
      <c r="K65" s="14"/>
      <c r="L65" s="14"/>
      <c r="M65" s="11">
        <v>622223.0</v>
      </c>
      <c r="N65" s="11" t="s">
        <v>347</v>
      </c>
      <c r="O65" s="4" t="s">
        <v>59</v>
      </c>
      <c r="P65" s="11">
        <v>0.0</v>
      </c>
      <c r="Q65" s="15">
        <v>0.0</v>
      </c>
      <c r="R65" s="22">
        <v>1.0</v>
      </c>
      <c r="S65">
        <f t="shared" si="1"/>
        <v>2016</v>
      </c>
      <c r="T65">
        <f t="shared" si="2"/>
        <v>4</v>
      </c>
      <c r="AF65" s="18"/>
      <c r="AG65" s="19"/>
      <c r="AL65" s="18"/>
      <c r="AM65" s="19"/>
    </row>
    <row r="66">
      <c r="A66" s="4" t="s">
        <v>348</v>
      </c>
      <c r="B66" s="10">
        <v>42472.0</v>
      </c>
      <c r="C66" s="11" t="s">
        <v>97</v>
      </c>
      <c r="D66" s="11" t="s">
        <v>51</v>
      </c>
      <c r="E66" s="11" t="s">
        <v>52</v>
      </c>
      <c r="F66" s="11" t="s">
        <v>76</v>
      </c>
      <c r="G66" s="11" t="s">
        <v>265</v>
      </c>
      <c r="H66" s="11"/>
      <c r="I66" s="11"/>
      <c r="J66" s="11">
        <v>28.0</v>
      </c>
      <c r="K66" s="14"/>
      <c r="L66" s="14"/>
      <c r="M66" s="11">
        <v>467094.0</v>
      </c>
      <c r="N66" s="11">
        <v>1478.0</v>
      </c>
      <c r="O66" s="4" t="s">
        <v>224</v>
      </c>
      <c r="P66" s="11">
        <v>0.0</v>
      </c>
      <c r="Q66" s="15">
        <v>0.0</v>
      </c>
      <c r="R66" s="22">
        <v>1.0</v>
      </c>
      <c r="S66">
        <f t="shared" si="1"/>
        <v>2016</v>
      </c>
      <c r="T66">
        <f t="shared" si="2"/>
        <v>4</v>
      </c>
      <c r="U66" s="20">
        <v>42614.0</v>
      </c>
      <c r="AF66" s="18"/>
      <c r="AG66" s="19"/>
      <c r="AL66" s="18"/>
      <c r="AM66" s="19"/>
    </row>
    <row r="67">
      <c r="A67" s="4" t="s">
        <v>349</v>
      </c>
      <c r="B67" s="10">
        <v>42468.0</v>
      </c>
      <c r="C67" s="11" t="s">
        <v>350</v>
      </c>
      <c r="D67" s="11" t="s">
        <v>51</v>
      </c>
      <c r="E67" s="11" t="s">
        <v>52</v>
      </c>
      <c r="F67" s="11" t="s">
        <v>76</v>
      </c>
      <c r="G67" s="11" t="s">
        <v>54</v>
      </c>
      <c r="H67" s="11" t="s">
        <v>92</v>
      </c>
      <c r="I67" s="11" t="s">
        <v>351</v>
      </c>
      <c r="J67" s="11">
        <v>33.0</v>
      </c>
      <c r="K67" s="14"/>
      <c r="L67" s="14"/>
      <c r="M67" s="11">
        <v>448159.0</v>
      </c>
      <c r="N67" s="11">
        <v>4279.0</v>
      </c>
      <c r="O67" s="4" t="s">
        <v>188</v>
      </c>
      <c r="P67" s="11">
        <v>0.0</v>
      </c>
      <c r="Q67" s="15">
        <v>0.0</v>
      </c>
      <c r="R67" s="22">
        <v>1.0</v>
      </c>
      <c r="S67">
        <f t="shared" si="1"/>
        <v>2016</v>
      </c>
      <c r="T67">
        <f t="shared" si="2"/>
        <v>4</v>
      </c>
      <c r="AF67" s="18"/>
      <c r="AG67" s="19"/>
      <c r="AL67" s="18"/>
      <c r="AM67" s="19"/>
    </row>
    <row r="68">
      <c r="A68" s="4" t="s">
        <v>352</v>
      </c>
      <c r="B68" s="10">
        <v>42466.0</v>
      </c>
      <c r="C68" s="11" t="s">
        <v>331</v>
      </c>
      <c r="D68" s="11" t="s">
        <v>124</v>
      </c>
      <c r="E68" s="11" t="s">
        <v>52</v>
      </c>
      <c r="F68" s="11" t="s">
        <v>53</v>
      </c>
      <c r="G68" s="11" t="s">
        <v>54</v>
      </c>
      <c r="H68" s="11" t="s">
        <v>157</v>
      </c>
      <c r="I68" s="11"/>
      <c r="J68" s="11">
        <v>20.0</v>
      </c>
      <c r="K68" s="14"/>
      <c r="L68" s="14"/>
      <c r="M68" s="11">
        <v>656626.0</v>
      </c>
      <c r="N68" s="11" t="s">
        <v>353</v>
      </c>
      <c r="O68" s="4" t="s">
        <v>287</v>
      </c>
      <c r="P68" s="11">
        <v>0.0</v>
      </c>
      <c r="Q68" s="15">
        <v>0.0</v>
      </c>
      <c r="R68" s="22">
        <v>1.0</v>
      </c>
      <c r="S68">
        <f t="shared" si="1"/>
        <v>2016</v>
      </c>
      <c r="T68">
        <f t="shared" si="2"/>
        <v>4</v>
      </c>
      <c r="AF68" s="18"/>
      <c r="AG68" s="19"/>
      <c r="AL68" s="18"/>
      <c r="AM68" s="19"/>
    </row>
    <row r="69">
      <c r="A69" s="4" t="s">
        <v>355</v>
      </c>
      <c r="B69" s="10">
        <v>42461.0</v>
      </c>
      <c r="C69" s="11" t="s">
        <v>350</v>
      </c>
      <c r="D69" s="11" t="s">
        <v>75</v>
      </c>
      <c r="E69" s="11" t="s">
        <v>52</v>
      </c>
      <c r="F69" s="11" t="s">
        <v>53</v>
      </c>
      <c r="G69" s="11" t="s">
        <v>83</v>
      </c>
      <c r="H69" s="11"/>
      <c r="I69" s="11"/>
      <c r="J69" s="11">
        <v>27.0</v>
      </c>
      <c r="K69" s="14"/>
      <c r="L69" s="14"/>
      <c r="M69" s="11">
        <v>570233.0</v>
      </c>
      <c r="N69" s="11" t="s">
        <v>359</v>
      </c>
      <c r="O69" s="4"/>
      <c r="P69" s="11">
        <v>0.0</v>
      </c>
      <c r="Q69" s="15">
        <v>0.0</v>
      </c>
      <c r="R69" s="22">
        <v>1.0</v>
      </c>
      <c r="S69">
        <f t="shared" si="1"/>
        <v>2016</v>
      </c>
      <c r="T69">
        <f t="shared" si="2"/>
        <v>4</v>
      </c>
      <c r="AF69" s="18"/>
      <c r="AG69" s="19"/>
      <c r="AL69" s="18"/>
      <c r="AM69" s="19"/>
    </row>
    <row r="70">
      <c r="A70" s="4" t="s">
        <v>361</v>
      </c>
      <c r="B70" s="10">
        <v>42461.0</v>
      </c>
      <c r="C70" s="11" t="s">
        <v>350</v>
      </c>
      <c r="D70" s="11" t="s">
        <v>124</v>
      </c>
      <c r="E70" s="11" t="s">
        <v>264</v>
      </c>
      <c r="F70" s="11" t="s">
        <v>53</v>
      </c>
      <c r="G70" s="11" t="s">
        <v>54</v>
      </c>
      <c r="H70" s="11" t="s">
        <v>153</v>
      </c>
      <c r="I70" s="11" t="s">
        <v>363</v>
      </c>
      <c r="J70" s="11">
        <v>23.0</v>
      </c>
      <c r="K70" s="14"/>
      <c r="L70" s="14"/>
      <c r="M70" s="11">
        <v>642005.0</v>
      </c>
      <c r="N70" s="11" t="s">
        <v>364</v>
      </c>
      <c r="O70" s="4"/>
      <c r="P70" s="11">
        <v>0.0</v>
      </c>
      <c r="Q70" s="15">
        <v>0.0</v>
      </c>
      <c r="R70" s="22">
        <v>1.0</v>
      </c>
      <c r="S70">
        <f t="shared" si="1"/>
        <v>2016</v>
      </c>
      <c r="T70">
        <f t="shared" si="2"/>
        <v>4</v>
      </c>
      <c r="AF70" s="18"/>
      <c r="AG70" s="19"/>
      <c r="AL70" s="18"/>
      <c r="AM70" s="19"/>
    </row>
    <row r="71">
      <c r="A71" s="4" t="s">
        <v>365</v>
      </c>
      <c r="B71" s="10">
        <v>42461.0</v>
      </c>
      <c r="C71" s="11" t="s">
        <v>169</v>
      </c>
      <c r="D71" s="11" t="s">
        <v>82</v>
      </c>
      <c r="E71" s="11" t="s">
        <v>52</v>
      </c>
      <c r="F71" s="11" t="s">
        <v>53</v>
      </c>
      <c r="G71" s="11" t="s">
        <v>54</v>
      </c>
      <c r="H71" s="11" t="s">
        <v>308</v>
      </c>
      <c r="I71" s="11" t="s">
        <v>366</v>
      </c>
      <c r="J71" s="11">
        <v>26.0</v>
      </c>
      <c r="K71" s="14"/>
      <c r="L71" s="14"/>
      <c r="M71" s="11">
        <v>605334.0</v>
      </c>
      <c r="N71" s="11" t="s">
        <v>367</v>
      </c>
      <c r="O71" s="4"/>
      <c r="P71" s="11">
        <v>0.0</v>
      </c>
      <c r="Q71" s="15">
        <v>0.0</v>
      </c>
      <c r="R71" s="22">
        <v>1.0</v>
      </c>
      <c r="S71">
        <f t="shared" si="1"/>
        <v>2016</v>
      </c>
      <c r="T71">
        <f t="shared" si="2"/>
        <v>4</v>
      </c>
      <c r="AF71" s="18"/>
      <c r="AG71" s="19"/>
      <c r="AL71" s="18"/>
      <c r="AM71" s="19"/>
    </row>
    <row r="72">
      <c r="A72" s="4" t="s">
        <v>368</v>
      </c>
      <c r="B72" s="10">
        <v>42461.0</v>
      </c>
      <c r="C72" s="11" t="s">
        <v>270</v>
      </c>
      <c r="D72" s="11" t="s">
        <v>91</v>
      </c>
      <c r="E72" s="11" t="s">
        <v>52</v>
      </c>
      <c r="F72" s="11" t="s">
        <v>76</v>
      </c>
      <c r="G72" s="11" t="s">
        <v>265</v>
      </c>
      <c r="H72" s="11"/>
      <c r="I72" s="11"/>
      <c r="J72" s="11">
        <v>20.0</v>
      </c>
      <c r="K72" s="14"/>
      <c r="L72" s="14"/>
      <c r="M72" s="11">
        <v>650864.0</v>
      </c>
      <c r="N72" s="11" t="s">
        <v>369</v>
      </c>
      <c r="O72" s="4"/>
      <c r="P72" s="11">
        <v>0.0</v>
      </c>
      <c r="Q72" s="15">
        <v>0.0</v>
      </c>
      <c r="R72" s="22">
        <v>1.0</v>
      </c>
      <c r="S72">
        <f t="shared" si="1"/>
        <v>2016</v>
      </c>
      <c r="T72">
        <f t="shared" si="2"/>
        <v>4</v>
      </c>
      <c r="AF72" s="18"/>
      <c r="AG72" s="19"/>
      <c r="AL72" s="18"/>
      <c r="AM72" s="19"/>
    </row>
    <row r="73">
      <c r="A73" s="4" t="s">
        <v>370</v>
      </c>
      <c r="B73" s="10">
        <v>42460.0</v>
      </c>
      <c r="C73" s="11" t="s">
        <v>156</v>
      </c>
      <c r="D73" s="11" t="s">
        <v>151</v>
      </c>
      <c r="E73" s="11" t="s">
        <v>52</v>
      </c>
      <c r="F73" s="11" t="s">
        <v>53</v>
      </c>
      <c r="G73" s="11" t="s">
        <v>54</v>
      </c>
      <c r="H73" s="11" t="s">
        <v>302</v>
      </c>
      <c r="I73" s="11" t="s">
        <v>371</v>
      </c>
      <c r="J73" s="11">
        <v>21.0</v>
      </c>
      <c r="K73" s="14"/>
      <c r="L73" s="14"/>
      <c r="M73" s="11">
        <v>642135.0</v>
      </c>
      <c r="N73" s="11"/>
      <c r="O73" s="4" t="s">
        <v>59</v>
      </c>
      <c r="P73" s="11">
        <v>0.0</v>
      </c>
      <c r="Q73" s="15">
        <v>0.0</v>
      </c>
      <c r="R73" s="22">
        <v>1.0</v>
      </c>
      <c r="S73">
        <f t="shared" si="1"/>
        <v>2016</v>
      </c>
      <c r="T73">
        <f t="shared" si="2"/>
        <v>3</v>
      </c>
      <c r="AF73" s="18"/>
      <c r="AG73" s="19"/>
      <c r="AL73" s="18"/>
      <c r="AM73" s="19"/>
    </row>
    <row r="74">
      <c r="A74" s="4" t="s">
        <v>372</v>
      </c>
      <c r="B74" s="10">
        <v>42454.0</v>
      </c>
      <c r="C74" s="11" t="s">
        <v>114</v>
      </c>
      <c r="D74" s="11" t="s">
        <v>91</v>
      </c>
      <c r="E74" s="11" t="s">
        <v>52</v>
      </c>
      <c r="F74" s="11" t="s">
        <v>53</v>
      </c>
      <c r="G74" s="11" t="s">
        <v>83</v>
      </c>
      <c r="H74" s="11"/>
      <c r="I74" s="11"/>
      <c r="J74" s="11">
        <v>22.0</v>
      </c>
      <c r="K74" s="14"/>
      <c r="L74" s="14"/>
      <c r="M74" s="11">
        <v>606471.0</v>
      </c>
      <c r="N74" s="11" t="s">
        <v>373</v>
      </c>
      <c r="O74" s="4"/>
      <c r="P74" s="11">
        <v>0.0</v>
      </c>
      <c r="Q74" s="15">
        <v>0.0</v>
      </c>
      <c r="R74" s="22">
        <v>1.0</v>
      </c>
      <c r="S74">
        <f t="shared" si="1"/>
        <v>2016</v>
      </c>
      <c r="T74">
        <f t="shared" si="2"/>
        <v>3</v>
      </c>
      <c r="AF74" s="18"/>
      <c r="AG74" s="19"/>
      <c r="AL74" s="18"/>
      <c r="AM74" s="19"/>
    </row>
    <row r="75">
      <c r="A75" s="4" t="s">
        <v>374</v>
      </c>
      <c r="B75" s="10">
        <v>42453.0</v>
      </c>
      <c r="C75" s="11" t="s">
        <v>138</v>
      </c>
      <c r="D75" s="11" t="s">
        <v>75</v>
      </c>
      <c r="E75" s="11" t="s">
        <v>52</v>
      </c>
      <c r="F75" s="11" t="s">
        <v>76</v>
      </c>
      <c r="G75" s="11" t="s">
        <v>54</v>
      </c>
      <c r="H75" s="11" t="s">
        <v>126</v>
      </c>
      <c r="I75" s="11"/>
      <c r="J75" s="11">
        <v>23.0</v>
      </c>
      <c r="K75" s="14"/>
      <c r="L75" s="14"/>
      <c r="M75" s="11">
        <v>607171.0</v>
      </c>
      <c r="N75" s="11" t="s">
        <v>375</v>
      </c>
      <c r="O75" s="4"/>
      <c r="P75" s="11">
        <v>0.0</v>
      </c>
      <c r="Q75" s="15">
        <v>0.0</v>
      </c>
      <c r="R75" s="22">
        <v>1.0</v>
      </c>
      <c r="S75">
        <f t="shared" si="1"/>
        <v>2016</v>
      </c>
      <c r="T75">
        <f t="shared" si="2"/>
        <v>3</v>
      </c>
      <c r="AF75" s="18"/>
      <c r="AG75" s="19"/>
      <c r="AL75" s="18"/>
      <c r="AM75" s="19"/>
    </row>
    <row r="76">
      <c r="A76" s="4" t="s">
        <v>376</v>
      </c>
      <c r="B76" s="10">
        <v>42452.0</v>
      </c>
      <c r="C76" s="11" t="s">
        <v>270</v>
      </c>
      <c r="D76" s="11" t="s">
        <v>110</v>
      </c>
      <c r="E76" s="11" t="s">
        <v>52</v>
      </c>
      <c r="F76" s="11" t="s">
        <v>53</v>
      </c>
      <c r="G76" s="11" t="s">
        <v>54</v>
      </c>
      <c r="H76" s="11" t="s">
        <v>344</v>
      </c>
      <c r="I76" s="11" t="s">
        <v>378</v>
      </c>
      <c r="J76" s="11">
        <v>25.0</v>
      </c>
      <c r="K76" s="14"/>
      <c r="L76" s="14"/>
      <c r="M76" s="11">
        <v>571687.0</v>
      </c>
      <c r="N76" s="11" t="s">
        <v>379</v>
      </c>
      <c r="O76" s="4"/>
      <c r="P76" s="11">
        <v>0.0</v>
      </c>
      <c r="Q76" s="15">
        <v>0.0</v>
      </c>
      <c r="R76" s="22">
        <v>1.0</v>
      </c>
      <c r="S76">
        <f t="shared" si="1"/>
        <v>2016</v>
      </c>
      <c r="T76">
        <f t="shared" si="2"/>
        <v>3</v>
      </c>
      <c r="AF76" s="18"/>
      <c r="AG76" s="19"/>
      <c r="AL76" s="18"/>
      <c r="AM76" s="19"/>
    </row>
    <row r="77">
      <c r="A77" s="4" t="s">
        <v>380</v>
      </c>
      <c r="B77" s="10">
        <v>42451.0</v>
      </c>
      <c r="C77" s="11" t="s">
        <v>74</v>
      </c>
      <c r="D77" s="11" t="s">
        <v>170</v>
      </c>
      <c r="E77" s="11" t="s">
        <v>52</v>
      </c>
      <c r="F77" s="11" t="s">
        <v>76</v>
      </c>
      <c r="G77" s="11" t="s">
        <v>54</v>
      </c>
      <c r="H77" s="11" t="s">
        <v>260</v>
      </c>
      <c r="I77" s="11"/>
      <c r="J77" s="11">
        <v>18.0</v>
      </c>
      <c r="K77" s="14"/>
      <c r="L77" s="14"/>
      <c r="M77" s="11"/>
      <c r="N77" s="11"/>
      <c r="O77" s="4" t="s">
        <v>59</v>
      </c>
      <c r="P77" s="11">
        <v>0.0</v>
      </c>
      <c r="Q77" s="15">
        <v>0.0</v>
      </c>
      <c r="R77" s="22">
        <v>1.0</v>
      </c>
      <c r="S77">
        <f t="shared" si="1"/>
        <v>2016</v>
      </c>
      <c r="T77">
        <f t="shared" si="2"/>
        <v>3</v>
      </c>
      <c r="AF77" s="18"/>
      <c r="AG77" s="19"/>
      <c r="AL77" s="18"/>
      <c r="AM77" s="19"/>
    </row>
    <row r="78">
      <c r="A78" s="4" t="s">
        <v>381</v>
      </c>
      <c r="B78" s="10">
        <v>42447.0</v>
      </c>
      <c r="C78" s="11" t="s">
        <v>382</v>
      </c>
      <c r="D78" s="11" t="s">
        <v>51</v>
      </c>
      <c r="E78" s="11" t="s">
        <v>52</v>
      </c>
      <c r="F78" s="11" t="s">
        <v>53</v>
      </c>
      <c r="G78" s="11" t="s">
        <v>265</v>
      </c>
      <c r="H78" s="11"/>
      <c r="I78" s="11"/>
      <c r="J78" s="11">
        <v>25.0</v>
      </c>
      <c r="K78" s="14"/>
      <c r="L78" s="14"/>
      <c r="M78" s="11">
        <v>545064.0</v>
      </c>
      <c r="N78" s="11">
        <v>12774.0</v>
      </c>
      <c r="O78" s="4" t="s">
        <v>383</v>
      </c>
      <c r="P78" s="11">
        <v>0.0</v>
      </c>
      <c r="Q78" s="15">
        <v>0.0</v>
      </c>
      <c r="R78" s="22">
        <v>1.0</v>
      </c>
      <c r="S78">
        <f t="shared" si="1"/>
        <v>2016</v>
      </c>
      <c r="T78">
        <f t="shared" si="2"/>
        <v>3</v>
      </c>
      <c r="AF78" s="18"/>
      <c r="AG78" s="19"/>
      <c r="AL78" s="18"/>
      <c r="AM78" s="19"/>
    </row>
    <row r="79">
      <c r="A79" s="4" t="s">
        <v>384</v>
      </c>
      <c r="B79" s="10">
        <v>42444.0</v>
      </c>
      <c r="C79" s="11" t="s">
        <v>119</v>
      </c>
      <c r="D79" s="11" t="s">
        <v>75</v>
      </c>
      <c r="E79" s="11" t="s">
        <v>52</v>
      </c>
      <c r="F79" s="11" t="s">
        <v>76</v>
      </c>
      <c r="G79" s="11" t="s">
        <v>54</v>
      </c>
      <c r="H79" s="11" t="s">
        <v>305</v>
      </c>
      <c r="I79" s="11"/>
      <c r="J79" s="11">
        <v>24.0</v>
      </c>
      <c r="K79" s="14"/>
      <c r="L79" s="14"/>
      <c r="M79" s="11">
        <v>592139.0</v>
      </c>
      <c r="N79" s="11" t="s">
        <v>385</v>
      </c>
      <c r="O79" s="4"/>
      <c r="P79" s="11">
        <v>0.0</v>
      </c>
      <c r="Q79" s="15">
        <v>0.0</v>
      </c>
      <c r="R79" s="22">
        <v>1.0</v>
      </c>
      <c r="S79">
        <f t="shared" si="1"/>
        <v>2016</v>
      </c>
      <c r="T79">
        <f t="shared" si="2"/>
        <v>3</v>
      </c>
      <c r="AF79" s="18"/>
      <c r="AG79" s="19"/>
      <c r="AL79" s="18"/>
      <c r="AM79" s="19"/>
    </row>
    <row r="80">
      <c r="A80" s="4" t="s">
        <v>203</v>
      </c>
      <c r="B80" s="10">
        <v>42439.0</v>
      </c>
      <c r="C80" s="11" t="s">
        <v>142</v>
      </c>
      <c r="D80" s="11" t="s">
        <v>51</v>
      </c>
      <c r="E80" s="11" t="s">
        <v>52</v>
      </c>
      <c r="F80" s="11" t="s">
        <v>76</v>
      </c>
      <c r="G80" s="11" t="s">
        <v>54</v>
      </c>
      <c r="H80" s="11" t="s">
        <v>157</v>
      </c>
      <c r="I80" s="11" t="s">
        <v>157</v>
      </c>
      <c r="J80" s="11">
        <v>26.0</v>
      </c>
      <c r="K80" s="14"/>
      <c r="L80" s="14"/>
      <c r="M80" s="11">
        <v>605374.0</v>
      </c>
      <c r="N80" s="11">
        <v>12870.0</v>
      </c>
      <c r="O80" s="4" t="s">
        <v>59</v>
      </c>
      <c r="P80" s="11">
        <v>0.0</v>
      </c>
      <c r="Q80" s="15">
        <v>0.0</v>
      </c>
      <c r="R80" s="22">
        <v>1.0</v>
      </c>
      <c r="S80">
        <f t="shared" si="1"/>
        <v>2016</v>
      </c>
      <c r="T80">
        <f t="shared" si="2"/>
        <v>3</v>
      </c>
      <c r="AF80" s="18"/>
      <c r="AG80" s="19"/>
      <c r="AL80" s="18"/>
      <c r="AM80" s="19"/>
    </row>
    <row r="81">
      <c r="A81" s="4" t="s">
        <v>388</v>
      </c>
      <c r="B81" s="10">
        <v>42437.0</v>
      </c>
      <c r="C81" s="11" t="s">
        <v>331</v>
      </c>
      <c r="D81" s="11" t="s">
        <v>51</v>
      </c>
      <c r="E81" s="11" t="s">
        <v>52</v>
      </c>
      <c r="F81" s="11" t="s">
        <v>53</v>
      </c>
      <c r="G81" s="11" t="s">
        <v>54</v>
      </c>
      <c r="H81" s="11" t="s">
        <v>211</v>
      </c>
      <c r="I81" s="11" t="s">
        <v>390</v>
      </c>
      <c r="J81" s="11">
        <v>25.0</v>
      </c>
      <c r="K81" s="14"/>
      <c r="L81" s="14"/>
      <c r="M81" s="11">
        <v>605169.0</v>
      </c>
      <c r="N81" s="11">
        <v>12803.0</v>
      </c>
      <c r="O81" s="4" t="s">
        <v>59</v>
      </c>
      <c r="P81" s="11">
        <v>0.0</v>
      </c>
      <c r="Q81" s="15">
        <v>0.0</v>
      </c>
      <c r="R81" s="22">
        <v>1.0</v>
      </c>
      <c r="S81">
        <f t="shared" si="1"/>
        <v>2016</v>
      </c>
      <c r="T81">
        <f t="shared" si="2"/>
        <v>3</v>
      </c>
      <c r="AF81" s="18"/>
      <c r="AG81" s="19"/>
      <c r="AL81" s="18"/>
      <c r="AM81" s="19"/>
    </row>
    <row r="82">
      <c r="A82" s="4" t="s">
        <v>391</v>
      </c>
      <c r="B82" s="10">
        <v>42370.0</v>
      </c>
      <c r="C82" s="11" t="s">
        <v>259</v>
      </c>
      <c r="D82" s="11" t="s">
        <v>75</v>
      </c>
      <c r="E82" s="11" t="s">
        <v>392</v>
      </c>
      <c r="F82" s="11" t="s">
        <v>53</v>
      </c>
      <c r="G82" s="11" t="s">
        <v>54</v>
      </c>
      <c r="H82" s="11" t="s">
        <v>153</v>
      </c>
      <c r="I82" s="11" t="s">
        <v>394</v>
      </c>
      <c r="J82" s="11">
        <v>30.0</v>
      </c>
      <c r="K82" s="14"/>
      <c r="L82" s="14"/>
      <c r="M82" s="11">
        <v>519107.0</v>
      </c>
      <c r="N82" s="11">
        <v>3972.0</v>
      </c>
      <c r="O82" s="4"/>
      <c r="P82" s="11">
        <v>0.0</v>
      </c>
      <c r="Q82" s="15">
        <v>0.0</v>
      </c>
      <c r="R82" s="22">
        <v>1.0</v>
      </c>
      <c r="S82">
        <f t="shared" si="1"/>
        <v>2016</v>
      </c>
      <c r="T82">
        <f t="shared" si="2"/>
        <v>1</v>
      </c>
      <c r="AF82" s="18"/>
      <c r="AG82" s="19"/>
      <c r="AL82" s="18"/>
      <c r="AM82" s="19"/>
    </row>
    <row r="83">
      <c r="A83" s="4" t="s">
        <v>396</v>
      </c>
      <c r="B83" s="10">
        <v>42370.0</v>
      </c>
      <c r="C83" s="11" t="s">
        <v>159</v>
      </c>
      <c r="D83" s="11" t="s">
        <v>110</v>
      </c>
      <c r="E83" s="11" t="s">
        <v>52</v>
      </c>
      <c r="F83" s="11" t="s">
        <v>53</v>
      </c>
      <c r="G83" s="11" t="s">
        <v>265</v>
      </c>
      <c r="H83" s="11"/>
      <c r="I83" s="11"/>
      <c r="J83" s="11">
        <v>22.0</v>
      </c>
      <c r="K83" s="14"/>
      <c r="L83" s="14"/>
      <c r="M83" s="11">
        <v>591611.0</v>
      </c>
      <c r="N83" s="11" t="s">
        <v>397</v>
      </c>
      <c r="O83" s="4"/>
      <c r="P83" s="11">
        <v>0.0</v>
      </c>
      <c r="Q83" s="15">
        <v>0.0</v>
      </c>
      <c r="R83" s="11">
        <v>1.0</v>
      </c>
      <c r="S83">
        <f t="shared" si="1"/>
        <v>2016</v>
      </c>
      <c r="T83">
        <f t="shared" si="2"/>
        <v>1</v>
      </c>
      <c r="AF83" s="18"/>
      <c r="AG83" s="19"/>
      <c r="AL83" s="18"/>
      <c r="AM83" s="19"/>
    </row>
    <row r="84">
      <c r="A84" s="4" t="s">
        <v>398</v>
      </c>
      <c r="B84" s="10">
        <v>42370.0</v>
      </c>
      <c r="C84" s="11" t="s">
        <v>114</v>
      </c>
      <c r="D84" s="11" t="s">
        <v>91</v>
      </c>
      <c r="E84" s="11" t="s">
        <v>52</v>
      </c>
      <c r="F84" s="11" t="s">
        <v>53</v>
      </c>
      <c r="G84" s="11" t="s">
        <v>399</v>
      </c>
      <c r="H84" s="11"/>
      <c r="I84" s="11"/>
      <c r="J84" s="11">
        <v>19.0</v>
      </c>
      <c r="K84" s="14"/>
      <c r="L84" s="14"/>
      <c r="M84" s="11">
        <v>650690.0</v>
      </c>
      <c r="N84" s="11" t="s">
        <v>400</v>
      </c>
      <c r="O84" s="4"/>
      <c r="P84" s="11">
        <v>0.0</v>
      </c>
      <c r="Q84" s="15">
        <v>0.0</v>
      </c>
      <c r="R84" s="22">
        <v>1.0</v>
      </c>
      <c r="S84">
        <f t="shared" si="1"/>
        <v>2016</v>
      </c>
      <c r="T84">
        <f t="shared" si="2"/>
        <v>1</v>
      </c>
      <c r="AF84" s="18"/>
      <c r="AG84" s="19"/>
      <c r="AL84" s="18"/>
      <c r="AM84" s="19"/>
    </row>
    <row r="85">
      <c r="A85" s="4" t="s">
        <v>401</v>
      </c>
      <c r="B85" s="10">
        <v>42370.0</v>
      </c>
      <c r="C85" s="11" t="s">
        <v>138</v>
      </c>
      <c r="D85" s="11" t="s">
        <v>210</v>
      </c>
      <c r="E85" s="11" t="s">
        <v>52</v>
      </c>
      <c r="F85" s="11" t="s">
        <v>53</v>
      </c>
      <c r="G85" s="11" t="s">
        <v>54</v>
      </c>
      <c r="H85" s="11" t="s">
        <v>218</v>
      </c>
      <c r="I85" s="11"/>
      <c r="J85" s="11">
        <v>22.0</v>
      </c>
      <c r="K85" s="14"/>
      <c r="L85" s="14"/>
      <c r="M85" s="11">
        <v>544621.0</v>
      </c>
      <c r="N85" s="11" t="s">
        <v>402</v>
      </c>
      <c r="O85" s="4"/>
      <c r="P85" s="11">
        <v>0.0</v>
      </c>
      <c r="Q85" s="15">
        <v>0.0</v>
      </c>
      <c r="R85" s="22">
        <v>1.0</v>
      </c>
      <c r="S85">
        <f t="shared" si="1"/>
        <v>2016</v>
      </c>
      <c r="T85">
        <f t="shared" si="2"/>
        <v>1</v>
      </c>
      <c r="AF85" s="18"/>
      <c r="AG85" s="19"/>
      <c r="AL85" s="18"/>
      <c r="AM85" s="19"/>
    </row>
    <row r="86">
      <c r="A86" s="4" t="s">
        <v>403</v>
      </c>
      <c r="B86" s="10">
        <v>42318.0</v>
      </c>
      <c r="C86" s="11" t="s">
        <v>156</v>
      </c>
      <c r="D86" s="11" t="s">
        <v>51</v>
      </c>
      <c r="E86" s="11" t="s">
        <v>52</v>
      </c>
      <c r="F86" s="11" t="s">
        <v>53</v>
      </c>
      <c r="G86" s="11" t="s">
        <v>54</v>
      </c>
      <c r="H86" s="11" t="s">
        <v>322</v>
      </c>
      <c r="I86" s="11" t="s">
        <v>197</v>
      </c>
      <c r="J86" s="11">
        <v>28.0</v>
      </c>
      <c r="K86" s="14"/>
      <c r="L86" s="14"/>
      <c r="M86" s="11">
        <v>458681.0</v>
      </c>
      <c r="N86" s="11">
        <v>2520.0</v>
      </c>
      <c r="O86" s="4" t="s">
        <v>404</v>
      </c>
      <c r="P86" s="11">
        <v>0.0</v>
      </c>
      <c r="Q86" s="15">
        <v>0.0</v>
      </c>
      <c r="R86" s="22">
        <v>1.0</v>
      </c>
      <c r="S86">
        <f t="shared" si="1"/>
        <v>2015</v>
      </c>
      <c r="T86">
        <f t="shared" si="2"/>
        <v>11</v>
      </c>
      <c r="Y86" s="20">
        <v>42597.0</v>
      </c>
      <c r="AF86" s="18"/>
      <c r="AG86" s="19"/>
      <c r="AL86" s="18"/>
      <c r="AM86" s="19"/>
    </row>
    <row r="87">
      <c r="A87" s="4" t="s">
        <v>405</v>
      </c>
      <c r="B87" s="10">
        <v>42298.0</v>
      </c>
      <c r="C87" s="11" t="s">
        <v>331</v>
      </c>
      <c r="D87" s="11" t="s">
        <v>124</v>
      </c>
      <c r="E87" s="11" t="s">
        <v>52</v>
      </c>
      <c r="F87" s="11" t="s">
        <v>53</v>
      </c>
      <c r="G87" s="11" t="s">
        <v>54</v>
      </c>
      <c r="H87" s="11" t="s">
        <v>218</v>
      </c>
      <c r="I87" s="11"/>
      <c r="J87" s="11">
        <v>23.0</v>
      </c>
      <c r="K87" s="14"/>
      <c r="L87" s="14"/>
      <c r="M87" s="11">
        <v>605285.0</v>
      </c>
      <c r="N87" s="11" t="s">
        <v>406</v>
      </c>
      <c r="O87" s="4"/>
      <c r="P87" s="11">
        <v>0.0</v>
      </c>
      <c r="Q87" s="15">
        <v>0.0</v>
      </c>
      <c r="R87" s="22">
        <v>1.0</v>
      </c>
      <c r="S87">
        <f t="shared" si="1"/>
        <v>2015</v>
      </c>
      <c r="T87">
        <f t="shared" si="2"/>
        <v>10</v>
      </c>
      <c r="AF87" s="18"/>
      <c r="AG87" s="19"/>
      <c r="AL87" s="18"/>
      <c r="AM87" s="19"/>
    </row>
    <row r="88">
      <c r="A88" s="4" t="s">
        <v>407</v>
      </c>
      <c r="B88" s="10">
        <v>42297.0</v>
      </c>
      <c r="C88" s="11" t="s">
        <v>109</v>
      </c>
      <c r="D88" s="11" t="s">
        <v>124</v>
      </c>
      <c r="E88" s="11" t="s">
        <v>52</v>
      </c>
      <c r="F88" s="11" t="s">
        <v>53</v>
      </c>
      <c r="G88" s="11" t="s">
        <v>54</v>
      </c>
      <c r="H88" s="11" t="s">
        <v>99</v>
      </c>
      <c r="I88" s="11" t="s">
        <v>408</v>
      </c>
      <c r="J88" s="11">
        <v>24.0</v>
      </c>
      <c r="K88" s="14"/>
      <c r="L88" s="14"/>
      <c r="M88" s="11">
        <v>643344.0</v>
      </c>
      <c r="N88" s="11" t="s">
        <v>410</v>
      </c>
      <c r="O88" s="4"/>
      <c r="P88" s="11">
        <v>0.0</v>
      </c>
      <c r="Q88" s="15">
        <v>0.0</v>
      </c>
      <c r="R88" s="22">
        <v>1.0</v>
      </c>
      <c r="S88">
        <f t="shared" si="1"/>
        <v>2015</v>
      </c>
      <c r="T88">
        <f t="shared" si="2"/>
        <v>10</v>
      </c>
      <c r="AF88" s="18"/>
      <c r="AG88" s="19"/>
      <c r="AL88" s="18"/>
      <c r="AM88" s="19"/>
    </row>
    <row r="89">
      <c r="A89" s="4" t="s">
        <v>411</v>
      </c>
      <c r="B89" s="10">
        <v>42291.0</v>
      </c>
      <c r="C89" s="11" t="s">
        <v>103</v>
      </c>
      <c r="D89" s="11" t="s">
        <v>75</v>
      </c>
      <c r="E89" s="11" t="s">
        <v>52</v>
      </c>
      <c r="F89" s="11" t="s">
        <v>76</v>
      </c>
      <c r="G89" s="11" t="s">
        <v>54</v>
      </c>
      <c r="H89" s="11" t="s">
        <v>412</v>
      </c>
      <c r="I89" s="11"/>
      <c r="J89" s="11">
        <v>23.0</v>
      </c>
      <c r="K89" s="14"/>
      <c r="L89" s="14"/>
      <c r="M89" s="11">
        <v>592145.0</v>
      </c>
      <c r="N89" s="11" t="s">
        <v>413</v>
      </c>
      <c r="O89" s="4" t="s">
        <v>414</v>
      </c>
      <c r="P89" s="11">
        <v>0.0</v>
      </c>
      <c r="Q89" s="15">
        <v>0.0</v>
      </c>
      <c r="R89" s="22">
        <v>1.0</v>
      </c>
      <c r="S89">
        <f t="shared" si="1"/>
        <v>2015</v>
      </c>
      <c r="T89">
        <f t="shared" si="2"/>
        <v>10</v>
      </c>
      <c r="AF89" s="18"/>
      <c r="AG89" s="19"/>
      <c r="AL89" s="18"/>
      <c r="AM89" s="19"/>
    </row>
    <row r="90">
      <c r="A90" s="4" t="s">
        <v>415</v>
      </c>
      <c r="B90" s="10">
        <v>42285.0</v>
      </c>
      <c r="C90" s="11" t="s">
        <v>209</v>
      </c>
      <c r="D90" s="11" t="s">
        <v>82</v>
      </c>
      <c r="E90" s="11" t="s">
        <v>52</v>
      </c>
      <c r="F90" s="11" t="s">
        <v>53</v>
      </c>
      <c r="G90" s="11" t="s">
        <v>54</v>
      </c>
      <c r="H90" s="11" t="s">
        <v>251</v>
      </c>
      <c r="I90" s="11" t="s">
        <v>416</v>
      </c>
      <c r="J90" s="11">
        <v>23.0</v>
      </c>
      <c r="K90" s="14"/>
      <c r="L90" s="14"/>
      <c r="M90" s="11">
        <v>571858.0</v>
      </c>
      <c r="N90" s="11" t="s">
        <v>417</v>
      </c>
      <c r="O90" s="4" t="s">
        <v>59</v>
      </c>
      <c r="P90" s="11">
        <v>0.0</v>
      </c>
      <c r="Q90" s="15">
        <v>0.0</v>
      </c>
      <c r="R90" s="22">
        <v>1.0</v>
      </c>
      <c r="S90">
        <f t="shared" si="1"/>
        <v>2015</v>
      </c>
      <c r="T90">
        <f t="shared" si="2"/>
        <v>10</v>
      </c>
      <c r="AF90" s="18"/>
      <c r="AG90" s="19"/>
      <c r="AL90" s="18"/>
      <c r="AM90" s="19"/>
    </row>
    <row r="91">
      <c r="A91" s="4" t="s">
        <v>419</v>
      </c>
      <c r="B91" s="10">
        <v>42279.0</v>
      </c>
      <c r="C91" s="11" t="s">
        <v>229</v>
      </c>
      <c r="D91" s="11" t="s">
        <v>51</v>
      </c>
      <c r="E91" s="11" t="s">
        <v>52</v>
      </c>
      <c r="F91" s="11" t="s">
        <v>53</v>
      </c>
      <c r="G91" s="11" t="s">
        <v>54</v>
      </c>
      <c r="H91" s="11" t="s">
        <v>211</v>
      </c>
      <c r="I91" s="11" t="s">
        <v>420</v>
      </c>
      <c r="J91" s="11">
        <v>29.0</v>
      </c>
      <c r="K91" s="14"/>
      <c r="L91" s="14"/>
      <c r="M91" s="11">
        <v>518813.0</v>
      </c>
      <c r="N91" s="11">
        <v>7196.0</v>
      </c>
      <c r="O91" s="4" t="s">
        <v>188</v>
      </c>
      <c r="P91" s="11">
        <v>0.0</v>
      </c>
      <c r="Q91" s="15">
        <v>0.0</v>
      </c>
      <c r="R91" s="22">
        <v>1.0</v>
      </c>
      <c r="S91">
        <f t="shared" si="1"/>
        <v>2015</v>
      </c>
      <c r="T91">
        <f t="shared" si="2"/>
        <v>10</v>
      </c>
      <c r="U91" s="20">
        <v>42465.0</v>
      </c>
      <c r="AF91" s="18"/>
      <c r="AG91" s="19"/>
      <c r="AL91" s="18"/>
      <c r="AM91" s="19"/>
    </row>
    <row r="92">
      <c r="A92" s="4" t="s">
        <v>122</v>
      </c>
      <c r="B92" s="10">
        <v>42278.0</v>
      </c>
      <c r="C92" s="11" t="s">
        <v>125</v>
      </c>
      <c r="D92" s="11" t="s">
        <v>75</v>
      </c>
      <c r="E92" s="11" t="s">
        <v>52</v>
      </c>
      <c r="F92" s="11" t="s">
        <v>53</v>
      </c>
      <c r="G92" s="11" t="s">
        <v>54</v>
      </c>
      <c r="H92" s="11" t="s">
        <v>218</v>
      </c>
      <c r="I92" s="11" t="s">
        <v>422</v>
      </c>
      <c r="J92" s="11">
        <v>24.0</v>
      </c>
      <c r="K92" s="14"/>
      <c r="L92" s="14"/>
      <c r="M92" s="11">
        <v>594987.0</v>
      </c>
      <c r="N92" s="11">
        <v>11209.0</v>
      </c>
      <c r="O92" s="4"/>
      <c r="P92" s="11">
        <v>0.0</v>
      </c>
      <c r="Q92" s="15">
        <v>0.0</v>
      </c>
      <c r="R92" s="22">
        <v>1.0</v>
      </c>
      <c r="S92">
        <f t="shared" si="1"/>
        <v>2015</v>
      </c>
      <c r="T92">
        <f t="shared" si="2"/>
        <v>10</v>
      </c>
      <c r="AF92" s="18"/>
      <c r="AG92" s="19"/>
      <c r="AL92" s="18"/>
      <c r="AM92" s="19"/>
    </row>
    <row r="93">
      <c r="A93" s="4" t="s">
        <v>423</v>
      </c>
      <c r="B93" s="10">
        <v>42263.0</v>
      </c>
      <c r="C93" s="11" t="s">
        <v>270</v>
      </c>
      <c r="D93" s="11" t="s">
        <v>151</v>
      </c>
      <c r="E93" s="11" t="s">
        <v>52</v>
      </c>
      <c r="F93" s="11" t="s">
        <v>76</v>
      </c>
      <c r="G93" s="11" t="s">
        <v>54</v>
      </c>
      <c r="H93" s="11" t="s">
        <v>92</v>
      </c>
      <c r="I93" s="11" t="s">
        <v>425</v>
      </c>
      <c r="J93" s="11">
        <v>19.0</v>
      </c>
      <c r="K93" s="33">
        <v>42605.0</v>
      </c>
      <c r="L93" s="11">
        <f>ROUND(((K93-B93)/365)*12)</f>
        <v>11</v>
      </c>
      <c r="M93" s="11">
        <v>656203.0</v>
      </c>
      <c r="N93" s="11" t="s">
        <v>429</v>
      </c>
      <c r="O93" s="4"/>
      <c r="P93" s="11">
        <v>0.0</v>
      </c>
      <c r="Q93" s="15">
        <v>0.0</v>
      </c>
      <c r="R93" s="22">
        <v>1.0</v>
      </c>
      <c r="S93">
        <f t="shared" si="1"/>
        <v>2015</v>
      </c>
      <c r="T93">
        <f t="shared" si="2"/>
        <v>9</v>
      </c>
      <c r="AF93" s="18"/>
      <c r="AG93" s="19"/>
      <c r="AL93" s="18"/>
      <c r="AM93" s="19"/>
    </row>
    <row r="94">
      <c r="A94" s="4" t="s">
        <v>431</v>
      </c>
      <c r="B94" s="10">
        <v>42250.0</v>
      </c>
      <c r="C94" s="11" t="s">
        <v>74</v>
      </c>
      <c r="D94" s="11" t="s">
        <v>51</v>
      </c>
      <c r="E94" s="11" t="s">
        <v>52</v>
      </c>
      <c r="F94" s="11" t="s">
        <v>53</v>
      </c>
      <c r="G94" s="11" t="s">
        <v>54</v>
      </c>
      <c r="H94" s="11" t="s">
        <v>322</v>
      </c>
      <c r="I94" s="11" t="s">
        <v>432</v>
      </c>
      <c r="J94" s="11">
        <v>27.0</v>
      </c>
      <c r="K94" s="14"/>
      <c r="L94" s="14"/>
      <c r="M94" s="11">
        <v>502578.0</v>
      </c>
      <c r="N94" s="11">
        <v>11243.0</v>
      </c>
      <c r="O94" s="4" t="s">
        <v>59</v>
      </c>
      <c r="P94" s="11">
        <v>0.0</v>
      </c>
      <c r="Q94" s="15">
        <v>0.0</v>
      </c>
      <c r="R94" s="22">
        <v>1.0</v>
      </c>
      <c r="S94">
        <f t="shared" si="1"/>
        <v>2015</v>
      </c>
      <c r="T94">
        <f t="shared" si="2"/>
        <v>9</v>
      </c>
      <c r="U94" s="20">
        <v>42422.0</v>
      </c>
      <c r="Z94" s="20">
        <v>42348.0</v>
      </c>
      <c r="AA94" s="4" t="s">
        <v>433</v>
      </c>
      <c r="AB94" s="20">
        <v>42574.0</v>
      </c>
      <c r="AC94" s="4" t="s">
        <v>434</v>
      </c>
      <c r="AF94" s="18"/>
      <c r="AG94" s="19"/>
      <c r="AL94" s="18"/>
      <c r="AM94" s="19"/>
    </row>
    <row r="95">
      <c r="A95" s="4" t="s">
        <v>435</v>
      </c>
      <c r="B95" s="10">
        <v>42248.0</v>
      </c>
      <c r="C95" s="11" t="s">
        <v>169</v>
      </c>
      <c r="D95" s="11" t="s">
        <v>210</v>
      </c>
      <c r="E95" s="11" t="s">
        <v>264</v>
      </c>
      <c r="F95" s="11" t="s">
        <v>53</v>
      </c>
      <c r="G95" s="11" t="s">
        <v>436</v>
      </c>
      <c r="H95" s="11"/>
      <c r="I95" s="11"/>
      <c r="J95" s="11">
        <v>21.0</v>
      </c>
      <c r="K95" s="33">
        <v>42567.0</v>
      </c>
      <c r="L95" s="11">
        <f>ROUND(((K95-B95)/365)*12)</f>
        <v>10</v>
      </c>
      <c r="M95" s="11">
        <v>644375.0</v>
      </c>
      <c r="N95" s="11" t="s">
        <v>437</v>
      </c>
      <c r="O95" s="4"/>
      <c r="P95" s="11">
        <v>0.0</v>
      </c>
      <c r="Q95" s="15">
        <v>0.0</v>
      </c>
      <c r="R95" s="22">
        <v>1.0</v>
      </c>
      <c r="S95">
        <f t="shared" si="1"/>
        <v>2015</v>
      </c>
      <c r="T95">
        <f t="shared" si="2"/>
        <v>9</v>
      </c>
      <c r="AF95" s="18"/>
      <c r="AG95" s="19"/>
      <c r="AL95" s="18"/>
      <c r="AM95" s="19"/>
    </row>
    <row r="96">
      <c r="A96" s="4" t="s">
        <v>438</v>
      </c>
      <c r="B96" s="10">
        <v>42248.0</v>
      </c>
      <c r="C96" s="11" t="s">
        <v>142</v>
      </c>
      <c r="D96" s="11" t="s">
        <v>75</v>
      </c>
      <c r="E96" s="11" t="s">
        <v>52</v>
      </c>
      <c r="F96" s="11" t="s">
        <v>76</v>
      </c>
      <c r="G96" s="11" t="s">
        <v>54</v>
      </c>
      <c r="H96" s="11" t="s">
        <v>260</v>
      </c>
      <c r="I96" s="11" t="s">
        <v>260</v>
      </c>
      <c r="J96" s="11">
        <v>24.0</v>
      </c>
      <c r="K96" s="14"/>
      <c r="L96" s="14"/>
      <c r="M96" s="11">
        <v>572089.0</v>
      </c>
      <c r="N96" s="11">
        <v>13398.0</v>
      </c>
      <c r="O96" s="4"/>
      <c r="P96" s="11">
        <v>0.0</v>
      </c>
      <c r="Q96" s="15">
        <v>0.0</v>
      </c>
      <c r="R96" s="22">
        <v>1.0</v>
      </c>
      <c r="S96">
        <f t="shared" si="1"/>
        <v>2015</v>
      </c>
      <c r="T96">
        <f t="shared" si="2"/>
        <v>9</v>
      </c>
      <c r="AF96" s="18"/>
      <c r="AG96" s="19"/>
      <c r="AL96" s="18"/>
      <c r="AM96" s="19"/>
    </row>
    <row r="97">
      <c r="A97" s="4" t="s">
        <v>439</v>
      </c>
      <c r="B97" s="10">
        <v>42248.0</v>
      </c>
      <c r="C97" s="11" t="s">
        <v>114</v>
      </c>
      <c r="D97" s="11" t="s">
        <v>124</v>
      </c>
      <c r="E97" s="11" t="s">
        <v>52</v>
      </c>
      <c r="F97" s="11" t="s">
        <v>76</v>
      </c>
      <c r="G97" s="11" t="s">
        <v>54</v>
      </c>
      <c r="H97" s="11" t="s">
        <v>416</v>
      </c>
      <c r="I97" s="11" t="s">
        <v>416</v>
      </c>
      <c r="J97" s="11">
        <v>21.0</v>
      </c>
      <c r="K97" s="14"/>
      <c r="L97" s="14"/>
      <c r="M97" s="11">
        <v>621403.0</v>
      </c>
      <c r="N97" s="11" t="s">
        <v>440</v>
      </c>
      <c r="O97" s="4" t="s">
        <v>220</v>
      </c>
      <c r="P97" s="11">
        <v>0.0</v>
      </c>
      <c r="Q97" s="15">
        <v>0.0</v>
      </c>
      <c r="R97" s="22">
        <v>1.0</v>
      </c>
      <c r="S97">
        <f t="shared" si="1"/>
        <v>2015</v>
      </c>
      <c r="T97">
        <f t="shared" si="2"/>
        <v>9</v>
      </c>
      <c r="AF97" s="18"/>
      <c r="AG97" s="19"/>
      <c r="AL97" s="18"/>
      <c r="AM97" s="19"/>
    </row>
    <row r="98">
      <c r="A98" s="4" t="s">
        <v>441</v>
      </c>
      <c r="B98" s="10">
        <v>42248.0</v>
      </c>
      <c r="C98" s="11" t="s">
        <v>109</v>
      </c>
      <c r="D98" s="11" t="s">
        <v>110</v>
      </c>
      <c r="E98" s="11" t="s">
        <v>52</v>
      </c>
      <c r="F98" s="11" t="s">
        <v>53</v>
      </c>
      <c r="G98" s="11" t="s">
        <v>83</v>
      </c>
      <c r="H98" s="11"/>
      <c r="I98" s="11"/>
      <c r="J98" s="11">
        <v>20.0</v>
      </c>
      <c r="K98" s="14"/>
      <c r="L98" s="14"/>
      <c r="M98" s="11">
        <v>622506.0</v>
      </c>
      <c r="N98" s="11" t="s">
        <v>442</v>
      </c>
      <c r="O98" s="4"/>
      <c r="P98" s="11">
        <v>0.0</v>
      </c>
      <c r="Q98" s="15">
        <v>0.0</v>
      </c>
      <c r="R98" s="22">
        <v>1.0</v>
      </c>
      <c r="S98">
        <f t="shared" si="1"/>
        <v>2015</v>
      </c>
      <c r="T98">
        <f t="shared" si="2"/>
        <v>9</v>
      </c>
      <c r="AF98" s="18"/>
      <c r="AG98" s="19"/>
      <c r="AL98" s="18"/>
      <c r="AM98" s="19"/>
    </row>
    <row r="99">
      <c r="A99" s="4" t="s">
        <v>444</v>
      </c>
      <c r="B99" s="10">
        <v>42248.0</v>
      </c>
      <c r="C99" s="11" t="s">
        <v>125</v>
      </c>
      <c r="D99" s="11" t="s">
        <v>75</v>
      </c>
      <c r="E99" s="11" t="s">
        <v>52</v>
      </c>
      <c r="F99" s="11" t="s">
        <v>53</v>
      </c>
      <c r="G99" s="11" t="s">
        <v>83</v>
      </c>
      <c r="H99" s="11"/>
      <c r="I99" s="11"/>
      <c r="J99" s="11">
        <v>25.0</v>
      </c>
      <c r="K99" s="14"/>
      <c r="L99" s="14"/>
      <c r="M99" s="11">
        <v>605795.0</v>
      </c>
      <c r="N99" s="11" t="s">
        <v>445</v>
      </c>
      <c r="O99" s="4"/>
      <c r="P99" s="11">
        <v>0.0</v>
      </c>
      <c r="Q99" s="15">
        <v>0.0</v>
      </c>
      <c r="R99" s="22">
        <v>1.0</v>
      </c>
      <c r="S99">
        <f t="shared" si="1"/>
        <v>2015</v>
      </c>
      <c r="T99">
        <f t="shared" si="2"/>
        <v>9</v>
      </c>
      <c r="AF99" s="18"/>
      <c r="AG99" s="19"/>
      <c r="AL99" s="18"/>
      <c r="AM99" s="19"/>
    </row>
    <row r="100">
      <c r="A100" s="4" t="s">
        <v>446</v>
      </c>
      <c r="B100" s="10">
        <v>42248.0</v>
      </c>
      <c r="C100" s="11" t="s">
        <v>125</v>
      </c>
      <c r="D100" s="11" t="s">
        <v>170</v>
      </c>
      <c r="E100" s="11" t="s">
        <v>52</v>
      </c>
      <c r="F100" s="11" t="s">
        <v>53</v>
      </c>
      <c r="G100" s="11" t="s">
        <v>83</v>
      </c>
      <c r="H100" s="11"/>
      <c r="I100" s="11"/>
      <c r="J100" s="11">
        <v>17.0</v>
      </c>
      <c r="K100" s="14"/>
      <c r="L100" s="14"/>
      <c r="M100" s="11">
        <v>664328.0</v>
      </c>
      <c r="N100" s="11"/>
      <c r="O100" s="4"/>
      <c r="P100" s="11">
        <v>0.0</v>
      </c>
      <c r="Q100" s="15">
        <v>0.0</v>
      </c>
      <c r="R100" s="22">
        <v>1.0</v>
      </c>
      <c r="S100">
        <f t="shared" si="1"/>
        <v>2015</v>
      </c>
      <c r="T100">
        <f t="shared" si="2"/>
        <v>9</v>
      </c>
      <c r="AF100" s="18"/>
      <c r="AG100" s="19"/>
      <c r="AL100" s="18"/>
      <c r="AM100" s="19"/>
    </row>
    <row r="101">
      <c r="A101" s="4" t="s">
        <v>448</v>
      </c>
      <c r="B101" s="10">
        <v>42247.0</v>
      </c>
      <c r="C101" s="11" t="s">
        <v>109</v>
      </c>
      <c r="D101" s="11" t="s">
        <v>91</v>
      </c>
      <c r="E101" s="11" t="s">
        <v>52</v>
      </c>
      <c r="F101" s="11" t="s">
        <v>53</v>
      </c>
      <c r="G101" s="11" t="s">
        <v>54</v>
      </c>
      <c r="H101" s="11" t="s">
        <v>449</v>
      </c>
      <c r="I101" s="11" t="s">
        <v>450</v>
      </c>
      <c r="J101" s="11">
        <v>22.0</v>
      </c>
      <c r="K101" s="14"/>
      <c r="L101" s="14"/>
      <c r="M101" s="11">
        <v>607444.0</v>
      </c>
      <c r="N101" s="11" t="s">
        <v>451</v>
      </c>
      <c r="O101" s="4"/>
      <c r="P101" s="11">
        <v>0.0</v>
      </c>
      <c r="Q101" s="15">
        <v>0.0</v>
      </c>
      <c r="R101" s="22">
        <v>1.0</v>
      </c>
      <c r="S101">
        <f t="shared" si="1"/>
        <v>2015</v>
      </c>
      <c r="T101">
        <f t="shared" si="2"/>
        <v>8</v>
      </c>
      <c r="AF101" s="18"/>
      <c r="AG101" s="19"/>
      <c r="AL101" s="18"/>
      <c r="AM101" s="19"/>
    </row>
    <row r="102">
      <c r="A102" s="4" t="s">
        <v>453</v>
      </c>
      <c r="B102" s="10">
        <v>42243.0</v>
      </c>
      <c r="C102" s="11" t="s">
        <v>74</v>
      </c>
      <c r="D102" s="11" t="s">
        <v>210</v>
      </c>
      <c r="E102" s="11" t="s">
        <v>52</v>
      </c>
      <c r="F102" s="11" t="s">
        <v>53</v>
      </c>
      <c r="G102" s="11" t="s">
        <v>265</v>
      </c>
      <c r="H102" s="11"/>
      <c r="I102" s="11"/>
      <c r="J102" s="11">
        <v>23.0</v>
      </c>
      <c r="K102" s="33">
        <v>42601.0</v>
      </c>
      <c r="L102" s="11">
        <f>ROUND(((K102-B102)/365)*12)</f>
        <v>12</v>
      </c>
      <c r="M102" s="11">
        <v>625349.0</v>
      </c>
      <c r="N102" s="11" t="s">
        <v>455</v>
      </c>
      <c r="O102" s="4"/>
      <c r="P102" s="11">
        <v>0.0</v>
      </c>
      <c r="Q102" s="15">
        <v>0.0</v>
      </c>
      <c r="R102" s="22">
        <v>1.0</v>
      </c>
      <c r="S102">
        <f t="shared" si="1"/>
        <v>2015</v>
      </c>
      <c r="T102">
        <f t="shared" si="2"/>
        <v>8</v>
      </c>
      <c r="AF102" s="18"/>
      <c r="AG102" s="19"/>
      <c r="AL102" s="18"/>
      <c r="AM102" s="19"/>
    </row>
    <row r="103">
      <c r="A103" s="4" t="s">
        <v>456</v>
      </c>
      <c r="B103" s="10">
        <v>42240.0</v>
      </c>
      <c r="C103" s="11" t="s">
        <v>49</v>
      </c>
      <c r="D103" s="11" t="s">
        <v>82</v>
      </c>
      <c r="E103" s="11" t="s">
        <v>52</v>
      </c>
      <c r="F103" s="11" t="s">
        <v>53</v>
      </c>
      <c r="G103" s="11" t="s">
        <v>54</v>
      </c>
      <c r="H103" s="11" t="s">
        <v>92</v>
      </c>
      <c r="I103" s="11"/>
      <c r="J103" s="11">
        <v>24.0</v>
      </c>
      <c r="K103" s="14"/>
      <c r="L103" s="14"/>
      <c r="M103" s="11">
        <v>571982.0</v>
      </c>
      <c r="N103" s="11" t="s">
        <v>458</v>
      </c>
      <c r="O103" s="4"/>
      <c r="P103" s="11">
        <v>0.0</v>
      </c>
      <c r="Q103" s="15">
        <v>0.0</v>
      </c>
      <c r="R103" s="22">
        <v>1.0</v>
      </c>
      <c r="S103">
        <f t="shared" si="1"/>
        <v>2015</v>
      </c>
      <c r="T103">
        <f t="shared" si="2"/>
        <v>8</v>
      </c>
      <c r="AF103" s="18"/>
      <c r="AG103" s="19"/>
      <c r="AL103" s="18"/>
      <c r="AM103" s="19"/>
    </row>
    <row r="104">
      <c r="A104" s="4" t="s">
        <v>459</v>
      </c>
      <c r="B104" s="10">
        <v>42227.0</v>
      </c>
      <c r="C104" s="11" t="s">
        <v>259</v>
      </c>
      <c r="D104" s="11" t="s">
        <v>91</v>
      </c>
      <c r="E104" s="11" t="s">
        <v>52</v>
      </c>
      <c r="F104" s="11" t="s">
        <v>76</v>
      </c>
      <c r="G104" s="11" t="s">
        <v>54</v>
      </c>
      <c r="H104" s="11" t="s">
        <v>279</v>
      </c>
      <c r="I104" s="11" t="s">
        <v>302</v>
      </c>
      <c r="J104" s="11">
        <v>21.0</v>
      </c>
      <c r="K104" s="33">
        <v>42558.0</v>
      </c>
      <c r="L104" s="11">
        <f>ROUND(((K104-B104)/365)*12)</f>
        <v>11</v>
      </c>
      <c r="M104" s="11">
        <v>607481.0</v>
      </c>
      <c r="N104" s="11" t="s">
        <v>461</v>
      </c>
      <c r="O104" s="4"/>
      <c r="P104" s="11">
        <v>0.0</v>
      </c>
      <c r="Q104" s="15">
        <v>0.0</v>
      </c>
      <c r="R104" s="22">
        <v>1.0</v>
      </c>
      <c r="S104">
        <f t="shared" si="1"/>
        <v>2015</v>
      </c>
      <c r="T104">
        <f t="shared" si="2"/>
        <v>8</v>
      </c>
      <c r="AF104" s="18"/>
      <c r="AG104" s="19"/>
      <c r="AL104" s="18"/>
      <c r="AM104" s="19"/>
    </row>
    <row r="105">
      <c r="A105" s="4" t="s">
        <v>462</v>
      </c>
      <c r="B105" s="10">
        <v>42227.0</v>
      </c>
      <c r="C105" s="11" t="s">
        <v>114</v>
      </c>
      <c r="D105" s="11" t="s">
        <v>110</v>
      </c>
      <c r="E105" s="11" t="s">
        <v>52</v>
      </c>
      <c r="F105" s="11" t="s">
        <v>53</v>
      </c>
      <c r="G105" s="11" t="s">
        <v>54</v>
      </c>
      <c r="H105" s="11" t="s">
        <v>316</v>
      </c>
      <c r="I105" s="11" t="s">
        <v>463</v>
      </c>
      <c r="J105" s="11">
        <v>23.0</v>
      </c>
      <c r="K105" s="14"/>
      <c r="L105" s="14"/>
      <c r="M105" s="11">
        <v>592865.0</v>
      </c>
      <c r="N105" s="11" t="s">
        <v>464</v>
      </c>
      <c r="O105" s="4" t="s">
        <v>220</v>
      </c>
      <c r="P105" s="11">
        <v>0.0</v>
      </c>
      <c r="Q105" s="15">
        <v>0.0</v>
      </c>
      <c r="R105" s="22">
        <v>1.0</v>
      </c>
      <c r="S105">
        <f t="shared" si="1"/>
        <v>2015</v>
      </c>
      <c r="T105">
        <f t="shared" si="2"/>
        <v>8</v>
      </c>
      <c r="AF105" s="18"/>
      <c r="AG105" s="19"/>
      <c r="AL105" s="18"/>
      <c r="AM105" s="19"/>
    </row>
    <row r="106">
      <c r="A106" s="34" t="s">
        <v>467</v>
      </c>
      <c r="B106" s="35">
        <v>42221.0</v>
      </c>
      <c r="C106" s="36" t="s">
        <v>229</v>
      </c>
      <c r="D106" s="36" t="s">
        <v>51</v>
      </c>
      <c r="E106" s="36" t="s">
        <v>52</v>
      </c>
      <c r="F106" s="36" t="s">
        <v>76</v>
      </c>
      <c r="G106" s="36" t="s">
        <v>54</v>
      </c>
      <c r="H106" s="36" t="s">
        <v>92</v>
      </c>
      <c r="I106" s="36" t="s">
        <v>471</v>
      </c>
      <c r="J106" s="36">
        <v>32.0</v>
      </c>
      <c r="K106" s="37">
        <v>42630.0</v>
      </c>
      <c r="L106" s="11">
        <f t="shared" ref="L106:L107" si="3">ROUND(((K106-B106)/365)*12)</f>
        <v>13</v>
      </c>
      <c r="M106" s="36">
        <v>450306.0</v>
      </c>
      <c r="N106" s="36">
        <v>8044.0</v>
      </c>
      <c r="O106" s="34"/>
      <c r="P106" s="38">
        <v>3.0</v>
      </c>
      <c r="Q106" s="39">
        <v>12.0</v>
      </c>
      <c r="R106" s="36">
        <v>1.0</v>
      </c>
      <c r="S106" s="40">
        <f t="shared" si="1"/>
        <v>2015</v>
      </c>
      <c r="T106" s="40">
        <f t="shared" si="2"/>
        <v>8</v>
      </c>
      <c r="U106" s="41">
        <v>42384.0</v>
      </c>
      <c r="V106" s="42"/>
      <c r="W106" s="41">
        <v>42559.0</v>
      </c>
      <c r="X106" s="42"/>
      <c r="Y106" s="41">
        <v>42589.0</v>
      </c>
      <c r="Z106" s="42"/>
      <c r="AA106" s="42"/>
      <c r="AB106" s="42"/>
      <c r="AC106" s="42"/>
      <c r="AD106" s="42"/>
      <c r="AE106" s="42"/>
      <c r="AF106" s="43"/>
      <c r="AG106" s="44"/>
      <c r="AH106" s="42"/>
      <c r="AI106" s="42"/>
      <c r="AJ106" s="42"/>
      <c r="AK106" s="42"/>
      <c r="AL106" s="43"/>
      <c r="AM106" s="44"/>
      <c r="AN106" s="42"/>
      <c r="AO106" s="42"/>
    </row>
    <row r="107">
      <c r="A107" s="4" t="s">
        <v>475</v>
      </c>
      <c r="B107" s="10">
        <v>42221.0</v>
      </c>
      <c r="C107" s="11" t="s">
        <v>81</v>
      </c>
      <c r="D107" s="11" t="s">
        <v>151</v>
      </c>
      <c r="E107" s="11" t="s">
        <v>52</v>
      </c>
      <c r="F107" s="11" t="s">
        <v>53</v>
      </c>
      <c r="G107" s="11" t="s">
        <v>54</v>
      </c>
      <c r="H107" s="11" t="s">
        <v>476</v>
      </c>
      <c r="I107" s="11" t="s">
        <v>477</v>
      </c>
      <c r="J107" s="11">
        <v>20.0</v>
      </c>
      <c r="K107" s="33">
        <v>42605.0</v>
      </c>
      <c r="L107" s="11">
        <f t="shared" si="3"/>
        <v>13</v>
      </c>
      <c r="M107" s="11">
        <v>621111.0</v>
      </c>
      <c r="N107" s="11" t="s">
        <v>478</v>
      </c>
      <c r="O107" s="4" t="s">
        <v>188</v>
      </c>
      <c r="P107" s="11">
        <v>0.0</v>
      </c>
      <c r="Q107" s="15">
        <v>0.0</v>
      </c>
      <c r="R107" s="22">
        <v>1.0</v>
      </c>
      <c r="S107">
        <f t="shared" si="1"/>
        <v>2015</v>
      </c>
      <c r="T107">
        <f t="shared" si="2"/>
        <v>8</v>
      </c>
      <c r="AF107" s="18"/>
      <c r="AG107" s="19"/>
      <c r="AL107" s="18"/>
      <c r="AM107" s="19"/>
    </row>
    <row r="108">
      <c r="A108" s="4" t="s">
        <v>479</v>
      </c>
      <c r="B108" s="10">
        <v>42220.0</v>
      </c>
      <c r="C108" s="11" t="s">
        <v>119</v>
      </c>
      <c r="D108" s="11" t="s">
        <v>51</v>
      </c>
      <c r="E108" s="11" t="s">
        <v>52</v>
      </c>
      <c r="F108" s="11" t="s">
        <v>53</v>
      </c>
      <c r="G108" s="11" t="s">
        <v>54</v>
      </c>
      <c r="H108" s="11" t="s">
        <v>476</v>
      </c>
      <c r="I108" s="11"/>
      <c r="J108" s="11">
        <v>27.0</v>
      </c>
      <c r="K108" s="14"/>
      <c r="L108" s="14"/>
      <c r="M108" s="11">
        <v>502264.0</v>
      </c>
      <c r="N108" s="11">
        <v>3282.0</v>
      </c>
      <c r="O108" s="4" t="s">
        <v>224</v>
      </c>
      <c r="P108" s="11">
        <v>0.0</v>
      </c>
      <c r="Q108" s="15">
        <v>0.0</v>
      </c>
      <c r="R108" s="11">
        <v>1.0</v>
      </c>
      <c r="S108">
        <f t="shared" si="1"/>
        <v>2015</v>
      </c>
      <c r="T108">
        <f t="shared" si="2"/>
        <v>8</v>
      </c>
      <c r="AF108" s="18"/>
      <c r="AG108" s="19"/>
      <c r="AL108" s="18"/>
      <c r="AM108" s="19"/>
    </row>
    <row r="109">
      <c r="A109" s="4" t="s">
        <v>480</v>
      </c>
      <c r="B109" s="10">
        <v>42220.0</v>
      </c>
      <c r="C109" s="11" t="s">
        <v>119</v>
      </c>
      <c r="D109" s="11" t="s">
        <v>91</v>
      </c>
      <c r="E109" s="11" t="s">
        <v>264</v>
      </c>
      <c r="F109" s="11" t="s">
        <v>53</v>
      </c>
      <c r="G109" s="11" t="s">
        <v>312</v>
      </c>
      <c r="H109" s="11"/>
      <c r="I109" s="11"/>
      <c r="J109" s="11">
        <v>19.0</v>
      </c>
      <c r="K109" s="33">
        <v>42542.0</v>
      </c>
      <c r="L109" s="11">
        <f>ROUND(((K109-B109)/365)*12)</f>
        <v>11</v>
      </c>
      <c r="M109" s="11">
        <v>641797.0</v>
      </c>
      <c r="N109" s="11" t="s">
        <v>481</v>
      </c>
      <c r="O109" s="4"/>
      <c r="P109" s="11">
        <v>0.0</v>
      </c>
      <c r="Q109" s="15">
        <v>0.0</v>
      </c>
      <c r="R109" s="22">
        <v>1.0</v>
      </c>
      <c r="S109">
        <f t="shared" si="1"/>
        <v>2015</v>
      </c>
      <c r="T109">
        <f t="shared" si="2"/>
        <v>8</v>
      </c>
      <c r="AF109" s="18"/>
      <c r="AG109" s="19"/>
      <c r="AL109" s="18"/>
      <c r="AM109" s="19"/>
    </row>
    <row r="110">
      <c r="A110" s="4" t="s">
        <v>483</v>
      </c>
      <c r="B110" s="10">
        <v>42220.0</v>
      </c>
      <c r="C110" s="11" t="s">
        <v>125</v>
      </c>
      <c r="D110" s="11" t="s">
        <v>210</v>
      </c>
      <c r="E110" s="11" t="s">
        <v>52</v>
      </c>
      <c r="F110" s="11" t="s">
        <v>76</v>
      </c>
      <c r="G110" s="11" t="s">
        <v>83</v>
      </c>
      <c r="H110" s="11"/>
      <c r="I110" s="11"/>
      <c r="J110" s="11">
        <v>19.0</v>
      </c>
      <c r="K110" s="14"/>
      <c r="L110" s="14"/>
      <c r="M110" s="11">
        <v>642390.0</v>
      </c>
      <c r="N110" s="11" t="s">
        <v>486</v>
      </c>
      <c r="O110" s="4"/>
      <c r="P110" s="11">
        <v>0.0</v>
      </c>
      <c r="Q110" s="15">
        <v>0.0</v>
      </c>
      <c r="R110" s="22">
        <v>1.0</v>
      </c>
      <c r="S110">
        <f t="shared" si="1"/>
        <v>2015</v>
      </c>
      <c r="T110">
        <f t="shared" si="2"/>
        <v>8</v>
      </c>
      <c r="AF110" s="18"/>
      <c r="AG110" s="19"/>
      <c r="AL110" s="18"/>
      <c r="AM110" s="19"/>
    </row>
    <row r="111">
      <c r="A111" s="4" t="s">
        <v>487</v>
      </c>
      <c r="B111" s="10">
        <v>42217.0</v>
      </c>
      <c r="C111" s="11" t="s">
        <v>96</v>
      </c>
      <c r="D111" s="11" t="s">
        <v>210</v>
      </c>
      <c r="E111" s="11" t="s">
        <v>315</v>
      </c>
      <c r="F111" s="11" t="s">
        <v>53</v>
      </c>
      <c r="G111" s="11" t="s">
        <v>83</v>
      </c>
      <c r="H111" s="11"/>
      <c r="I111" s="11"/>
      <c r="J111" s="11">
        <v>19.0</v>
      </c>
      <c r="K111" s="33">
        <v>42521.0</v>
      </c>
      <c r="L111" s="11">
        <f>ROUND(((K111-B111)/365)*12)</f>
        <v>10</v>
      </c>
      <c r="M111" s="11">
        <v>642271.0</v>
      </c>
      <c r="N111" s="11" t="s">
        <v>490</v>
      </c>
      <c r="O111" s="4"/>
      <c r="P111" s="11">
        <v>0.0</v>
      </c>
      <c r="Q111" s="15">
        <v>0.0</v>
      </c>
      <c r="R111" s="22">
        <v>1.0</v>
      </c>
      <c r="S111">
        <f t="shared" si="1"/>
        <v>2015</v>
      </c>
      <c r="T111">
        <f t="shared" si="2"/>
        <v>8</v>
      </c>
      <c r="AF111" s="18"/>
      <c r="AG111" s="19"/>
      <c r="AL111" s="18"/>
      <c r="AM111" s="19"/>
    </row>
    <row r="112">
      <c r="A112" s="4" t="s">
        <v>491</v>
      </c>
      <c r="B112" s="10">
        <v>42217.0</v>
      </c>
      <c r="C112" s="11" t="s">
        <v>123</v>
      </c>
      <c r="D112" s="11" t="s">
        <v>91</v>
      </c>
      <c r="E112" s="11" t="s">
        <v>52</v>
      </c>
      <c r="F112" s="11" t="s">
        <v>53</v>
      </c>
      <c r="G112" s="11" t="s">
        <v>265</v>
      </c>
      <c r="H112" s="11"/>
      <c r="I112" s="11"/>
      <c r="J112" s="11">
        <v>16.0</v>
      </c>
      <c r="K112" s="14"/>
      <c r="L112" s="14"/>
      <c r="M112" s="11">
        <v>660813.0</v>
      </c>
      <c r="N112" s="11" t="s">
        <v>492</v>
      </c>
      <c r="O112" s="4"/>
      <c r="P112" s="11">
        <v>0.0</v>
      </c>
      <c r="Q112" s="15">
        <v>0.0</v>
      </c>
      <c r="R112" s="22">
        <v>1.0</v>
      </c>
      <c r="S112">
        <f t="shared" si="1"/>
        <v>2015</v>
      </c>
      <c r="T112">
        <f t="shared" si="2"/>
        <v>8</v>
      </c>
      <c r="AF112" s="18"/>
      <c r="AG112" s="19"/>
      <c r="AL112" s="18"/>
      <c r="AM112" s="19"/>
    </row>
    <row r="113">
      <c r="A113" s="4" t="s">
        <v>494</v>
      </c>
      <c r="B113" s="10">
        <v>42216.0</v>
      </c>
      <c r="C113" s="11" t="s">
        <v>109</v>
      </c>
      <c r="D113" s="11" t="s">
        <v>210</v>
      </c>
      <c r="E113" s="11" t="s">
        <v>52</v>
      </c>
      <c r="F113" s="11" t="s">
        <v>76</v>
      </c>
      <c r="G113" s="11" t="s">
        <v>54</v>
      </c>
      <c r="H113" s="11" t="s">
        <v>92</v>
      </c>
      <c r="I113" s="11"/>
      <c r="J113" s="11">
        <v>19.0</v>
      </c>
      <c r="K113" s="14"/>
      <c r="L113" s="14"/>
      <c r="M113" s="11">
        <v>642130.0</v>
      </c>
      <c r="N113" s="11" t="s">
        <v>495</v>
      </c>
      <c r="O113" s="4" t="s">
        <v>287</v>
      </c>
      <c r="P113" s="11">
        <v>0.0</v>
      </c>
      <c r="Q113" s="15">
        <v>0.0</v>
      </c>
      <c r="R113" s="22">
        <v>1.0</v>
      </c>
      <c r="S113">
        <f t="shared" si="1"/>
        <v>2015</v>
      </c>
      <c r="T113">
        <f t="shared" si="2"/>
        <v>7</v>
      </c>
      <c r="AF113" s="18"/>
      <c r="AG113" s="19"/>
      <c r="AL113" s="18"/>
      <c r="AM113" s="19"/>
    </row>
    <row r="114">
      <c r="A114" s="4" t="s">
        <v>496</v>
      </c>
      <c r="B114" s="10">
        <v>42215.0</v>
      </c>
      <c r="C114" s="11" t="s">
        <v>109</v>
      </c>
      <c r="D114" s="11" t="s">
        <v>51</v>
      </c>
      <c r="E114" s="11" t="s">
        <v>52</v>
      </c>
      <c r="F114" s="11" t="s">
        <v>76</v>
      </c>
      <c r="G114" s="11" t="s">
        <v>54</v>
      </c>
      <c r="H114" s="11" t="s">
        <v>337</v>
      </c>
      <c r="I114" s="11" t="s">
        <v>337</v>
      </c>
      <c r="J114" s="11">
        <v>24.0</v>
      </c>
      <c r="K114" s="14"/>
      <c r="L114" s="14"/>
      <c r="M114" s="11">
        <v>605333.0</v>
      </c>
      <c r="N114" s="11">
        <v>12562.0</v>
      </c>
      <c r="O114" s="4" t="s">
        <v>287</v>
      </c>
      <c r="P114" s="11">
        <v>0.0</v>
      </c>
      <c r="Q114" s="15">
        <v>0.0</v>
      </c>
      <c r="R114" s="22">
        <v>1.0</v>
      </c>
      <c r="S114">
        <f t="shared" si="1"/>
        <v>2015</v>
      </c>
      <c r="T114">
        <f t="shared" si="2"/>
        <v>7</v>
      </c>
      <c r="U114" s="20">
        <v>42350.0</v>
      </c>
      <c r="AF114" s="18"/>
      <c r="AG114" s="19"/>
      <c r="AL114" s="18"/>
      <c r="AM114" s="19"/>
    </row>
    <row r="115">
      <c r="A115" s="4" t="s">
        <v>497</v>
      </c>
      <c r="B115" s="10">
        <v>42215.0</v>
      </c>
      <c r="C115" s="11" t="s">
        <v>96</v>
      </c>
      <c r="D115" s="11" t="s">
        <v>170</v>
      </c>
      <c r="E115" s="11" t="s">
        <v>52</v>
      </c>
      <c r="F115" s="11" t="s">
        <v>53</v>
      </c>
      <c r="G115" s="11" t="s">
        <v>54</v>
      </c>
      <c r="H115" s="11" t="s">
        <v>153</v>
      </c>
      <c r="I115" s="11"/>
      <c r="J115" s="11">
        <v>18.0</v>
      </c>
      <c r="K115" s="33">
        <v>42587.0</v>
      </c>
      <c r="L115" s="11">
        <f>ROUND(((K115-B115)/365)*12)</f>
        <v>12</v>
      </c>
      <c r="M115" s="11">
        <v>663718.0</v>
      </c>
      <c r="N115" s="11" t="s">
        <v>498</v>
      </c>
      <c r="O115" s="4"/>
      <c r="P115" s="11">
        <v>0.0</v>
      </c>
      <c r="Q115" s="15">
        <v>0.0</v>
      </c>
      <c r="R115" s="22">
        <v>1.0</v>
      </c>
      <c r="S115">
        <f t="shared" si="1"/>
        <v>2015</v>
      </c>
      <c r="T115">
        <f t="shared" si="2"/>
        <v>7</v>
      </c>
      <c r="AF115" s="18"/>
      <c r="AG115" s="19"/>
      <c r="AL115" s="18"/>
      <c r="AM115" s="19"/>
    </row>
    <row r="116">
      <c r="A116" s="4" t="s">
        <v>499</v>
      </c>
      <c r="B116" s="10">
        <v>42214.0</v>
      </c>
      <c r="C116" s="11" t="s">
        <v>209</v>
      </c>
      <c r="D116" s="11" t="s">
        <v>124</v>
      </c>
      <c r="E116" s="11" t="s">
        <v>52</v>
      </c>
      <c r="F116" s="11" t="s">
        <v>76</v>
      </c>
      <c r="G116" s="11" t="s">
        <v>54</v>
      </c>
      <c r="H116" s="11" t="s">
        <v>344</v>
      </c>
      <c r="I116" s="11" t="s">
        <v>500</v>
      </c>
      <c r="J116" s="11">
        <v>22.0</v>
      </c>
      <c r="K116" s="14"/>
      <c r="L116" s="14"/>
      <c r="M116" s="11">
        <v>657058.0</v>
      </c>
      <c r="N116" s="11" t="s">
        <v>501</v>
      </c>
      <c r="O116" s="4"/>
      <c r="P116" s="11">
        <v>0.0</v>
      </c>
      <c r="Q116" s="15">
        <v>0.0</v>
      </c>
      <c r="R116" s="22">
        <v>1.0</v>
      </c>
      <c r="S116">
        <f t="shared" si="1"/>
        <v>2015</v>
      </c>
      <c r="T116">
        <f t="shared" si="2"/>
        <v>7</v>
      </c>
      <c r="AF116" s="18"/>
      <c r="AG116" s="19"/>
      <c r="AL116" s="18"/>
      <c r="AM116" s="19"/>
    </row>
    <row r="117">
      <c r="A117" s="4" t="s">
        <v>502</v>
      </c>
      <c r="B117" s="10">
        <v>42214.0</v>
      </c>
      <c r="C117" s="11" t="s">
        <v>130</v>
      </c>
      <c r="D117" s="11" t="s">
        <v>210</v>
      </c>
      <c r="E117" s="11" t="s">
        <v>52</v>
      </c>
      <c r="F117" s="11" t="s">
        <v>76</v>
      </c>
      <c r="G117" s="11" t="s">
        <v>54</v>
      </c>
      <c r="H117" s="11" t="s">
        <v>157</v>
      </c>
      <c r="I117" s="11" t="s">
        <v>503</v>
      </c>
      <c r="J117" s="11">
        <v>20.0</v>
      </c>
      <c r="K117" s="33">
        <v>42610.0</v>
      </c>
      <c r="L117" s="11">
        <f>ROUND(((K117-B117)/365)*12)</f>
        <v>13</v>
      </c>
      <c r="M117" s="11">
        <v>657671.0</v>
      </c>
      <c r="N117" s="11" t="s">
        <v>504</v>
      </c>
      <c r="O117" s="4"/>
      <c r="P117" s="11">
        <v>0.0</v>
      </c>
      <c r="Q117" s="15">
        <v>0.0</v>
      </c>
      <c r="R117" s="22">
        <v>1.0</v>
      </c>
      <c r="S117">
        <f t="shared" si="1"/>
        <v>2015</v>
      </c>
      <c r="T117">
        <f t="shared" si="2"/>
        <v>7</v>
      </c>
      <c r="Y117" s="20">
        <v>42581.0</v>
      </c>
      <c r="AF117" s="18"/>
      <c r="AG117" s="19"/>
      <c r="AL117" s="18"/>
      <c r="AM117" s="19"/>
    </row>
    <row r="118">
      <c r="A118" s="4" t="s">
        <v>505</v>
      </c>
      <c r="B118" s="10">
        <v>42208.0</v>
      </c>
      <c r="C118" s="11" t="s">
        <v>108</v>
      </c>
      <c r="D118" s="11" t="s">
        <v>124</v>
      </c>
      <c r="E118" s="11" t="s">
        <v>52</v>
      </c>
      <c r="F118" s="11" t="s">
        <v>76</v>
      </c>
      <c r="G118" s="11" t="s">
        <v>54</v>
      </c>
      <c r="H118" s="11" t="s">
        <v>92</v>
      </c>
      <c r="I118" s="11"/>
      <c r="J118" s="11">
        <v>20.0</v>
      </c>
      <c r="K118" s="14"/>
      <c r="L118" s="14"/>
      <c r="M118" s="11">
        <v>642196.0</v>
      </c>
      <c r="N118" s="11" t="s">
        <v>506</v>
      </c>
      <c r="O118" s="4" t="s">
        <v>507</v>
      </c>
      <c r="P118" s="11">
        <v>0.0</v>
      </c>
      <c r="Q118" s="15">
        <v>0.0</v>
      </c>
      <c r="R118" s="22">
        <v>1.0</v>
      </c>
      <c r="S118">
        <f t="shared" si="1"/>
        <v>2015</v>
      </c>
      <c r="T118">
        <f t="shared" si="2"/>
        <v>7</v>
      </c>
      <c r="AF118" s="18"/>
      <c r="AG118" s="19"/>
      <c r="AL118" s="18"/>
      <c r="AM118" s="19"/>
    </row>
    <row r="119">
      <c r="A119" s="4" t="s">
        <v>509</v>
      </c>
      <c r="B119" s="10">
        <v>42208.0</v>
      </c>
      <c r="C119" s="11" t="s">
        <v>130</v>
      </c>
      <c r="D119" s="11" t="s">
        <v>170</v>
      </c>
      <c r="E119" s="11" t="s">
        <v>264</v>
      </c>
      <c r="F119" s="11" t="s">
        <v>53</v>
      </c>
      <c r="G119" s="11" t="s">
        <v>54</v>
      </c>
      <c r="H119" s="11" t="s">
        <v>92</v>
      </c>
      <c r="I119" s="11"/>
      <c r="J119" s="11">
        <v>18.0</v>
      </c>
      <c r="K119" s="33">
        <v>42545.0</v>
      </c>
      <c r="L119" s="11">
        <f>ROUND(((K119-B119)/365)*12)</f>
        <v>11</v>
      </c>
      <c r="M119" s="11">
        <v>663341.0</v>
      </c>
      <c r="N119" s="11" t="s">
        <v>510</v>
      </c>
      <c r="O119" s="4" t="s">
        <v>59</v>
      </c>
      <c r="P119" s="11">
        <v>0.0</v>
      </c>
      <c r="Q119" s="15">
        <v>0.0</v>
      </c>
      <c r="R119" s="22">
        <v>1.0</v>
      </c>
      <c r="S119">
        <f t="shared" si="1"/>
        <v>2015</v>
      </c>
      <c r="T119">
        <f t="shared" si="2"/>
        <v>7</v>
      </c>
      <c r="AF119" s="18"/>
      <c r="AG119" s="19"/>
      <c r="AL119" s="18"/>
      <c r="AM119" s="19"/>
    </row>
    <row r="120">
      <c r="A120" s="4" t="s">
        <v>511</v>
      </c>
      <c r="B120" s="10">
        <v>42206.0</v>
      </c>
      <c r="C120" s="11" t="s">
        <v>119</v>
      </c>
      <c r="D120" s="11" t="s">
        <v>124</v>
      </c>
      <c r="E120" s="11" t="s">
        <v>52</v>
      </c>
      <c r="F120" s="11" t="s">
        <v>53</v>
      </c>
      <c r="G120" s="11" t="s">
        <v>54</v>
      </c>
      <c r="H120" s="11" t="s">
        <v>153</v>
      </c>
      <c r="I120" s="11"/>
      <c r="J120" s="11">
        <v>20.0</v>
      </c>
      <c r="K120" s="14"/>
      <c r="L120" s="14"/>
      <c r="M120" s="11">
        <v>641316.0</v>
      </c>
      <c r="N120" s="11" t="s">
        <v>512</v>
      </c>
      <c r="O120" s="4"/>
      <c r="P120" s="11">
        <v>0.0</v>
      </c>
      <c r="Q120" s="15">
        <v>0.0</v>
      </c>
      <c r="R120" s="11">
        <v>1.0</v>
      </c>
      <c r="S120">
        <f t="shared" si="1"/>
        <v>2015</v>
      </c>
      <c r="T120">
        <f t="shared" si="2"/>
        <v>7</v>
      </c>
      <c r="AF120" s="18"/>
      <c r="AG120" s="19"/>
      <c r="AL120" s="18"/>
      <c r="AM120" s="19"/>
    </row>
    <row r="121">
      <c r="A121" s="4" t="s">
        <v>513</v>
      </c>
      <c r="B121" s="10">
        <v>42201.0</v>
      </c>
      <c r="C121" s="11" t="s">
        <v>259</v>
      </c>
      <c r="D121" s="11" t="s">
        <v>151</v>
      </c>
      <c r="E121" s="11" t="s">
        <v>52</v>
      </c>
      <c r="F121" s="11" t="s">
        <v>53</v>
      </c>
      <c r="G121" s="11" t="s">
        <v>54</v>
      </c>
      <c r="H121" s="11" t="s">
        <v>344</v>
      </c>
      <c r="I121" s="11" t="s">
        <v>55</v>
      </c>
      <c r="J121" s="11">
        <v>21.0</v>
      </c>
      <c r="K121" s="14"/>
      <c r="L121" s="14"/>
      <c r="M121" s="11">
        <v>608341.0</v>
      </c>
      <c r="N121" s="11"/>
      <c r="O121" s="4"/>
      <c r="P121" s="11">
        <v>0.0</v>
      </c>
      <c r="Q121" s="15">
        <v>0.0</v>
      </c>
      <c r="R121" s="22">
        <v>1.0</v>
      </c>
      <c r="S121">
        <f t="shared" si="1"/>
        <v>2015</v>
      </c>
      <c r="T121">
        <f t="shared" si="2"/>
        <v>7</v>
      </c>
      <c r="AF121" s="18"/>
      <c r="AG121" s="19"/>
      <c r="AL121" s="18"/>
      <c r="AM121" s="19"/>
    </row>
    <row r="122">
      <c r="A122" s="4" t="s">
        <v>517</v>
      </c>
      <c r="B122" s="10">
        <v>42200.0</v>
      </c>
      <c r="C122" s="11" t="s">
        <v>259</v>
      </c>
      <c r="D122" s="11" t="s">
        <v>91</v>
      </c>
      <c r="E122" s="11" t="s">
        <v>52</v>
      </c>
      <c r="F122" s="11" t="s">
        <v>53</v>
      </c>
      <c r="G122" s="11" t="s">
        <v>54</v>
      </c>
      <c r="H122" s="11" t="s">
        <v>92</v>
      </c>
      <c r="I122" s="11" t="s">
        <v>518</v>
      </c>
      <c r="J122" s="11">
        <v>24.0</v>
      </c>
      <c r="K122" s="13">
        <v>42585.0</v>
      </c>
      <c r="L122" s="11">
        <f>ROUND(((K122-B122)/365)*12)</f>
        <v>13</v>
      </c>
      <c r="M122" s="11">
        <v>657596.0</v>
      </c>
      <c r="N122" s="11" t="s">
        <v>520</v>
      </c>
      <c r="O122" s="4"/>
      <c r="P122" s="11">
        <v>0.0</v>
      </c>
      <c r="Q122" s="15">
        <v>0.0</v>
      </c>
      <c r="R122" s="22">
        <v>1.0</v>
      </c>
      <c r="S122">
        <f t="shared" si="1"/>
        <v>2015</v>
      </c>
      <c r="T122">
        <f t="shared" si="2"/>
        <v>7</v>
      </c>
      <c r="AF122" s="18"/>
      <c r="AG122" s="19"/>
      <c r="AL122" s="18"/>
      <c r="AM122" s="19"/>
    </row>
    <row r="123">
      <c r="A123" s="4" t="s">
        <v>521</v>
      </c>
      <c r="B123" s="10">
        <v>42200.0</v>
      </c>
      <c r="C123" s="11" t="s">
        <v>108</v>
      </c>
      <c r="D123" s="11" t="s">
        <v>110</v>
      </c>
      <c r="E123" s="11" t="s">
        <v>52</v>
      </c>
      <c r="F123" s="11" t="s">
        <v>53</v>
      </c>
      <c r="G123" s="11" t="s">
        <v>54</v>
      </c>
      <c r="H123" s="11" t="s">
        <v>157</v>
      </c>
      <c r="I123" s="11" t="s">
        <v>522</v>
      </c>
      <c r="J123" s="11">
        <v>25.0</v>
      </c>
      <c r="K123" s="13"/>
      <c r="L123" s="14"/>
      <c r="M123" s="11">
        <v>643546.0</v>
      </c>
      <c r="N123" s="11" t="s">
        <v>523</v>
      </c>
      <c r="O123" s="4" t="s">
        <v>177</v>
      </c>
      <c r="P123" s="11">
        <v>0.0</v>
      </c>
      <c r="Q123" s="15">
        <v>0.0</v>
      </c>
      <c r="R123" s="22">
        <v>1.0</v>
      </c>
      <c r="S123">
        <f t="shared" si="1"/>
        <v>2015</v>
      </c>
      <c r="T123">
        <f t="shared" si="2"/>
        <v>7</v>
      </c>
      <c r="AF123" s="18"/>
      <c r="AG123" s="19"/>
      <c r="AL123" s="18"/>
      <c r="AM123" s="19"/>
    </row>
    <row r="124">
      <c r="A124" s="4" t="s">
        <v>524</v>
      </c>
      <c r="B124" s="10">
        <v>42199.0</v>
      </c>
      <c r="C124" s="11" t="s">
        <v>331</v>
      </c>
      <c r="D124" s="11" t="s">
        <v>51</v>
      </c>
      <c r="E124" s="11" t="s">
        <v>160</v>
      </c>
      <c r="F124" s="11" t="s">
        <v>53</v>
      </c>
      <c r="G124" s="11" t="s">
        <v>54</v>
      </c>
      <c r="H124" s="11" t="s">
        <v>412</v>
      </c>
      <c r="I124" s="11" t="s">
        <v>525</v>
      </c>
      <c r="J124" s="11">
        <v>35.0</v>
      </c>
      <c r="K124" s="33">
        <v>42557.0</v>
      </c>
      <c r="L124" s="11">
        <f>ROUND(((K124-B124)/365)*12)</f>
        <v>12</v>
      </c>
      <c r="M124" s="11">
        <v>430603.0</v>
      </c>
      <c r="N124" s="11">
        <v>2216.0</v>
      </c>
      <c r="O124" s="4" t="s">
        <v>59</v>
      </c>
      <c r="P124" s="11">
        <v>13.0</v>
      </c>
      <c r="Q124" s="15">
        <v>30.0</v>
      </c>
      <c r="R124" s="22">
        <v>1.0</v>
      </c>
      <c r="S124">
        <f t="shared" si="1"/>
        <v>2015</v>
      </c>
      <c r="T124">
        <f t="shared" si="2"/>
        <v>7</v>
      </c>
      <c r="AF124" s="18"/>
      <c r="AG124" s="19"/>
      <c r="AL124" s="18"/>
      <c r="AM124" s="19"/>
    </row>
    <row r="125">
      <c r="A125" s="4" t="s">
        <v>527</v>
      </c>
      <c r="B125" s="10">
        <v>42186.0</v>
      </c>
      <c r="C125" s="11" t="s">
        <v>96</v>
      </c>
      <c r="D125" s="11" t="s">
        <v>51</v>
      </c>
      <c r="E125" s="11" t="s">
        <v>52</v>
      </c>
      <c r="F125" s="11" t="s">
        <v>53</v>
      </c>
      <c r="G125" s="11" t="s">
        <v>54</v>
      </c>
      <c r="H125" s="11" t="s">
        <v>92</v>
      </c>
      <c r="I125" s="11"/>
      <c r="J125" s="11">
        <v>29.0</v>
      </c>
      <c r="K125" s="14"/>
      <c r="L125" s="14"/>
      <c r="M125" s="11">
        <v>448269.0</v>
      </c>
      <c r="N125" s="11">
        <v>8375.0</v>
      </c>
      <c r="O125" s="4" t="s">
        <v>528</v>
      </c>
      <c r="P125" s="11">
        <v>0.0</v>
      </c>
      <c r="Q125" s="15">
        <v>0.0</v>
      </c>
      <c r="R125" s="11">
        <v>1.0</v>
      </c>
      <c r="S125">
        <f t="shared" si="1"/>
        <v>2015</v>
      </c>
      <c r="T125">
        <f t="shared" si="2"/>
        <v>7</v>
      </c>
      <c r="AF125" s="18"/>
      <c r="AG125" s="19"/>
      <c r="AL125" s="18"/>
      <c r="AM125" s="19"/>
    </row>
    <row r="126">
      <c r="A126" s="4" t="s">
        <v>529</v>
      </c>
      <c r="B126" s="10">
        <v>42186.0</v>
      </c>
      <c r="C126" s="11" t="s">
        <v>138</v>
      </c>
      <c r="D126" s="11" t="s">
        <v>51</v>
      </c>
      <c r="E126" s="11" t="s">
        <v>52</v>
      </c>
      <c r="F126" s="11" t="s">
        <v>53</v>
      </c>
      <c r="G126" s="11" t="s">
        <v>54</v>
      </c>
      <c r="H126" s="11" t="s">
        <v>92</v>
      </c>
      <c r="I126" s="11"/>
      <c r="J126" s="11">
        <v>31.0</v>
      </c>
      <c r="K126" s="14"/>
      <c r="L126" s="14"/>
      <c r="M126" s="11">
        <v>435045.0</v>
      </c>
      <c r="N126" s="11">
        <v>4734.0</v>
      </c>
      <c r="O126" s="4" t="s">
        <v>183</v>
      </c>
      <c r="P126" s="11">
        <v>0.0</v>
      </c>
      <c r="Q126" s="15">
        <v>0.0</v>
      </c>
      <c r="R126" s="11">
        <v>0.0</v>
      </c>
      <c r="S126">
        <f t="shared" si="1"/>
        <v>2015</v>
      </c>
      <c r="T126">
        <f t="shared" si="2"/>
        <v>7</v>
      </c>
      <c r="AF126" s="18"/>
      <c r="AG126" s="19"/>
      <c r="AL126" s="18"/>
      <c r="AM126" s="19"/>
    </row>
    <row r="127">
      <c r="A127" s="4" t="s">
        <v>531</v>
      </c>
      <c r="B127" s="10">
        <v>42186.0</v>
      </c>
      <c r="C127" s="11" t="s">
        <v>229</v>
      </c>
      <c r="D127" s="11" t="s">
        <v>82</v>
      </c>
      <c r="E127" s="11" t="s">
        <v>52</v>
      </c>
      <c r="F127" s="11" t="s">
        <v>53</v>
      </c>
      <c r="G127" s="11" t="s">
        <v>54</v>
      </c>
      <c r="H127" s="11" t="s">
        <v>157</v>
      </c>
      <c r="I127" s="11" t="s">
        <v>532</v>
      </c>
      <c r="J127" s="11">
        <v>23.0</v>
      </c>
      <c r="K127" s="33">
        <v>42601.0</v>
      </c>
      <c r="L127" s="11">
        <f t="shared" ref="L127:L129" si="4">ROUND(((K127-B127)/365)*12)</f>
        <v>14</v>
      </c>
      <c r="M127" s="11">
        <v>642098.0</v>
      </c>
      <c r="N127" s="11" t="s">
        <v>533</v>
      </c>
      <c r="O127" s="4"/>
      <c r="P127" s="11">
        <v>0.0</v>
      </c>
      <c r="Q127" s="15">
        <v>0.0</v>
      </c>
      <c r="R127" s="22">
        <v>1.0</v>
      </c>
      <c r="S127">
        <f t="shared" si="1"/>
        <v>2015</v>
      </c>
      <c r="T127">
        <f t="shared" si="2"/>
        <v>7</v>
      </c>
      <c r="AF127" s="18"/>
      <c r="AG127" s="19"/>
      <c r="AL127" s="18"/>
      <c r="AM127" s="19"/>
    </row>
    <row r="128">
      <c r="A128" s="4" t="s">
        <v>534</v>
      </c>
      <c r="B128" s="10">
        <v>42186.0</v>
      </c>
      <c r="C128" s="11" t="s">
        <v>125</v>
      </c>
      <c r="D128" s="11" t="s">
        <v>91</v>
      </c>
      <c r="E128" s="11" t="s">
        <v>52</v>
      </c>
      <c r="F128" s="11" t="s">
        <v>53</v>
      </c>
      <c r="G128" s="11" t="s">
        <v>54</v>
      </c>
      <c r="H128" s="11" t="s">
        <v>197</v>
      </c>
      <c r="I128" s="11" t="s">
        <v>535</v>
      </c>
      <c r="J128" s="11">
        <v>19.0</v>
      </c>
      <c r="K128" s="33">
        <v>42585.0</v>
      </c>
      <c r="L128" s="11">
        <f t="shared" si="4"/>
        <v>13</v>
      </c>
      <c r="M128" s="11">
        <v>663995.0</v>
      </c>
      <c r="N128" s="11" t="s">
        <v>536</v>
      </c>
      <c r="O128" s="4"/>
      <c r="P128" s="11">
        <v>0.0</v>
      </c>
      <c r="Q128" s="15">
        <v>0.0</v>
      </c>
      <c r="R128" s="22">
        <v>1.0</v>
      </c>
      <c r="S128">
        <f t="shared" si="1"/>
        <v>2015</v>
      </c>
      <c r="T128">
        <f t="shared" si="2"/>
        <v>7</v>
      </c>
      <c r="AF128" s="18"/>
      <c r="AG128" s="19"/>
      <c r="AL128" s="18"/>
      <c r="AM128" s="19"/>
    </row>
    <row r="129">
      <c r="A129" s="4" t="s">
        <v>537</v>
      </c>
      <c r="B129" s="10">
        <v>42184.0</v>
      </c>
      <c r="C129" s="11" t="s">
        <v>179</v>
      </c>
      <c r="D129" s="11" t="s">
        <v>124</v>
      </c>
      <c r="E129" s="11" t="s">
        <v>264</v>
      </c>
      <c r="F129" s="11" t="s">
        <v>53</v>
      </c>
      <c r="G129" s="11" t="s">
        <v>54</v>
      </c>
      <c r="H129" s="11" t="s">
        <v>92</v>
      </c>
      <c r="I129" s="11" t="s">
        <v>539</v>
      </c>
      <c r="J129" s="11">
        <v>20.0</v>
      </c>
      <c r="K129" s="13">
        <v>42503.0</v>
      </c>
      <c r="L129" s="11">
        <f t="shared" si="4"/>
        <v>10</v>
      </c>
      <c r="M129" s="11">
        <v>621522.0</v>
      </c>
      <c r="N129" s="11" t="s">
        <v>540</v>
      </c>
      <c r="O129" s="4"/>
      <c r="P129" s="11">
        <v>0.0</v>
      </c>
      <c r="Q129" s="15">
        <v>0.0</v>
      </c>
      <c r="R129" s="22">
        <v>1.0</v>
      </c>
      <c r="S129">
        <f t="shared" si="1"/>
        <v>2015</v>
      </c>
      <c r="T129">
        <f t="shared" si="2"/>
        <v>6</v>
      </c>
      <c r="AF129" s="18"/>
      <c r="AG129" s="19"/>
      <c r="AL129" s="18"/>
      <c r="AM129" s="19"/>
    </row>
    <row r="130">
      <c r="A130" s="4" t="s">
        <v>543</v>
      </c>
      <c r="B130" s="10">
        <v>42179.0</v>
      </c>
      <c r="C130" s="11" t="s">
        <v>270</v>
      </c>
      <c r="D130" s="11" t="s">
        <v>110</v>
      </c>
      <c r="E130" s="11" t="s">
        <v>52</v>
      </c>
      <c r="F130" s="11" t="s">
        <v>53</v>
      </c>
      <c r="G130" s="11" t="s">
        <v>54</v>
      </c>
      <c r="H130" s="11" t="s">
        <v>92</v>
      </c>
      <c r="I130" s="11" t="s">
        <v>546</v>
      </c>
      <c r="J130" s="11">
        <v>23.0</v>
      </c>
      <c r="K130" s="14"/>
      <c r="L130" s="14"/>
      <c r="M130" s="11">
        <v>594589.0</v>
      </c>
      <c r="N130" s="11" t="s">
        <v>547</v>
      </c>
      <c r="O130" s="4" t="s">
        <v>188</v>
      </c>
      <c r="P130" s="11">
        <v>0.0</v>
      </c>
      <c r="Q130" s="15">
        <v>0.0</v>
      </c>
      <c r="R130" s="22">
        <v>1.0</v>
      </c>
      <c r="S130">
        <f t="shared" si="1"/>
        <v>2015</v>
      </c>
      <c r="T130">
        <f t="shared" si="2"/>
        <v>6</v>
      </c>
      <c r="AF130" s="18"/>
      <c r="AG130" s="19"/>
      <c r="AL130" s="18"/>
      <c r="AM130" s="19"/>
    </row>
    <row r="131">
      <c r="A131" s="4" t="s">
        <v>457</v>
      </c>
      <c r="B131" s="10">
        <v>42173.0</v>
      </c>
      <c r="C131" s="11" t="s">
        <v>259</v>
      </c>
      <c r="D131" s="11" t="s">
        <v>110</v>
      </c>
      <c r="E131" s="11" t="s">
        <v>52</v>
      </c>
      <c r="F131" s="11" t="s">
        <v>76</v>
      </c>
      <c r="G131" s="11" t="s">
        <v>54</v>
      </c>
      <c r="H131" s="11" t="s">
        <v>549</v>
      </c>
      <c r="I131" s="11" t="s">
        <v>550</v>
      </c>
      <c r="J131" s="11">
        <v>21.0</v>
      </c>
      <c r="K131" s="14"/>
      <c r="L131" s="14"/>
      <c r="M131" s="11">
        <v>605240.0</v>
      </c>
      <c r="N131" s="11" t="s">
        <v>551</v>
      </c>
      <c r="O131" s="4"/>
      <c r="P131" s="11">
        <v>0.0</v>
      </c>
      <c r="Q131" s="15">
        <v>0.0</v>
      </c>
      <c r="R131" s="22">
        <v>1.0</v>
      </c>
      <c r="S131">
        <f t="shared" si="1"/>
        <v>2015</v>
      </c>
      <c r="T131">
        <f t="shared" si="2"/>
        <v>6</v>
      </c>
      <c r="AF131" s="18"/>
      <c r="AG131" s="19"/>
      <c r="AL131" s="18"/>
      <c r="AM131" s="19"/>
    </row>
    <row r="132">
      <c r="A132" s="4" t="s">
        <v>552</v>
      </c>
      <c r="B132" s="10">
        <v>42172.0</v>
      </c>
      <c r="C132" s="11" t="s">
        <v>169</v>
      </c>
      <c r="D132" s="11" t="s">
        <v>91</v>
      </c>
      <c r="E132" s="11" t="s">
        <v>52</v>
      </c>
      <c r="F132" s="11" t="s">
        <v>53</v>
      </c>
      <c r="G132" s="11" t="s">
        <v>54</v>
      </c>
      <c r="H132" s="11" t="s">
        <v>92</v>
      </c>
      <c r="I132" s="11"/>
      <c r="J132" s="11">
        <v>19.0</v>
      </c>
      <c r="K132" s="14"/>
      <c r="L132" s="14"/>
      <c r="M132" s="11">
        <v>656545.0</v>
      </c>
      <c r="N132" s="11" t="s">
        <v>553</v>
      </c>
      <c r="O132" s="4"/>
      <c r="P132" s="11">
        <v>0.0</v>
      </c>
      <c r="Q132" s="15">
        <v>0.0</v>
      </c>
      <c r="R132" s="22">
        <v>1.0</v>
      </c>
      <c r="S132">
        <f t="shared" si="1"/>
        <v>2015</v>
      </c>
      <c r="T132">
        <f t="shared" si="2"/>
        <v>6</v>
      </c>
      <c r="AF132" s="18"/>
      <c r="AG132" s="19"/>
      <c r="AL132" s="18"/>
      <c r="AM132" s="19"/>
    </row>
    <row r="133">
      <c r="A133" s="4" t="s">
        <v>554</v>
      </c>
      <c r="B133" s="10">
        <v>42172.0</v>
      </c>
      <c r="C133" s="11" t="s">
        <v>169</v>
      </c>
      <c r="D133" s="11" t="s">
        <v>91</v>
      </c>
      <c r="E133" s="11" t="s">
        <v>52</v>
      </c>
      <c r="F133" s="11" t="s">
        <v>53</v>
      </c>
      <c r="G133" s="11" t="s">
        <v>54</v>
      </c>
      <c r="H133" s="11" t="s">
        <v>279</v>
      </c>
      <c r="I133" s="11" t="s">
        <v>555</v>
      </c>
      <c r="J133" s="11">
        <v>22.0</v>
      </c>
      <c r="K133" s="14"/>
      <c r="L133" s="14"/>
      <c r="M133" s="11">
        <v>607193.0</v>
      </c>
      <c r="N133" s="11" t="s">
        <v>556</v>
      </c>
      <c r="O133" s="4"/>
      <c r="P133" s="11">
        <v>0.0</v>
      </c>
      <c r="Q133" s="15">
        <v>0.0</v>
      </c>
      <c r="R133" s="22">
        <v>1.0</v>
      </c>
      <c r="S133">
        <f t="shared" si="1"/>
        <v>2015</v>
      </c>
      <c r="T133">
        <f t="shared" si="2"/>
        <v>6</v>
      </c>
      <c r="AF133" s="18"/>
      <c r="AG133" s="19"/>
      <c r="AL133" s="18"/>
      <c r="AM133" s="19"/>
    </row>
    <row r="134">
      <c r="A134" s="4" t="s">
        <v>557</v>
      </c>
      <c r="B134" s="10">
        <v>42171.0</v>
      </c>
      <c r="C134" s="11" t="s">
        <v>382</v>
      </c>
      <c r="D134" s="11" t="s">
        <v>91</v>
      </c>
      <c r="E134" s="11" t="s">
        <v>52</v>
      </c>
      <c r="F134" s="11" t="s">
        <v>53</v>
      </c>
      <c r="G134" s="11" t="s">
        <v>54</v>
      </c>
      <c r="H134" s="11" t="s">
        <v>112</v>
      </c>
      <c r="I134" s="11" t="s">
        <v>558</v>
      </c>
      <c r="J134" s="11">
        <v>24.0</v>
      </c>
      <c r="K134" s="33">
        <v>42539.0</v>
      </c>
      <c r="L134" s="11">
        <f>ROUND(((K134-B134)/365)*12)</f>
        <v>12</v>
      </c>
      <c r="M134" s="11">
        <v>628715.0</v>
      </c>
      <c r="N134" s="11" t="s">
        <v>560</v>
      </c>
      <c r="O134" s="4" t="s">
        <v>59</v>
      </c>
      <c r="P134" s="11">
        <v>0.0</v>
      </c>
      <c r="Q134" s="15">
        <v>0.0</v>
      </c>
      <c r="R134" s="22">
        <v>1.0</v>
      </c>
      <c r="S134">
        <f t="shared" si="1"/>
        <v>2015</v>
      </c>
      <c r="T134">
        <f t="shared" si="2"/>
        <v>6</v>
      </c>
      <c r="AF134" s="18"/>
      <c r="AG134" s="19"/>
      <c r="AL134" s="18"/>
      <c r="AM134" s="19"/>
    </row>
    <row r="135">
      <c r="A135" s="4" t="s">
        <v>132</v>
      </c>
      <c r="B135" s="10">
        <v>42170.0</v>
      </c>
      <c r="C135" s="11" t="s">
        <v>133</v>
      </c>
      <c r="D135" s="11" t="s">
        <v>51</v>
      </c>
      <c r="E135" s="11" t="s">
        <v>52</v>
      </c>
      <c r="F135" s="11" t="s">
        <v>53</v>
      </c>
      <c r="G135" s="11" t="s">
        <v>54</v>
      </c>
      <c r="H135" s="11" t="s">
        <v>157</v>
      </c>
      <c r="I135" s="11" t="s">
        <v>157</v>
      </c>
      <c r="J135" s="11">
        <v>26.0</v>
      </c>
      <c r="K135" s="14"/>
      <c r="L135" s="14"/>
      <c r="M135" s="11">
        <v>519443.0</v>
      </c>
      <c r="N135" s="11">
        <v>11428.0</v>
      </c>
      <c r="O135" s="4" t="s">
        <v>59</v>
      </c>
      <c r="P135" s="11">
        <v>0.0</v>
      </c>
      <c r="Q135" s="15">
        <v>0.0</v>
      </c>
      <c r="R135" s="22">
        <v>1.0</v>
      </c>
      <c r="S135">
        <f t="shared" si="1"/>
        <v>2015</v>
      </c>
      <c r="T135">
        <f t="shared" si="2"/>
        <v>6</v>
      </c>
      <c r="U135" s="20">
        <v>42292.0</v>
      </c>
      <c r="Y135" s="20">
        <v>42510.0</v>
      </c>
      <c r="AF135" s="18"/>
      <c r="AG135" s="19"/>
      <c r="AL135" s="18"/>
      <c r="AM135" s="19"/>
    </row>
    <row r="136">
      <c r="A136" s="4" t="s">
        <v>562</v>
      </c>
      <c r="B136" s="10">
        <v>42167.0</v>
      </c>
      <c r="C136" s="11" t="s">
        <v>138</v>
      </c>
      <c r="D136" s="11" t="s">
        <v>124</v>
      </c>
      <c r="E136" s="11" t="s">
        <v>52</v>
      </c>
      <c r="F136" s="11" t="s">
        <v>53</v>
      </c>
      <c r="G136" s="11" t="s">
        <v>54</v>
      </c>
      <c r="H136" s="11" t="s">
        <v>412</v>
      </c>
      <c r="I136" s="11" t="s">
        <v>563</v>
      </c>
      <c r="J136" s="11">
        <v>23.0</v>
      </c>
      <c r="K136" s="14"/>
      <c r="L136" s="14"/>
      <c r="M136" s="11">
        <v>642840.0</v>
      </c>
      <c r="N136" s="11" t="s">
        <v>564</v>
      </c>
      <c r="O136" s="4"/>
      <c r="P136" s="11">
        <v>0.0</v>
      </c>
      <c r="Q136" s="15">
        <v>0.0</v>
      </c>
      <c r="R136" s="22">
        <v>1.0</v>
      </c>
      <c r="S136">
        <f t="shared" si="1"/>
        <v>2015</v>
      </c>
      <c r="T136">
        <f t="shared" si="2"/>
        <v>6</v>
      </c>
      <c r="AF136" s="18"/>
      <c r="AG136" s="19"/>
      <c r="AL136" s="18"/>
      <c r="AM136" s="19"/>
    </row>
    <row r="137">
      <c r="A137" s="4" t="s">
        <v>565</v>
      </c>
      <c r="B137" s="10">
        <v>42158.0</v>
      </c>
      <c r="C137" s="11" t="s">
        <v>209</v>
      </c>
      <c r="D137" s="11" t="s">
        <v>124</v>
      </c>
      <c r="E137" s="11" t="s">
        <v>52</v>
      </c>
      <c r="F137" s="11" t="s">
        <v>53</v>
      </c>
      <c r="G137" s="11" t="s">
        <v>54</v>
      </c>
      <c r="H137" s="11" t="s">
        <v>211</v>
      </c>
      <c r="I137" s="11" t="s">
        <v>566</v>
      </c>
      <c r="J137" s="11">
        <v>24.0</v>
      </c>
      <c r="K137" s="14"/>
      <c r="L137" s="14"/>
      <c r="M137" s="11">
        <v>621298.0</v>
      </c>
      <c r="N137" s="11" t="s">
        <v>567</v>
      </c>
      <c r="O137" s="4"/>
      <c r="P137" s="11">
        <v>0.0</v>
      </c>
      <c r="Q137" s="15">
        <v>0.0</v>
      </c>
      <c r="R137" s="22">
        <v>1.0</v>
      </c>
      <c r="S137">
        <f t="shared" si="1"/>
        <v>2015</v>
      </c>
      <c r="T137">
        <f t="shared" si="2"/>
        <v>6</v>
      </c>
      <c r="AF137" s="18"/>
      <c r="AG137" s="19"/>
      <c r="AL137" s="18"/>
      <c r="AM137" s="19"/>
    </row>
    <row r="138">
      <c r="A138" s="4" t="s">
        <v>568</v>
      </c>
      <c r="B138" s="10">
        <v>42158.0</v>
      </c>
      <c r="C138" s="11" t="s">
        <v>239</v>
      </c>
      <c r="D138" s="11" t="s">
        <v>82</v>
      </c>
      <c r="E138" s="11" t="s">
        <v>52</v>
      </c>
      <c r="F138" s="11" t="s">
        <v>76</v>
      </c>
      <c r="G138" s="11" t="s">
        <v>54</v>
      </c>
      <c r="H138" s="11" t="s">
        <v>99</v>
      </c>
      <c r="I138" s="11" t="s">
        <v>211</v>
      </c>
      <c r="J138" s="11">
        <v>23.0</v>
      </c>
      <c r="K138" s="13">
        <v>42517.0</v>
      </c>
      <c r="L138" s="11">
        <f t="shared" ref="L138:L139" si="5">ROUND(((K138-B138)/365)*12)</f>
        <v>12</v>
      </c>
      <c r="M138" s="11">
        <v>592288.0</v>
      </c>
      <c r="N138" s="11" t="s">
        <v>569</v>
      </c>
      <c r="O138" s="4"/>
      <c r="P138" s="11">
        <v>0.0</v>
      </c>
      <c r="Q138" s="15">
        <v>0.0</v>
      </c>
      <c r="R138" s="22">
        <v>1.0</v>
      </c>
      <c r="S138">
        <f t="shared" si="1"/>
        <v>2015</v>
      </c>
      <c r="T138">
        <f t="shared" si="2"/>
        <v>6</v>
      </c>
      <c r="AF138" s="18"/>
      <c r="AG138" s="19"/>
      <c r="AL138" s="18"/>
      <c r="AM138" s="19"/>
    </row>
    <row r="139">
      <c r="A139" s="4" t="s">
        <v>571</v>
      </c>
      <c r="B139" s="10">
        <v>42157.0</v>
      </c>
      <c r="C139" s="11" t="s">
        <v>125</v>
      </c>
      <c r="D139" s="11" t="s">
        <v>210</v>
      </c>
      <c r="E139" s="11" t="s">
        <v>264</v>
      </c>
      <c r="F139" s="11" t="s">
        <v>53</v>
      </c>
      <c r="G139" s="11" t="s">
        <v>54</v>
      </c>
      <c r="H139" s="11" t="s">
        <v>153</v>
      </c>
      <c r="I139" s="11" t="s">
        <v>187</v>
      </c>
      <c r="J139" s="11">
        <v>22.0</v>
      </c>
      <c r="K139" s="33">
        <v>42538.0</v>
      </c>
      <c r="L139" s="11">
        <f t="shared" si="5"/>
        <v>13</v>
      </c>
      <c r="M139" s="11">
        <v>656632.0</v>
      </c>
      <c r="N139" s="11" t="s">
        <v>576</v>
      </c>
      <c r="O139" s="4"/>
      <c r="P139" s="11">
        <v>0.0</v>
      </c>
      <c r="Q139" s="15">
        <v>0.0</v>
      </c>
      <c r="R139" s="22">
        <v>1.0</v>
      </c>
      <c r="S139">
        <f t="shared" si="1"/>
        <v>2015</v>
      </c>
      <c r="T139">
        <f t="shared" si="2"/>
        <v>6</v>
      </c>
      <c r="AF139" s="18"/>
      <c r="AG139" s="19"/>
      <c r="AL139" s="18"/>
      <c r="AM139" s="19"/>
    </row>
    <row r="140">
      <c r="A140" s="4" t="s">
        <v>577</v>
      </c>
      <c r="B140" s="10">
        <v>42156.0</v>
      </c>
      <c r="C140" s="11" t="s">
        <v>350</v>
      </c>
      <c r="D140" s="11" t="s">
        <v>210</v>
      </c>
      <c r="E140" s="11" t="s">
        <v>52</v>
      </c>
      <c r="F140" s="11" t="s">
        <v>53</v>
      </c>
      <c r="G140" s="11" t="s">
        <v>83</v>
      </c>
      <c r="H140" s="11"/>
      <c r="I140" s="11"/>
      <c r="J140" s="11">
        <v>21.0</v>
      </c>
      <c r="K140" s="14"/>
      <c r="L140" s="14"/>
      <c r="M140" s="11">
        <v>600934.0</v>
      </c>
      <c r="N140" s="11" t="s">
        <v>578</v>
      </c>
      <c r="O140" s="4"/>
      <c r="P140" s="11">
        <v>0.0</v>
      </c>
      <c r="Q140" s="15">
        <v>0.0</v>
      </c>
      <c r="R140" s="22">
        <v>1.0</v>
      </c>
      <c r="S140">
        <f t="shared" si="1"/>
        <v>2015</v>
      </c>
      <c r="T140">
        <f t="shared" si="2"/>
        <v>6</v>
      </c>
      <c r="AF140" s="18"/>
      <c r="AG140" s="19"/>
      <c r="AL140" s="18"/>
      <c r="AM140" s="19"/>
    </row>
    <row r="141">
      <c r="A141" s="4" t="s">
        <v>579</v>
      </c>
      <c r="B141" s="10">
        <v>42156.0</v>
      </c>
      <c r="C141" s="11" t="s">
        <v>125</v>
      </c>
      <c r="D141" s="11" t="s">
        <v>91</v>
      </c>
      <c r="E141" s="11" t="s">
        <v>52</v>
      </c>
      <c r="F141" s="11" t="s">
        <v>53</v>
      </c>
      <c r="G141" s="11" t="s">
        <v>83</v>
      </c>
      <c r="H141" s="11"/>
      <c r="I141" s="11"/>
      <c r="J141" s="11">
        <v>23.0</v>
      </c>
      <c r="K141" s="33">
        <v>42594.0</v>
      </c>
      <c r="L141" s="11">
        <f t="shared" ref="L141:L142" si="6">ROUND(((K141-B141)/365)*12)</f>
        <v>14</v>
      </c>
      <c r="M141" s="11">
        <v>642674.0</v>
      </c>
      <c r="N141" s="11" t="s">
        <v>580</v>
      </c>
      <c r="O141" s="4"/>
      <c r="P141" s="11">
        <v>0.0</v>
      </c>
      <c r="Q141" s="15">
        <v>0.0</v>
      </c>
      <c r="R141" s="22">
        <v>1.0</v>
      </c>
      <c r="S141">
        <f t="shared" si="1"/>
        <v>2015</v>
      </c>
      <c r="T141">
        <f t="shared" si="2"/>
        <v>6</v>
      </c>
      <c r="AF141" s="18"/>
      <c r="AG141" s="19"/>
      <c r="AL141" s="18"/>
      <c r="AM141" s="19"/>
    </row>
    <row r="142">
      <c r="A142" s="4" t="s">
        <v>581</v>
      </c>
      <c r="B142" s="10">
        <v>42156.0</v>
      </c>
      <c r="C142" s="11" t="s">
        <v>125</v>
      </c>
      <c r="D142" s="11" t="s">
        <v>91</v>
      </c>
      <c r="E142" s="11" t="s">
        <v>52</v>
      </c>
      <c r="F142" s="11" t="s">
        <v>53</v>
      </c>
      <c r="G142" s="11" t="s">
        <v>582</v>
      </c>
      <c r="H142" s="11"/>
      <c r="I142" s="11"/>
      <c r="J142" s="11">
        <v>20.0</v>
      </c>
      <c r="K142" s="33">
        <v>42556.0</v>
      </c>
      <c r="L142" s="11">
        <f t="shared" si="6"/>
        <v>13</v>
      </c>
      <c r="M142" s="11">
        <v>622747.0</v>
      </c>
      <c r="N142" s="11" t="s">
        <v>583</v>
      </c>
      <c r="O142" s="4"/>
      <c r="P142" s="11">
        <v>0.0</v>
      </c>
      <c r="Q142" s="15">
        <v>0.0</v>
      </c>
      <c r="R142" s="22">
        <v>1.0</v>
      </c>
      <c r="S142">
        <f t="shared" si="1"/>
        <v>2015</v>
      </c>
      <c r="T142">
        <f t="shared" si="2"/>
        <v>6</v>
      </c>
      <c r="AF142" s="18"/>
      <c r="AG142" s="19"/>
      <c r="AL142" s="18"/>
      <c r="AM142" s="19"/>
    </row>
    <row r="143">
      <c r="A143" s="4" t="s">
        <v>584</v>
      </c>
      <c r="B143" s="10">
        <v>42156.0</v>
      </c>
      <c r="C143" s="11" t="s">
        <v>49</v>
      </c>
      <c r="D143" s="11" t="s">
        <v>110</v>
      </c>
      <c r="E143" s="11" t="s">
        <v>52</v>
      </c>
      <c r="F143" s="11" t="s">
        <v>53</v>
      </c>
      <c r="G143" s="11" t="s">
        <v>54</v>
      </c>
      <c r="H143" s="11" t="s">
        <v>260</v>
      </c>
      <c r="I143" s="11"/>
      <c r="J143" s="11">
        <v>21.0</v>
      </c>
      <c r="K143" s="14"/>
      <c r="L143" s="14"/>
      <c r="M143" s="11">
        <v>608381.0</v>
      </c>
      <c r="N143" s="11" t="s">
        <v>585</v>
      </c>
      <c r="O143" s="4"/>
      <c r="P143" s="11">
        <v>0.0</v>
      </c>
      <c r="Q143" s="15">
        <v>0.0</v>
      </c>
      <c r="R143" s="22">
        <v>1.0</v>
      </c>
      <c r="S143">
        <f t="shared" si="1"/>
        <v>2015</v>
      </c>
      <c r="T143">
        <f t="shared" si="2"/>
        <v>6</v>
      </c>
      <c r="AF143" s="18"/>
      <c r="AG143" s="19"/>
      <c r="AL143" s="18"/>
      <c r="AM143" s="19"/>
    </row>
    <row r="144">
      <c r="A144" s="4" t="s">
        <v>586</v>
      </c>
      <c r="B144" s="10">
        <v>42152.0</v>
      </c>
      <c r="C144" s="11" t="s">
        <v>114</v>
      </c>
      <c r="D144" s="11" t="s">
        <v>91</v>
      </c>
      <c r="E144" s="11" t="s">
        <v>52</v>
      </c>
      <c r="F144" s="11" t="s">
        <v>53</v>
      </c>
      <c r="G144" s="11" t="s">
        <v>265</v>
      </c>
      <c r="H144" s="11"/>
      <c r="I144" s="11"/>
      <c r="J144" s="11">
        <v>19.0</v>
      </c>
      <c r="K144" s="14"/>
      <c r="L144" s="14"/>
      <c r="M144" s="11">
        <v>642510.0</v>
      </c>
      <c r="N144" s="11" t="s">
        <v>587</v>
      </c>
      <c r="O144" s="4"/>
      <c r="P144" s="11">
        <v>0.0</v>
      </c>
      <c r="Q144" s="15">
        <v>0.0</v>
      </c>
      <c r="R144" s="22">
        <v>1.0</v>
      </c>
      <c r="S144">
        <f t="shared" si="1"/>
        <v>2015</v>
      </c>
      <c r="T144">
        <f t="shared" si="2"/>
        <v>5</v>
      </c>
      <c r="AF144" s="18"/>
      <c r="AG144" s="19"/>
      <c r="AL144" s="18"/>
      <c r="AM144" s="19"/>
    </row>
    <row r="145">
      <c r="A145" s="4" t="s">
        <v>588</v>
      </c>
      <c r="B145" s="10">
        <v>42151.0</v>
      </c>
      <c r="C145" s="11" t="s">
        <v>169</v>
      </c>
      <c r="D145" s="11" t="s">
        <v>151</v>
      </c>
      <c r="E145" s="11" t="s">
        <v>52</v>
      </c>
      <c r="F145" s="11" t="s">
        <v>53</v>
      </c>
      <c r="G145" s="11" t="s">
        <v>54</v>
      </c>
      <c r="H145" s="11" t="s">
        <v>92</v>
      </c>
      <c r="I145" s="11" t="s">
        <v>590</v>
      </c>
      <c r="J145" s="11">
        <v>21.0</v>
      </c>
      <c r="K145" s="33">
        <v>42581.0</v>
      </c>
      <c r="L145" s="11">
        <f>ROUND(((K145-B145)/365)*12)</f>
        <v>14</v>
      </c>
      <c r="M145" s="11">
        <v>621057.0</v>
      </c>
      <c r="N145" s="11" t="s">
        <v>591</v>
      </c>
      <c r="O145" s="4"/>
      <c r="P145" s="11">
        <v>0.0</v>
      </c>
      <c r="Q145" s="15">
        <v>0.0</v>
      </c>
      <c r="R145" s="22">
        <v>1.0</v>
      </c>
      <c r="S145">
        <f t="shared" si="1"/>
        <v>2015</v>
      </c>
      <c r="T145">
        <f t="shared" si="2"/>
        <v>5</v>
      </c>
      <c r="AF145" s="18"/>
      <c r="AG145" s="19"/>
      <c r="AL145" s="18"/>
      <c r="AM145" s="19"/>
    </row>
    <row r="146">
      <c r="A146" s="4" t="s">
        <v>593</v>
      </c>
      <c r="B146" s="10">
        <v>42151.0</v>
      </c>
      <c r="C146" s="11" t="s">
        <v>125</v>
      </c>
      <c r="D146" s="11" t="s">
        <v>75</v>
      </c>
      <c r="E146" s="11" t="s">
        <v>52</v>
      </c>
      <c r="F146" s="11" t="s">
        <v>53</v>
      </c>
      <c r="G146" s="11" t="s">
        <v>54</v>
      </c>
      <c r="H146" s="11" t="s">
        <v>77</v>
      </c>
      <c r="I146" s="11"/>
      <c r="J146" s="11">
        <v>23.0</v>
      </c>
      <c r="K146" s="14"/>
      <c r="L146" s="14"/>
      <c r="M146" s="11">
        <v>592468.0</v>
      </c>
      <c r="N146" s="11" t="s">
        <v>594</v>
      </c>
      <c r="O146" s="4" t="s">
        <v>287</v>
      </c>
      <c r="P146" s="11">
        <v>0.0</v>
      </c>
      <c r="Q146" s="15">
        <v>0.0</v>
      </c>
      <c r="R146" s="22">
        <v>1.0</v>
      </c>
      <c r="S146">
        <f t="shared" si="1"/>
        <v>2015</v>
      </c>
      <c r="T146">
        <f t="shared" si="2"/>
        <v>5</v>
      </c>
      <c r="U146" s="20">
        <v>42263.0</v>
      </c>
      <c r="AF146" s="18"/>
      <c r="AG146" s="19"/>
      <c r="AL146" s="18"/>
      <c r="AM146" s="19"/>
    </row>
    <row r="147">
      <c r="A147" s="4" t="s">
        <v>596</v>
      </c>
      <c r="B147" s="10">
        <v>42146.0</v>
      </c>
      <c r="C147" s="11" t="s">
        <v>74</v>
      </c>
      <c r="D147" s="11" t="s">
        <v>210</v>
      </c>
      <c r="E147" s="11" t="s">
        <v>52</v>
      </c>
      <c r="F147" s="11" t="s">
        <v>53</v>
      </c>
      <c r="G147" s="11" t="s">
        <v>54</v>
      </c>
      <c r="H147" s="11" t="s">
        <v>597</v>
      </c>
      <c r="I147" s="11" t="s">
        <v>597</v>
      </c>
      <c r="J147" s="11">
        <v>21.0</v>
      </c>
      <c r="K147" s="33">
        <v>42529.0</v>
      </c>
      <c r="L147" s="11">
        <f>ROUND(((K147-B147)/365)*12)</f>
        <v>13</v>
      </c>
      <c r="M147" s="11">
        <v>630263.0</v>
      </c>
      <c r="N147" s="11" t="s">
        <v>598</v>
      </c>
      <c r="O147" s="4"/>
      <c r="P147" s="11">
        <v>0.0</v>
      </c>
      <c r="Q147" s="15">
        <v>0.0</v>
      </c>
      <c r="R147" s="22">
        <v>1.0</v>
      </c>
      <c r="S147">
        <f t="shared" si="1"/>
        <v>2015</v>
      </c>
      <c r="T147">
        <f t="shared" si="2"/>
        <v>5</v>
      </c>
      <c r="AF147" s="18"/>
      <c r="AG147" s="19"/>
      <c r="AL147" s="18"/>
      <c r="AM147" s="19"/>
    </row>
    <row r="148">
      <c r="A148" s="4" t="s">
        <v>599</v>
      </c>
      <c r="B148" s="10">
        <v>42144.0</v>
      </c>
      <c r="C148" s="11" t="s">
        <v>169</v>
      </c>
      <c r="D148" s="11" t="s">
        <v>110</v>
      </c>
      <c r="E148" s="11" t="s">
        <v>52</v>
      </c>
      <c r="F148" s="11" t="s">
        <v>53</v>
      </c>
      <c r="G148" s="11" t="s">
        <v>54</v>
      </c>
      <c r="H148" s="11" t="s">
        <v>600</v>
      </c>
      <c r="I148" s="11" t="s">
        <v>601</v>
      </c>
      <c r="J148" s="11">
        <v>23.0</v>
      </c>
      <c r="K148" s="14"/>
      <c r="L148" s="14"/>
      <c r="M148" s="11">
        <v>621173.0</v>
      </c>
      <c r="N148" s="11" t="s">
        <v>602</v>
      </c>
      <c r="O148" s="4"/>
      <c r="P148" s="11">
        <v>0.0</v>
      </c>
      <c r="Q148" s="15">
        <v>0.0</v>
      </c>
      <c r="R148" s="11">
        <v>1.0</v>
      </c>
      <c r="S148">
        <f t="shared" si="1"/>
        <v>2015</v>
      </c>
      <c r="T148">
        <f t="shared" si="2"/>
        <v>5</v>
      </c>
      <c r="AF148" s="18"/>
      <c r="AG148" s="19"/>
      <c r="AL148" s="18"/>
      <c r="AM148" s="19"/>
    </row>
    <row r="149">
      <c r="A149" s="4" t="s">
        <v>605</v>
      </c>
      <c r="B149" s="10">
        <v>42144.0</v>
      </c>
      <c r="C149" s="11" t="s">
        <v>169</v>
      </c>
      <c r="D149" s="11" t="s">
        <v>91</v>
      </c>
      <c r="E149" s="11" t="s">
        <v>52</v>
      </c>
      <c r="F149" s="11" t="s">
        <v>76</v>
      </c>
      <c r="G149" s="11" t="s">
        <v>54</v>
      </c>
      <c r="H149" s="11" t="s">
        <v>92</v>
      </c>
      <c r="I149" s="11" t="s">
        <v>607</v>
      </c>
      <c r="J149" s="11">
        <v>21.0</v>
      </c>
      <c r="K149" s="33">
        <v>42542.0</v>
      </c>
      <c r="L149" s="11">
        <f t="shared" ref="L149:L150" si="7">ROUND(((K149-B149)/365)*12)</f>
        <v>13</v>
      </c>
      <c r="M149" s="11">
        <v>607180.0</v>
      </c>
      <c r="N149" s="11" t="s">
        <v>609</v>
      </c>
      <c r="O149" s="4"/>
      <c r="P149" s="11">
        <v>0.0</v>
      </c>
      <c r="Q149" s="15">
        <v>0.0</v>
      </c>
      <c r="R149" s="22">
        <v>1.0</v>
      </c>
      <c r="S149">
        <f t="shared" si="1"/>
        <v>2015</v>
      </c>
      <c r="T149">
        <f t="shared" si="2"/>
        <v>5</v>
      </c>
      <c r="AF149" s="18"/>
      <c r="AG149" s="19"/>
      <c r="AL149" s="18"/>
      <c r="AM149" s="19"/>
    </row>
    <row r="150">
      <c r="A150" s="4" t="s">
        <v>610</v>
      </c>
      <c r="B150" s="10">
        <v>42143.0</v>
      </c>
      <c r="C150" s="11" t="s">
        <v>138</v>
      </c>
      <c r="D150" s="11" t="s">
        <v>51</v>
      </c>
      <c r="E150" s="11" t="s">
        <v>52</v>
      </c>
      <c r="F150" s="11" t="s">
        <v>53</v>
      </c>
      <c r="G150" s="11" t="s">
        <v>54</v>
      </c>
      <c r="H150" s="11" t="s">
        <v>449</v>
      </c>
      <c r="I150" s="11" t="s">
        <v>611</v>
      </c>
      <c r="J150" s="11">
        <v>26.0</v>
      </c>
      <c r="K150" s="33">
        <v>42624.0</v>
      </c>
      <c r="L150" s="11">
        <f t="shared" si="7"/>
        <v>16</v>
      </c>
      <c r="M150" s="11">
        <v>595032.0</v>
      </c>
      <c r="N150" s="11">
        <v>10982.0</v>
      </c>
      <c r="O150" s="4" t="s">
        <v>183</v>
      </c>
      <c r="P150" s="11">
        <v>5.0</v>
      </c>
      <c r="Q150" s="15">
        <v>14.333</v>
      </c>
      <c r="R150" s="22">
        <v>1.0</v>
      </c>
      <c r="S150">
        <f t="shared" si="1"/>
        <v>2015</v>
      </c>
      <c r="T150">
        <f t="shared" si="2"/>
        <v>5</v>
      </c>
      <c r="V150" s="20">
        <v>42479.0</v>
      </c>
      <c r="W150" s="20">
        <v>42486.0</v>
      </c>
      <c r="Y150" s="20">
        <v>42569.0</v>
      </c>
      <c r="AF150" s="18"/>
      <c r="AG150" s="19"/>
      <c r="AL150" s="18"/>
      <c r="AM150" s="19"/>
    </row>
    <row r="151">
      <c r="A151" s="4" t="s">
        <v>613</v>
      </c>
      <c r="B151" s="10">
        <v>42139.0</v>
      </c>
      <c r="C151" s="11" t="s">
        <v>114</v>
      </c>
      <c r="D151" s="11" t="s">
        <v>124</v>
      </c>
      <c r="E151" s="11" t="s">
        <v>52</v>
      </c>
      <c r="F151" s="11" t="s">
        <v>53</v>
      </c>
      <c r="G151" s="11" t="s">
        <v>265</v>
      </c>
      <c r="H151" s="11"/>
      <c r="I151" s="11"/>
      <c r="J151" s="11">
        <v>21.0</v>
      </c>
      <c r="K151" s="14"/>
      <c r="L151" s="14"/>
      <c r="M151" s="11">
        <v>622273.0</v>
      </c>
      <c r="N151" s="11" t="s">
        <v>614</v>
      </c>
      <c r="O151" s="4"/>
      <c r="P151" s="11">
        <v>0.0</v>
      </c>
      <c r="Q151" s="15">
        <v>0.0</v>
      </c>
      <c r="R151" s="22">
        <v>1.0</v>
      </c>
      <c r="S151">
        <f t="shared" si="1"/>
        <v>2015</v>
      </c>
      <c r="T151">
        <f t="shared" si="2"/>
        <v>5</v>
      </c>
      <c r="AF151" s="18"/>
      <c r="AG151" s="19"/>
      <c r="AL151" s="18"/>
      <c r="AM151" s="19"/>
    </row>
    <row r="152">
      <c r="A152" s="4" t="s">
        <v>129</v>
      </c>
      <c r="B152" s="10">
        <v>42138.0</v>
      </c>
      <c r="C152" s="11" t="s">
        <v>130</v>
      </c>
      <c r="D152" s="11" t="s">
        <v>51</v>
      </c>
      <c r="E152" s="11" t="s">
        <v>52</v>
      </c>
      <c r="F152" s="11" t="s">
        <v>53</v>
      </c>
      <c r="G152" s="11" t="s">
        <v>54</v>
      </c>
      <c r="H152" s="11" t="s">
        <v>260</v>
      </c>
      <c r="I152" s="11"/>
      <c r="J152" s="11">
        <v>27.0</v>
      </c>
      <c r="K152" s="33">
        <v>42615.0</v>
      </c>
      <c r="L152" s="11">
        <f>ROUND(((K152-B152)/365)*12)</f>
        <v>16</v>
      </c>
      <c r="M152" s="11">
        <v>502171.0</v>
      </c>
      <c r="N152" s="11">
        <v>6562.0</v>
      </c>
      <c r="O152" s="4" t="s">
        <v>59</v>
      </c>
      <c r="P152" s="11">
        <v>5.0</v>
      </c>
      <c r="Q152" s="15">
        <v>22.0</v>
      </c>
      <c r="R152" s="22">
        <v>1.0</v>
      </c>
      <c r="S152">
        <f t="shared" si="1"/>
        <v>2015</v>
      </c>
      <c r="T152">
        <f t="shared" si="2"/>
        <v>5</v>
      </c>
      <c r="V152" s="20">
        <v>42472.0</v>
      </c>
      <c r="W152" s="20">
        <v>42486.0</v>
      </c>
      <c r="X152" s="20">
        <v>42173.0</v>
      </c>
      <c r="Y152" s="20">
        <v>42557.0</v>
      </c>
      <c r="Z152" s="20">
        <v>42570.0</v>
      </c>
      <c r="AA152" s="4" t="s">
        <v>616</v>
      </c>
      <c r="AF152" s="18"/>
      <c r="AG152" s="19"/>
      <c r="AL152" s="18"/>
      <c r="AM152" s="19"/>
    </row>
    <row r="153">
      <c r="A153" s="4" t="s">
        <v>618</v>
      </c>
      <c r="B153" s="10">
        <v>42136.0</v>
      </c>
      <c r="C153" s="11" t="s">
        <v>90</v>
      </c>
      <c r="D153" s="11" t="s">
        <v>124</v>
      </c>
      <c r="E153" s="11" t="s">
        <v>52</v>
      </c>
      <c r="F153" s="11" t="s">
        <v>53</v>
      </c>
      <c r="G153" s="11" t="s">
        <v>620</v>
      </c>
      <c r="H153" s="11"/>
      <c r="I153" s="11"/>
      <c r="J153" s="11">
        <v>19.0</v>
      </c>
      <c r="K153" s="14"/>
      <c r="L153" s="14"/>
      <c r="M153" s="11">
        <v>627392.0</v>
      </c>
      <c r="N153" s="11" t="s">
        <v>621</v>
      </c>
      <c r="O153" s="4"/>
      <c r="P153" s="11">
        <v>0.0</v>
      </c>
      <c r="Q153" s="15">
        <v>0.0</v>
      </c>
      <c r="R153" s="22">
        <v>1.0</v>
      </c>
      <c r="S153">
        <f t="shared" si="1"/>
        <v>2015</v>
      </c>
      <c r="T153">
        <f t="shared" si="2"/>
        <v>5</v>
      </c>
      <c r="AF153" s="18"/>
      <c r="AG153" s="19"/>
      <c r="AL153" s="18"/>
      <c r="AM153" s="19"/>
    </row>
    <row r="154">
      <c r="A154" s="4" t="s">
        <v>622</v>
      </c>
      <c r="B154" s="10">
        <v>42136.0</v>
      </c>
      <c r="C154" s="11" t="s">
        <v>90</v>
      </c>
      <c r="D154" s="11" t="s">
        <v>124</v>
      </c>
      <c r="E154" s="11" t="s">
        <v>52</v>
      </c>
      <c r="F154" s="11" t="s">
        <v>53</v>
      </c>
      <c r="G154" s="11" t="s">
        <v>83</v>
      </c>
      <c r="H154" s="11"/>
      <c r="I154" s="11"/>
      <c r="J154" s="11">
        <v>22.0</v>
      </c>
      <c r="K154" s="14"/>
      <c r="L154" s="14"/>
      <c r="M154" s="11">
        <v>606532.0</v>
      </c>
      <c r="N154" s="11" t="s">
        <v>623</v>
      </c>
      <c r="O154" s="4"/>
      <c r="P154" s="11">
        <v>0.0</v>
      </c>
      <c r="Q154" s="15">
        <v>0.0</v>
      </c>
      <c r="R154" s="22">
        <v>1.0</v>
      </c>
      <c r="S154">
        <f t="shared" si="1"/>
        <v>2015</v>
      </c>
      <c r="T154">
        <f t="shared" si="2"/>
        <v>5</v>
      </c>
      <c r="AF154" s="18"/>
      <c r="AG154" s="19"/>
      <c r="AL154" s="18"/>
      <c r="AM154" s="19"/>
    </row>
    <row r="155">
      <c r="A155" s="4" t="s">
        <v>624</v>
      </c>
      <c r="B155" s="10">
        <v>42132.0</v>
      </c>
      <c r="C155" s="11" t="s">
        <v>119</v>
      </c>
      <c r="D155" s="11" t="s">
        <v>51</v>
      </c>
      <c r="E155" s="11" t="s">
        <v>52</v>
      </c>
      <c r="F155" s="11" t="s">
        <v>53</v>
      </c>
      <c r="G155" s="11" t="s">
        <v>54</v>
      </c>
      <c r="H155" s="11" t="s">
        <v>157</v>
      </c>
      <c r="I155" s="11"/>
      <c r="J155" s="11">
        <v>29.0</v>
      </c>
      <c r="K155" s="33">
        <v>42582.0</v>
      </c>
      <c r="L155" s="11">
        <f t="shared" ref="L155:L166" si="8">ROUND(((K155-B155)/365)*12)</f>
        <v>15</v>
      </c>
      <c r="M155" s="11">
        <v>456701.0</v>
      </c>
      <c r="N155" s="11">
        <v>8362.0</v>
      </c>
      <c r="O155" s="4" t="s">
        <v>224</v>
      </c>
      <c r="P155" s="11">
        <v>6.0</v>
      </c>
      <c r="Q155" s="15">
        <v>23.0</v>
      </c>
      <c r="R155" s="22">
        <v>1.0</v>
      </c>
      <c r="S155">
        <f t="shared" si="1"/>
        <v>2015</v>
      </c>
      <c r="T155">
        <f t="shared" si="2"/>
        <v>5</v>
      </c>
      <c r="W155" s="20">
        <v>42419.0</v>
      </c>
      <c r="X155" s="20">
        <v>42450.0</v>
      </c>
      <c r="Y155" s="20">
        <v>42481.0</v>
      </c>
      <c r="Z155" s="20">
        <v>42487.0</v>
      </c>
      <c r="AA155" s="4" t="s">
        <v>625</v>
      </c>
      <c r="AF155" s="18"/>
      <c r="AG155" s="19"/>
      <c r="AL155" s="18"/>
      <c r="AM155" s="19"/>
    </row>
    <row r="156">
      <c r="A156" s="4" t="s">
        <v>626</v>
      </c>
      <c r="B156" s="10">
        <v>42132.0</v>
      </c>
      <c r="C156" s="11" t="s">
        <v>119</v>
      </c>
      <c r="D156" s="11" t="s">
        <v>75</v>
      </c>
      <c r="E156" s="11" t="s">
        <v>52</v>
      </c>
      <c r="F156" s="11" t="s">
        <v>53</v>
      </c>
      <c r="G156" s="11" t="s">
        <v>54</v>
      </c>
      <c r="H156" s="11" t="s">
        <v>92</v>
      </c>
      <c r="I156" s="11"/>
      <c r="J156" s="11">
        <v>25.0</v>
      </c>
      <c r="K156" s="33">
        <v>42512.0</v>
      </c>
      <c r="L156" s="11">
        <f t="shared" si="8"/>
        <v>12</v>
      </c>
      <c r="M156" s="11">
        <v>543483.0</v>
      </c>
      <c r="N156" s="11">
        <v>3950.0</v>
      </c>
      <c r="O156" s="4"/>
      <c r="P156" s="11">
        <v>5.0</v>
      </c>
      <c r="Q156" s="15">
        <v>4.333</v>
      </c>
      <c r="R156" s="22">
        <v>1.0</v>
      </c>
      <c r="S156">
        <f t="shared" si="1"/>
        <v>2015</v>
      </c>
      <c r="T156">
        <f t="shared" si="2"/>
        <v>5</v>
      </c>
      <c r="AF156" s="18"/>
      <c r="AG156" s="19"/>
      <c r="AL156" s="18"/>
      <c r="AM156" s="19"/>
    </row>
    <row r="157">
      <c r="A157" s="4" t="s">
        <v>630</v>
      </c>
      <c r="B157" s="10">
        <v>42131.0</v>
      </c>
      <c r="C157" s="11" t="s">
        <v>382</v>
      </c>
      <c r="D157" s="11" t="s">
        <v>51</v>
      </c>
      <c r="E157" s="11" t="s">
        <v>52</v>
      </c>
      <c r="F157" s="11" t="s">
        <v>53</v>
      </c>
      <c r="G157" s="11" t="s">
        <v>54</v>
      </c>
      <c r="H157" s="11" t="s">
        <v>153</v>
      </c>
      <c r="I157" s="11" t="s">
        <v>631</v>
      </c>
      <c r="J157" s="11">
        <v>29.0</v>
      </c>
      <c r="K157" s="33">
        <v>42556.0</v>
      </c>
      <c r="L157" s="11">
        <f t="shared" si="8"/>
        <v>14</v>
      </c>
      <c r="M157" s="11">
        <v>493603.0</v>
      </c>
      <c r="N157" s="11">
        <v>1247.0</v>
      </c>
      <c r="O157" s="4" t="s">
        <v>59</v>
      </c>
      <c r="P157" s="11">
        <v>34.0</v>
      </c>
      <c r="Q157" s="15">
        <v>27.0</v>
      </c>
      <c r="R157" s="22">
        <v>1.0</v>
      </c>
      <c r="S157">
        <f t="shared" si="1"/>
        <v>2015</v>
      </c>
      <c r="T157">
        <f t="shared" si="2"/>
        <v>5</v>
      </c>
      <c r="U157" s="20">
        <v>42241.0</v>
      </c>
      <c r="X157" s="20">
        <v>42518.0</v>
      </c>
      <c r="Y157" s="20">
        <v>42531.0</v>
      </c>
      <c r="AF157" s="18"/>
      <c r="AG157" s="19"/>
      <c r="AL157" s="18"/>
      <c r="AM157" s="19"/>
    </row>
    <row r="158">
      <c r="A158" s="4" t="s">
        <v>633</v>
      </c>
      <c r="B158" s="10">
        <v>42131.0</v>
      </c>
      <c r="C158" s="11" t="s">
        <v>156</v>
      </c>
      <c r="D158" s="11" t="s">
        <v>91</v>
      </c>
      <c r="E158" s="11" t="s">
        <v>52</v>
      </c>
      <c r="F158" s="11" t="s">
        <v>53</v>
      </c>
      <c r="G158" s="11" t="s">
        <v>54</v>
      </c>
      <c r="H158" s="11" t="s">
        <v>308</v>
      </c>
      <c r="I158" s="11" t="s">
        <v>634</v>
      </c>
      <c r="J158" s="11">
        <v>23.0</v>
      </c>
      <c r="K158" s="33">
        <v>42545.0</v>
      </c>
      <c r="L158" s="11">
        <f t="shared" si="8"/>
        <v>14</v>
      </c>
      <c r="M158" s="11">
        <v>657796.0</v>
      </c>
      <c r="N158" s="11" t="s">
        <v>635</v>
      </c>
      <c r="O158" s="4"/>
      <c r="P158" s="11">
        <v>0.0</v>
      </c>
      <c r="Q158" s="15">
        <v>0.0</v>
      </c>
      <c r="R158" s="22">
        <v>1.0</v>
      </c>
      <c r="S158">
        <f t="shared" si="1"/>
        <v>2015</v>
      </c>
      <c r="T158">
        <f t="shared" si="2"/>
        <v>5</v>
      </c>
      <c r="AF158" s="18"/>
      <c r="AG158" s="19"/>
      <c r="AL158" s="18"/>
      <c r="AM158" s="19"/>
    </row>
    <row r="159">
      <c r="A159" s="4" t="s">
        <v>636</v>
      </c>
      <c r="B159" s="10">
        <v>42130.0</v>
      </c>
      <c r="C159" s="11" t="s">
        <v>159</v>
      </c>
      <c r="D159" s="11" t="s">
        <v>91</v>
      </c>
      <c r="E159" s="11" t="s">
        <v>52</v>
      </c>
      <c r="F159" s="11" t="s">
        <v>53</v>
      </c>
      <c r="G159" s="11" t="s">
        <v>265</v>
      </c>
      <c r="H159" s="11"/>
      <c r="I159" s="11"/>
      <c r="J159" s="11">
        <v>20.0</v>
      </c>
      <c r="K159" s="33">
        <v>42546.0</v>
      </c>
      <c r="L159" s="11">
        <f t="shared" si="8"/>
        <v>14</v>
      </c>
      <c r="M159" s="11">
        <v>621593.0</v>
      </c>
      <c r="N159" s="11" t="s">
        <v>637</v>
      </c>
      <c r="O159" s="4"/>
      <c r="P159" s="11">
        <v>0.0</v>
      </c>
      <c r="Q159" s="15">
        <v>0.0</v>
      </c>
      <c r="R159" s="22">
        <v>1.0</v>
      </c>
      <c r="S159">
        <f t="shared" si="1"/>
        <v>2015</v>
      </c>
      <c r="T159">
        <f t="shared" si="2"/>
        <v>5</v>
      </c>
      <c r="AF159" s="18"/>
      <c r="AG159" s="19"/>
      <c r="AL159" s="18"/>
      <c r="AM159" s="19"/>
    </row>
    <row r="160">
      <c r="A160" s="4" t="s">
        <v>638</v>
      </c>
      <c r="B160" s="10">
        <v>42129.0</v>
      </c>
      <c r="C160" s="11" t="s">
        <v>109</v>
      </c>
      <c r="D160" s="11" t="s">
        <v>82</v>
      </c>
      <c r="E160" s="11" t="s">
        <v>52</v>
      </c>
      <c r="F160" s="11" t="s">
        <v>53</v>
      </c>
      <c r="G160" s="11" t="s">
        <v>83</v>
      </c>
      <c r="H160" s="11"/>
      <c r="I160" s="11"/>
      <c r="J160" s="11">
        <v>23.0</v>
      </c>
      <c r="K160" s="33">
        <v>42535.0</v>
      </c>
      <c r="L160" s="11">
        <f t="shared" si="8"/>
        <v>13</v>
      </c>
      <c r="M160" s="11">
        <v>593619.0</v>
      </c>
      <c r="N160" s="11" t="s">
        <v>639</v>
      </c>
      <c r="O160" s="4"/>
      <c r="P160" s="11">
        <v>0.0</v>
      </c>
      <c r="Q160" s="15">
        <v>0.0</v>
      </c>
      <c r="R160" s="22">
        <v>1.0</v>
      </c>
      <c r="S160">
        <f t="shared" si="1"/>
        <v>2015</v>
      </c>
      <c r="T160">
        <f t="shared" si="2"/>
        <v>5</v>
      </c>
      <c r="AF160" s="18"/>
      <c r="AG160" s="19"/>
      <c r="AL160" s="18"/>
      <c r="AM160" s="19"/>
    </row>
    <row r="161">
      <c r="A161" s="4" t="s">
        <v>640</v>
      </c>
      <c r="B161" s="10">
        <v>42125.0</v>
      </c>
      <c r="C161" s="11" t="s">
        <v>119</v>
      </c>
      <c r="D161" s="11" t="s">
        <v>75</v>
      </c>
      <c r="E161" s="11" t="s">
        <v>160</v>
      </c>
      <c r="F161" s="11" t="s">
        <v>53</v>
      </c>
      <c r="G161" s="11" t="s">
        <v>54</v>
      </c>
      <c r="H161" s="11" t="s">
        <v>153</v>
      </c>
      <c r="I161" s="11"/>
      <c r="J161" s="11">
        <v>26.0</v>
      </c>
      <c r="K161" s="33">
        <v>42535.0</v>
      </c>
      <c r="L161" s="11">
        <f t="shared" si="8"/>
        <v>13</v>
      </c>
      <c r="M161" s="11">
        <v>544371.0</v>
      </c>
      <c r="N161" s="11">
        <v>10154.0</v>
      </c>
      <c r="O161" s="4"/>
      <c r="P161" s="11">
        <v>0.0</v>
      </c>
      <c r="Q161" s="15">
        <v>0.0</v>
      </c>
      <c r="R161" s="22">
        <v>1.0</v>
      </c>
      <c r="S161">
        <f t="shared" si="1"/>
        <v>2015</v>
      </c>
      <c r="T161">
        <f t="shared" si="2"/>
        <v>5</v>
      </c>
      <c r="AF161" s="18"/>
      <c r="AG161" s="19"/>
      <c r="AL161" s="18"/>
      <c r="AM161" s="19"/>
    </row>
    <row r="162">
      <c r="A162" s="4" t="s">
        <v>641</v>
      </c>
      <c r="B162" s="10">
        <v>42125.0</v>
      </c>
      <c r="C162" s="11" t="s">
        <v>229</v>
      </c>
      <c r="D162" s="11" t="s">
        <v>82</v>
      </c>
      <c r="E162" s="11" t="s">
        <v>52</v>
      </c>
      <c r="F162" s="11" t="s">
        <v>53</v>
      </c>
      <c r="G162" s="11" t="s">
        <v>54</v>
      </c>
      <c r="H162" s="11" t="s">
        <v>157</v>
      </c>
      <c r="I162" s="11" t="s">
        <v>643</v>
      </c>
      <c r="J162" s="11">
        <v>26.0</v>
      </c>
      <c r="K162" s="33">
        <v>42558.0</v>
      </c>
      <c r="L162" s="11">
        <f t="shared" si="8"/>
        <v>14</v>
      </c>
      <c r="M162" s="11">
        <v>607696.0</v>
      </c>
      <c r="N162" s="11" t="s">
        <v>644</v>
      </c>
      <c r="O162" s="4"/>
      <c r="P162" s="11">
        <v>0.0</v>
      </c>
      <c r="Q162" s="15">
        <v>0.0</v>
      </c>
      <c r="R162" s="22">
        <v>1.0</v>
      </c>
      <c r="S162">
        <f t="shared" si="1"/>
        <v>2015</v>
      </c>
      <c r="T162">
        <f t="shared" si="2"/>
        <v>5</v>
      </c>
      <c r="AF162" s="18"/>
      <c r="AG162" s="19"/>
      <c r="AL162" s="18"/>
      <c r="AM162" s="19"/>
    </row>
    <row r="163">
      <c r="A163" s="4" t="s">
        <v>645</v>
      </c>
      <c r="B163" s="10">
        <v>42125.0</v>
      </c>
      <c r="C163" s="11" t="s">
        <v>138</v>
      </c>
      <c r="D163" s="11" t="s">
        <v>91</v>
      </c>
      <c r="E163" s="11" t="s">
        <v>52</v>
      </c>
      <c r="F163" s="11" t="s">
        <v>53</v>
      </c>
      <c r="G163" s="11" t="s">
        <v>54</v>
      </c>
      <c r="H163" s="11" t="s">
        <v>154</v>
      </c>
      <c r="I163" s="11"/>
      <c r="J163" s="11">
        <v>20.0</v>
      </c>
      <c r="K163" s="33">
        <v>42547.0</v>
      </c>
      <c r="L163" s="11">
        <f t="shared" si="8"/>
        <v>14</v>
      </c>
      <c r="M163" s="11">
        <v>656362.0</v>
      </c>
      <c r="N163" s="11" t="s">
        <v>648</v>
      </c>
      <c r="O163" s="4"/>
      <c r="P163" s="11">
        <v>0.0</v>
      </c>
      <c r="Q163" s="15">
        <v>0.0</v>
      </c>
      <c r="R163" s="22">
        <v>1.0</v>
      </c>
      <c r="S163">
        <f t="shared" si="1"/>
        <v>2015</v>
      </c>
      <c r="T163">
        <f t="shared" si="2"/>
        <v>5</v>
      </c>
      <c r="AF163" s="18"/>
      <c r="AG163" s="19"/>
      <c r="AL163" s="18"/>
      <c r="AM163" s="19"/>
    </row>
    <row r="164">
      <c r="A164" s="4" t="s">
        <v>649</v>
      </c>
      <c r="B164" s="10">
        <v>42124.0</v>
      </c>
      <c r="C164" s="11" t="s">
        <v>81</v>
      </c>
      <c r="D164" s="11" t="s">
        <v>51</v>
      </c>
      <c r="E164" s="11" t="s">
        <v>52</v>
      </c>
      <c r="F164" s="11" t="s">
        <v>53</v>
      </c>
      <c r="G164" s="11" t="s">
        <v>54</v>
      </c>
      <c r="H164" s="11" t="s">
        <v>341</v>
      </c>
      <c r="I164" s="11" t="s">
        <v>650</v>
      </c>
      <c r="J164" s="11">
        <v>31.0</v>
      </c>
      <c r="K164" s="33">
        <v>42554.0</v>
      </c>
      <c r="L164" s="11">
        <f t="shared" si="8"/>
        <v>14</v>
      </c>
      <c r="M164" s="11">
        <v>435221.0</v>
      </c>
      <c r="N164" s="11">
        <v>4662.0</v>
      </c>
      <c r="O164" s="4" t="s">
        <v>188</v>
      </c>
      <c r="P164" s="11">
        <v>10.0</v>
      </c>
      <c r="Q164" s="15">
        <v>40.0</v>
      </c>
      <c r="R164" s="22">
        <v>1.0</v>
      </c>
      <c r="S164">
        <f t="shared" si="1"/>
        <v>2015</v>
      </c>
      <c r="T164">
        <f t="shared" si="2"/>
        <v>4</v>
      </c>
      <c r="V164" s="20">
        <v>42424.0</v>
      </c>
      <c r="X164" s="20">
        <v>42520.0</v>
      </c>
      <c r="Y164" s="20">
        <v>42532.0</v>
      </c>
      <c r="Z164" s="20">
        <v>42512.0</v>
      </c>
      <c r="AA164" s="4" t="s">
        <v>652</v>
      </c>
      <c r="AF164" s="18"/>
      <c r="AG164" s="19"/>
      <c r="AL164" s="18"/>
      <c r="AM164" s="19"/>
    </row>
    <row r="165">
      <c r="A165" s="4" t="s">
        <v>526</v>
      </c>
      <c r="B165" s="10">
        <v>42123.0</v>
      </c>
      <c r="C165" s="11" t="s">
        <v>159</v>
      </c>
      <c r="D165" s="11" t="s">
        <v>51</v>
      </c>
      <c r="E165" s="11" t="s">
        <v>52</v>
      </c>
      <c r="F165" s="11" t="s">
        <v>53</v>
      </c>
      <c r="G165" s="11" t="s">
        <v>54</v>
      </c>
      <c r="H165" s="11" t="s">
        <v>153</v>
      </c>
      <c r="I165" s="11" t="s">
        <v>187</v>
      </c>
      <c r="J165" s="11">
        <v>40.0</v>
      </c>
      <c r="K165" s="33">
        <v>42575.0</v>
      </c>
      <c r="L165" s="11">
        <f t="shared" si="8"/>
        <v>15</v>
      </c>
      <c r="M165" s="11">
        <v>150274.0</v>
      </c>
      <c r="N165" s="11">
        <v>1122.0</v>
      </c>
      <c r="O165" s="4" t="s">
        <v>177</v>
      </c>
      <c r="P165" s="11">
        <v>10.0</v>
      </c>
      <c r="Q165" s="15">
        <v>6.333</v>
      </c>
      <c r="R165" s="22">
        <v>1.0</v>
      </c>
      <c r="S165">
        <f t="shared" si="1"/>
        <v>2015</v>
      </c>
      <c r="T165">
        <f t="shared" si="2"/>
        <v>4</v>
      </c>
      <c r="W165" s="20">
        <v>42491.0</v>
      </c>
      <c r="Y165" s="20">
        <v>42544.0</v>
      </c>
      <c r="AF165" s="18"/>
      <c r="AG165" s="19"/>
      <c r="AL165" s="18"/>
      <c r="AM165" s="19"/>
    </row>
    <row r="166">
      <c r="A166" s="4" t="s">
        <v>612</v>
      </c>
      <c r="B166" s="10">
        <v>42123.0</v>
      </c>
      <c r="C166" s="11" t="s">
        <v>125</v>
      </c>
      <c r="D166" s="11" t="s">
        <v>124</v>
      </c>
      <c r="E166" s="11" t="s">
        <v>52</v>
      </c>
      <c r="F166" s="11" t="s">
        <v>53</v>
      </c>
      <c r="G166" s="11" t="s">
        <v>54</v>
      </c>
      <c r="H166" s="11" t="s">
        <v>153</v>
      </c>
      <c r="I166" s="11" t="s">
        <v>180</v>
      </c>
      <c r="J166" s="11">
        <v>24.0</v>
      </c>
      <c r="K166" s="33">
        <v>42570.0</v>
      </c>
      <c r="L166" s="11">
        <f t="shared" si="8"/>
        <v>15</v>
      </c>
      <c r="M166" s="11">
        <v>623437.0</v>
      </c>
      <c r="N166" s="11" t="s">
        <v>654</v>
      </c>
      <c r="O166" s="4"/>
      <c r="P166" s="11">
        <v>0.0</v>
      </c>
      <c r="Q166" s="15">
        <v>0.0</v>
      </c>
      <c r="R166" s="22">
        <v>1.0</v>
      </c>
      <c r="S166">
        <f t="shared" si="1"/>
        <v>2015</v>
      </c>
      <c r="T166">
        <f t="shared" si="2"/>
        <v>4</v>
      </c>
      <c r="AF166" s="18"/>
      <c r="AG166" s="19"/>
      <c r="AL166" s="18"/>
      <c r="AM166" s="19"/>
    </row>
    <row r="167">
      <c r="A167" s="4" t="s">
        <v>655</v>
      </c>
      <c r="B167" s="10">
        <v>42115.0</v>
      </c>
      <c r="C167" s="11" t="s">
        <v>142</v>
      </c>
      <c r="D167" s="11" t="s">
        <v>75</v>
      </c>
      <c r="E167" s="11" t="s">
        <v>52</v>
      </c>
      <c r="F167" s="11" t="s">
        <v>76</v>
      </c>
      <c r="G167" s="11" t="s">
        <v>54</v>
      </c>
      <c r="H167" s="11" t="s">
        <v>251</v>
      </c>
      <c r="I167" s="11" t="s">
        <v>656</v>
      </c>
      <c r="J167" s="11">
        <v>24.0</v>
      </c>
      <c r="K167" s="14"/>
      <c r="L167" s="14"/>
      <c r="M167" s="11">
        <v>621399.0</v>
      </c>
      <c r="N167" s="11" t="s">
        <v>657</v>
      </c>
      <c r="O167" s="4"/>
      <c r="P167" s="11">
        <v>0.0</v>
      </c>
      <c r="Q167" s="15">
        <v>0.0</v>
      </c>
      <c r="R167" s="22">
        <v>1.0</v>
      </c>
      <c r="S167">
        <f t="shared" si="1"/>
        <v>2015</v>
      </c>
      <c r="T167">
        <f t="shared" si="2"/>
        <v>4</v>
      </c>
      <c r="AF167" s="18"/>
      <c r="AG167" s="19"/>
      <c r="AL167" s="18"/>
      <c r="AM167" s="19"/>
    </row>
    <row r="168">
      <c r="A168" s="4" t="s">
        <v>660</v>
      </c>
      <c r="B168" s="10">
        <v>42109.0</v>
      </c>
      <c r="C168" s="11" t="s">
        <v>179</v>
      </c>
      <c r="D168" s="11" t="s">
        <v>51</v>
      </c>
      <c r="E168" s="11" t="s">
        <v>52</v>
      </c>
      <c r="F168" s="11" t="s">
        <v>53</v>
      </c>
      <c r="G168" s="11" t="s">
        <v>83</v>
      </c>
      <c r="H168" s="11"/>
      <c r="I168" s="11"/>
      <c r="J168" s="11">
        <v>25.0</v>
      </c>
      <c r="K168" s="14"/>
      <c r="L168" s="14"/>
      <c r="M168" s="11">
        <v>570810.0</v>
      </c>
      <c r="N168" s="11">
        <v>11266.0</v>
      </c>
      <c r="O168" s="4" t="s">
        <v>177</v>
      </c>
      <c r="P168" s="11">
        <v>0.0</v>
      </c>
      <c r="Q168" s="15">
        <v>0.0</v>
      </c>
      <c r="R168" s="22">
        <v>1.0</v>
      </c>
      <c r="S168">
        <f t="shared" si="1"/>
        <v>2015</v>
      </c>
      <c r="T168">
        <f t="shared" si="2"/>
        <v>4</v>
      </c>
      <c r="Y168" s="20">
        <v>42467.0</v>
      </c>
      <c r="AF168" s="18"/>
      <c r="AG168" s="19"/>
      <c r="AL168" s="18"/>
      <c r="AM168" s="19"/>
    </row>
    <row r="169">
      <c r="A169" s="4" t="s">
        <v>662</v>
      </c>
      <c r="B169" s="10">
        <v>42109.0</v>
      </c>
      <c r="C169" s="11" t="s">
        <v>103</v>
      </c>
      <c r="D169" s="11" t="s">
        <v>91</v>
      </c>
      <c r="E169" s="11" t="s">
        <v>160</v>
      </c>
      <c r="F169" s="11" t="s">
        <v>53</v>
      </c>
      <c r="G169" s="11" t="s">
        <v>54</v>
      </c>
      <c r="H169" s="11" t="s">
        <v>92</v>
      </c>
      <c r="I169" s="11"/>
      <c r="J169" s="11">
        <v>20.0</v>
      </c>
      <c r="K169" s="33">
        <v>42539.0</v>
      </c>
      <c r="L169" s="11">
        <f t="shared" ref="L169:L171" si="9">ROUND(((K169-B169)/365)*12)</f>
        <v>14</v>
      </c>
      <c r="M169" s="11">
        <v>642125.0</v>
      </c>
      <c r="N169" s="11" t="s">
        <v>663</v>
      </c>
      <c r="O169" s="4" t="s">
        <v>188</v>
      </c>
      <c r="P169" s="11">
        <v>0.0</v>
      </c>
      <c r="Q169" s="15">
        <v>0.0</v>
      </c>
      <c r="R169" s="22">
        <v>1.0</v>
      </c>
      <c r="S169">
        <f t="shared" si="1"/>
        <v>2015</v>
      </c>
      <c r="T169">
        <f t="shared" si="2"/>
        <v>4</v>
      </c>
      <c r="AF169" s="18"/>
      <c r="AG169" s="19"/>
      <c r="AL169" s="18"/>
      <c r="AM169" s="19"/>
    </row>
    <row r="170">
      <c r="A170" s="4" t="s">
        <v>664</v>
      </c>
      <c r="B170" s="10">
        <v>42108.0</v>
      </c>
      <c r="C170" s="11" t="s">
        <v>331</v>
      </c>
      <c r="D170" s="11" t="s">
        <v>151</v>
      </c>
      <c r="E170" s="11" t="s">
        <v>52</v>
      </c>
      <c r="F170" s="11" t="s">
        <v>53</v>
      </c>
      <c r="G170" s="11" t="s">
        <v>54</v>
      </c>
      <c r="H170" s="11" t="s">
        <v>211</v>
      </c>
      <c r="I170" s="11" t="s">
        <v>211</v>
      </c>
      <c r="J170" s="11">
        <v>21.0</v>
      </c>
      <c r="K170" s="33">
        <v>42538.0</v>
      </c>
      <c r="L170" s="11">
        <f t="shared" si="9"/>
        <v>14</v>
      </c>
      <c r="M170" s="11">
        <v>621258.0</v>
      </c>
      <c r="N170" s="11" t="s">
        <v>665</v>
      </c>
      <c r="O170" s="4" t="s">
        <v>59</v>
      </c>
      <c r="P170" s="11">
        <v>0.0</v>
      </c>
      <c r="Q170" s="15">
        <v>0.0</v>
      </c>
      <c r="R170" s="22">
        <v>1.0</v>
      </c>
      <c r="S170">
        <f t="shared" si="1"/>
        <v>2015</v>
      </c>
      <c r="T170">
        <f t="shared" si="2"/>
        <v>4</v>
      </c>
      <c r="AF170" s="18"/>
      <c r="AG170" s="19"/>
      <c r="AL170" s="18"/>
      <c r="AM170" s="19"/>
    </row>
    <row r="171">
      <c r="A171" s="4" t="s">
        <v>667</v>
      </c>
      <c r="B171" s="10">
        <v>42108.0</v>
      </c>
      <c r="C171" s="11" t="s">
        <v>179</v>
      </c>
      <c r="D171" s="11" t="s">
        <v>151</v>
      </c>
      <c r="E171" s="11" t="s">
        <v>52</v>
      </c>
      <c r="F171" s="11" t="s">
        <v>53</v>
      </c>
      <c r="G171" s="11" t="s">
        <v>54</v>
      </c>
      <c r="H171" s="11" t="s">
        <v>251</v>
      </c>
      <c r="I171" s="11" t="s">
        <v>668</v>
      </c>
      <c r="J171" s="11">
        <v>21.0</v>
      </c>
      <c r="K171" s="33">
        <v>42538.0</v>
      </c>
      <c r="L171" s="11">
        <f t="shared" si="9"/>
        <v>14</v>
      </c>
      <c r="M171" s="11">
        <v>664055.0</v>
      </c>
      <c r="N171" s="11" t="s">
        <v>669</v>
      </c>
      <c r="O171" s="4"/>
      <c r="P171" s="11">
        <v>0.0</v>
      </c>
      <c r="Q171" s="15">
        <v>0.0</v>
      </c>
      <c r="R171" s="22">
        <v>1.0</v>
      </c>
      <c r="S171">
        <f t="shared" si="1"/>
        <v>2015</v>
      </c>
      <c r="T171">
        <f t="shared" si="2"/>
        <v>4</v>
      </c>
      <c r="Z171" s="20">
        <v>42543.0</v>
      </c>
      <c r="AA171" s="4" t="s">
        <v>670</v>
      </c>
      <c r="AF171" s="18"/>
      <c r="AG171" s="19"/>
      <c r="AL171" s="18"/>
      <c r="AM171" s="19"/>
    </row>
    <row r="172">
      <c r="A172" s="4" t="s">
        <v>671</v>
      </c>
      <c r="B172" s="10">
        <v>42104.0</v>
      </c>
      <c r="C172" s="11" t="s">
        <v>123</v>
      </c>
      <c r="D172" s="11" t="s">
        <v>124</v>
      </c>
      <c r="E172" s="11" t="s">
        <v>52</v>
      </c>
      <c r="F172" s="11" t="s">
        <v>76</v>
      </c>
      <c r="G172" s="11" t="s">
        <v>672</v>
      </c>
      <c r="H172" s="11"/>
      <c r="I172" s="11"/>
      <c r="J172" s="11">
        <v>19.0</v>
      </c>
      <c r="K172" s="14"/>
      <c r="L172" s="14"/>
      <c r="M172" s="11">
        <v>626929.0</v>
      </c>
      <c r="N172" s="11" t="s">
        <v>673</v>
      </c>
      <c r="O172" s="4" t="s">
        <v>674</v>
      </c>
      <c r="P172" s="11">
        <v>0.0</v>
      </c>
      <c r="Q172" s="15">
        <v>0.0</v>
      </c>
      <c r="R172" s="22">
        <v>1.0</v>
      </c>
      <c r="S172">
        <f t="shared" si="1"/>
        <v>2015</v>
      </c>
      <c r="T172">
        <f t="shared" si="2"/>
        <v>4</v>
      </c>
      <c r="AF172" s="18"/>
      <c r="AG172" s="19"/>
      <c r="AL172" s="18"/>
      <c r="AM172" s="19"/>
    </row>
    <row r="173">
      <c r="A173" s="4" t="s">
        <v>676</v>
      </c>
      <c r="B173" s="10">
        <v>42103.0</v>
      </c>
      <c r="C173" s="11" t="s">
        <v>138</v>
      </c>
      <c r="D173" s="11" t="s">
        <v>91</v>
      </c>
      <c r="E173" s="11" t="s">
        <v>52</v>
      </c>
      <c r="F173" s="11" t="s">
        <v>53</v>
      </c>
      <c r="G173" s="11" t="s">
        <v>83</v>
      </c>
      <c r="H173" s="11"/>
      <c r="I173" s="11"/>
      <c r="J173" s="11">
        <v>24.0</v>
      </c>
      <c r="K173" s="33">
        <v>42577.0</v>
      </c>
      <c r="L173" s="11">
        <f>ROUND(((K173-B173)/365)*12)</f>
        <v>16</v>
      </c>
      <c r="M173" s="11">
        <v>576968.0</v>
      </c>
      <c r="N173" s="11" t="s">
        <v>677</v>
      </c>
      <c r="O173" s="4"/>
      <c r="P173" s="11">
        <v>0.0</v>
      </c>
      <c r="Q173" s="15">
        <v>0.0</v>
      </c>
      <c r="R173" s="22">
        <v>1.0</v>
      </c>
      <c r="S173">
        <f t="shared" si="1"/>
        <v>2015</v>
      </c>
      <c r="T173">
        <f t="shared" si="2"/>
        <v>4</v>
      </c>
      <c r="AF173" s="18"/>
      <c r="AG173" s="19"/>
      <c r="AL173" s="18"/>
      <c r="AM173" s="19"/>
    </row>
    <row r="174">
      <c r="A174" s="4" t="s">
        <v>678</v>
      </c>
      <c r="B174" s="10">
        <v>42102.0</v>
      </c>
      <c r="C174" s="11" t="s">
        <v>331</v>
      </c>
      <c r="D174" s="11" t="s">
        <v>51</v>
      </c>
      <c r="E174" s="11" t="s">
        <v>52</v>
      </c>
      <c r="F174" s="11" t="s">
        <v>53</v>
      </c>
      <c r="G174" s="11" t="s">
        <v>54</v>
      </c>
      <c r="H174" s="11" t="s">
        <v>250</v>
      </c>
      <c r="I174" s="11" t="s">
        <v>679</v>
      </c>
      <c r="J174" s="11">
        <v>28.0</v>
      </c>
      <c r="K174" s="14"/>
      <c r="L174" s="14"/>
      <c r="M174" s="11">
        <v>543070.0</v>
      </c>
      <c r="N174" s="11">
        <v>10149.0</v>
      </c>
      <c r="O174" s="4" t="s">
        <v>287</v>
      </c>
      <c r="P174" s="11">
        <v>0.0</v>
      </c>
      <c r="Q174" s="15">
        <v>0.0</v>
      </c>
      <c r="R174" s="22">
        <v>1.0</v>
      </c>
      <c r="S174">
        <f t="shared" si="1"/>
        <v>2015</v>
      </c>
      <c r="T174">
        <f t="shared" si="2"/>
        <v>4</v>
      </c>
      <c r="W174" s="20">
        <v>42420.0</v>
      </c>
      <c r="Y174" s="20">
        <v>42465.0</v>
      </c>
      <c r="Z174" s="20">
        <v>42500.0</v>
      </c>
      <c r="AA174" s="4" t="s">
        <v>680</v>
      </c>
      <c r="AF174" s="18"/>
      <c r="AG174" s="19"/>
      <c r="AL174" s="18"/>
      <c r="AM174" s="19"/>
    </row>
    <row r="175">
      <c r="A175" s="4" t="s">
        <v>681</v>
      </c>
      <c r="B175" s="10">
        <v>42102.0</v>
      </c>
      <c r="C175" s="11" t="s">
        <v>103</v>
      </c>
      <c r="D175" s="11" t="s">
        <v>51</v>
      </c>
      <c r="E175" s="11" t="s">
        <v>52</v>
      </c>
      <c r="F175" s="11" t="s">
        <v>76</v>
      </c>
      <c r="G175" s="11" t="s">
        <v>54</v>
      </c>
      <c r="H175" s="11" t="s">
        <v>92</v>
      </c>
      <c r="I175" s="11" t="s">
        <v>682</v>
      </c>
      <c r="J175" s="11">
        <v>26.0</v>
      </c>
      <c r="K175" s="14"/>
      <c r="L175" s="14"/>
      <c r="M175" s="11">
        <v>571786.0</v>
      </c>
      <c r="N175" s="11">
        <v>10504.0</v>
      </c>
      <c r="O175" s="4" t="s">
        <v>414</v>
      </c>
      <c r="P175" s="11">
        <v>0.0</v>
      </c>
      <c r="Q175" s="15">
        <v>0.0</v>
      </c>
      <c r="R175" s="22">
        <v>1.0</v>
      </c>
      <c r="S175">
        <f t="shared" si="1"/>
        <v>2015</v>
      </c>
      <c r="T175">
        <f t="shared" si="2"/>
        <v>4</v>
      </c>
      <c r="X175" s="20">
        <v>42451.0</v>
      </c>
      <c r="Y175" s="20">
        <v>42499.0</v>
      </c>
      <c r="AF175" s="18"/>
      <c r="AG175" s="19"/>
      <c r="AL175" s="18"/>
      <c r="AM175" s="19"/>
    </row>
    <row r="176">
      <c r="A176" s="4" t="s">
        <v>683</v>
      </c>
      <c r="B176" s="10">
        <v>42102.0</v>
      </c>
      <c r="C176" s="11" t="s">
        <v>209</v>
      </c>
      <c r="D176" s="11" t="s">
        <v>110</v>
      </c>
      <c r="E176" s="11" t="s">
        <v>52</v>
      </c>
      <c r="F176" s="11" t="s">
        <v>53</v>
      </c>
      <c r="G176" s="11" t="s">
        <v>54</v>
      </c>
      <c r="H176" s="11" t="s">
        <v>416</v>
      </c>
      <c r="I176" s="11"/>
      <c r="J176" s="11">
        <v>24.0</v>
      </c>
      <c r="K176" s="14"/>
      <c r="L176" s="14"/>
      <c r="M176" s="11">
        <v>542918.0</v>
      </c>
      <c r="N176" s="11" t="s">
        <v>684</v>
      </c>
      <c r="O176" s="4" t="s">
        <v>685</v>
      </c>
      <c r="P176" s="11">
        <v>0.0</v>
      </c>
      <c r="Q176" s="15">
        <v>0.0</v>
      </c>
      <c r="R176" s="22">
        <v>1.0</v>
      </c>
      <c r="S176">
        <f t="shared" si="1"/>
        <v>2015</v>
      </c>
      <c r="T176">
        <f t="shared" si="2"/>
        <v>4</v>
      </c>
      <c r="AF176" s="18"/>
      <c r="AG176" s="19"/>
      <c r="AL176" s="18"/>
      <c r="AM176" s="19"/>
    </row>
    <row r="177">
      <c r="A177" s="4" t="s">
        <v>686</v>
      </c>
      <c r="B177" s="10">
        <v>42102.0</v>
      </c>
      <c r="C177" s="11" t="s">
        <v>123</v>
      </c>
      <c r="D177" s="11" t="s">
        <v>110</v>
      </c>
      <c r="E177" s="11" t="s">
        <v>52</v>
      </c>
      <c r="F177" s="11" t="s">
        <v>53</v>
      </c>
      <c r="G177" s="11" t="s">
        <v>54</v>
      </c>
      <c r="H177" s="11" t="s">
        <v>55</v>
      </c>
      <c r="I177" s="11"/>
      <c r="J177" s="11">
        <v>25.0</v>
      </c>
      <c r="K177" s="14"/>
      <c r="L177" s="14"/>
      <c r="M177" s="11">
        <v>543297.0</v>
      </c>
      <c r="N177" s="11" t="s">
        <v>687</v>
      </c>
      <c r="O177" s="4" t="s">
        <v>674</v>
      </c>
      <c r="P177" s="11">
        <v>0.0</v>
      </c>
      <c r="Q177" s="15">
        <v>0.0</v>
      </c>
      <c r="R177" s="22">
        <v>1.0</v>
      </c>
      <c r="S177">
        <f t="shared" si="1"/>
        <v>2015</v>
      </c>
      <c r="T177">
        <f t="shared" si="2"/>
        <v>4</v>
      </c>
      <c r="AF177" s="18"/>
      <c r="AG177" s="19"/>
      <c r="AL177" s="18"/>
      <c r="AM177" s="19"/>
    </row>
    <row r="178">
      <c r="A178" s="4" t="s">
        <v>688</v>
      </c>
      <c r="B178" s="10">
        <v>42101.0</v>
      </c>
      <c r="C178" s="11" t="s">
        <v>130</v>
      </c>
      <c r="D178" s="11" t="s">
        <v>75</v>
      </c>
      <c r="E178" s="11" t="s">
        <v>52</v>
      </c>
      <c r="F178" s="11" t="s">
        <v>53</v>
      </c>
      <c r="G178" s="11" t="s">
        <v>54</v>
      </c>
      <c r="H178" s="11" t="s">
        <v>157</v>
      </c>
      <c r="I178" s="11" t="s">
        <v>689</v>
      </c>
      <c r="J178" s="11">
        <v>25.0</v>
      </c>
      <c r="K178" s="14"/>
      <c r="L178" s="14"/>
      <c r="M178" s="11">
        <v>572143.0</v>
      </c>
      <c r="N178" s="11">
        <v>12784.0</v>
      </c>
      <c r="O178" s="4"/>
      <c r="P178" s="11">
        <v>0.0</v>
      </c>
      <c r="Q178" s="15">
        <v>0.0</v>
      </c>
      <c r="R178" s="11">
        <v>0.0</v>
      </c>
      <c r="S178">
        <f t="shared" si="1"/>
        <v>2015</v>
      </c>
      <c r="T178">
        <f t="shared" si="2"/>
        <v>4</v>
      </c>
      <c r="AF178" s="18"/>
      <c r="AG178" s="19"/>
      <c r="AL178" s="18"/>
      <c r="AM178" s="19"/>
    </row>
    <row r="179">
      <c r="A179" s="4" t="s">
        <v>690</v>
      </c>
      <c r="B179" s="10">
        <v>42100.0</v>
      </c>
      <c r="C179" s="11" t="s">
        <v>81</v>
      </c>
      <c r="D179" s="11" t="s">
        <v>151</v>
      </c>
      <c r="E179" s="11" t="s">
        <v>52</v>
      </c>
      <c r="F179" s="11" t="s">
        <v>53</v>
      </c>
      <c r="G179" s="11" t="s">
        <v>54</v>
      </c>
      <c r="H179" s="11" t="s">
        <v>92</v>
      </c>
      <c r="I179" s="11" t="s">
        <v>691</v>
      </c>
      <c r="J179" s="11">
        <v>21.0</v>
      </c>
      <c r="K179" s="13">
        <v>42578.0</v>
      </c>
      <c r="L179" s="11">
        <f t="shared" ref="L179:L184" si="10">ROUND(((K179-B179)/365)*12)</f>
        <v>16</v>
      </c>
      <c r="M179" s="11">
        <v>641445.0</v>
      </c>
      <c r="N179" s="11" t="s">
        <v>694</v>
      </c>
      <c r="O179" s="4"/>
      <c r="P179" s="11">
        <v>0.0</v>
      </c>
      <c r="Q179" s="15">
        <v>0.0</v>
      </c>
      <c r="R179" s="22">
        <v>1.0</v>
      </c>
      <c r="S179">
        <f t="shared" si="1"/>
        <v>2015</v>
      </c>
      <c r="T179">
        <f t="shared" si="2"/>
        <v>4</v>
      </c>
      <c r="AF179" s="18"/>
      <c r="AG179" s="19"/>
      <c r="AL179" s="18"/>
      <c r="AM179" s="19"/>
    </row>
    <row r="180">
      <c r="A180" s="4" t="s">
        <v>696</v>
      </c>
      <c r="B180" s="10">
        <v>42096.0</v>
      </c>
      <c r="C180" s="11" t="s">
        <v>133</v>
      </c>
      <c r="D180" s="11" t="s">
        <v>51</v>
      </c>
      <c r="E180" s="11" t="s">
        <v>264</v>
      </c>
      <c r="F180" s="11" t="s">
        <v>53</v>
      </c>
      <c r="G180" s="11" t="s">
        <v>172</v>
      </c>
      <c r="H180" s="11"/>
      <c r="I180" s="11"/>
      <c r="J180" s="11">
        <v>24.0</v>
      </c>
      <c r="K180" s="13">
        <v>42475.0</v>
      </c>
      <c r="L180" s="11">
        <f t="shared" si="10"/>
        <v>12</v>
      </c>
      <c r="M180" s="11">
        <v>543877.0</v>
      </c>
      <c r="N180" s="11">
        <v>9774.0</v>
      </c>
      <c r="O180" s="4" t="s">
        <v>59</v>
      </c>
      <c r="P180" s="11">
        <v>57.0</v>
      </c>
      <c r="Q180" s="15">
        <v>184.0</v>
      </c>
      <c r="R180" s="22">
        <v>1.0</v>
      </c>
      <c r="S180">
        <f t="shared" si="1"/>
        <v>2015</v>
      </c>
      <c r="T180">
        <f t="shared" si="2"/>
        <v>4</v>
      </c>
      <c r="AF180" s="18"/>
      <c r="AG180" s="19"/>
      <c r="AL180" s="18"/>
      <c r="AM180" s="19"/>
    </row>
    <row r="181">
      <c r="A181" s="4" t="s">
        <v>697</v>
      </c>
      <c r="B181" s="10">
        <v>42096.0</v>
      </c>
      <c r="C181" s="11" t="s">
        <v>142</v>
      </c>
      <c r="D181" s="11" t="s">
        <v>91</v>
      </c>
      <c r="E181" s="11" t="s">
        <v>52</v>
      </c>
      <c r="F181" s="11" t="s">
        <v>53</v>
      </c>
      <c r="G181" s="11" t="s">
        <v>54</v>
      </c>
      <c r="H181" s="11" t="s">
        <v>92</v>
      </c>
      <c r="I181" s="11" t="s">
        <v>698</v>
      </c>
      <c r="J181" s="11">
        <v>21.0</v>
      </c>
      <c r="K181" s="33">
        <v>42546.0</v>
      </c>
      <c r="L181" s="11">
        <f t="shared" si="10"/>
        <v>15</v>
      </c>
      <c r="M181" s="11">
        <v>657097.0</v>
      </c>
      <c r="N181" s="11" t="s">
        <v>699</v>
      </c>
      <c r="O181" s="4" t="s">
        <v>700</v>
      </c>
      <c r="P181" s="11">
        <v>0.0</v>
      </c>
      <c r="Q181" s="15">
        <v>0.0</v>
      </c>
      <c r="R181" s="22">
        <v>1.0</v>
      </c>
      <c r="S181">
        <f t="shared" si="1"/>
        <v>2015</v>
      </c>
      <c r="T181">
        <f t="shared" si="2"/>
        <v>4</v>
      </c>
      <c r="AF181" s="18"/>
      <c r="AG181" s="19"/>
      <c r="AL181" s="18"/>
      <c r="AM181" s="19"/>
    </row>
    <row r="182">
      <c r="A182" s="4" t="s">
        <v>701</v>
      </c>
      <c r="B182" s="10">
        <v>42095.0</v>
      </c>
      <c r="C182" s="11" t="s">
        <v>350</v>
      </c>
      <c r="D182" s="11" t="s">
        <v>110</v>
      </c>
      <c r="E182" s="11" t="s">
        <v>52</v>
      </c>
      <c r="F182" s="11" t="s">
        <v>53</v>
      </c>
      <c r="G182" s="11" t="s">
        <v>54</v>
      </c>
      <c r="H182" s="11" t="s">
        <v>153</v>
      </c>
      <c r="I182" s="11"/>
      <c r="J182" s="11">
        <v>24.0</v>
      </c>
      <c r="K182" s="13">
        <v>42470.0</v>
      </c>
      <c r="L182" s="11">
        <f t="shared" si="10"/>
        <v>12</v>
      </c>
      <c r="M182" s="11">
        <v>542231.0</v>
      </c>
      <c r="N182" s="11" t="s">
        <v>702</v>
      </c>
      <c r="O182" s="4"/>
      <c r="P182" s="11">
        <v>0.0</v>
      </c>
      <c r="Q182" s="15">
        <v>0.0</v>
      </c>
      <c r="R182" s="22">
        <v>1.0</v>
      </c>
      <c r="S182">
        <f t="shared" si="1"/>
        <v>2015</v>
      </c>
      <c r="T182">
        <f t="shared" si="2"/>
        <v>4</v>
      </c>
      <c r="AF182" s="18"/>
      <c r="AG182" s="19"/>
      <c r="AL182" s="18"/>
      <c r="AM182" s="19"/>
    </row>
    <row r="183">
      <c r="A183" s="4" t="s">
        <v>703</v>
      </c>
      <c r="B183" s="10">
        <v>42095.0</v>
      </c>
      <c r="C183" s="11" t="s">
        <v>103</v>
      </c>
      <c r="D183" s="11" t="s">
        <v>91</v>
      </c>
      <c r="E183" s="11" t="s">
        <v>52</v>
      </c>
      <c r="F183" s="11" t="s">
        <v>53</v>
      </c>
      <c r="G183" s="11" t="s">
        <v>54</v>
      </c>
      <c r="H183" s="11" t="s">
        <v>77</v>
      </c>
      <c r="I183" s="11"/>
      <c r="J183" s="11">
        <v>21.0</v>
      </c>
      <c r="K183" s="33">
        <v>42512.0</v>
      </c>
      <c r="L183" s="11">
        <f t="shared" si="10"/>
        <v>14</v>
      </c>
      <c r="M183" s="11">
        <v>623454.0</v>
      </c>
      <c r="N183" s="11" t="s">
        <v>706</v>
      </c>
      <c r="O183" s="4"/>
      <c r="P183" s="11">
        <v>0.0</v>
      </c>
      <c r="Q183" s="15">
        <v>0.0</v>
      </c>
      <c r="R183" s="22">
        <v>1.0</v>
      </c>
      <c r="S183">
        <f t="shared" si="1"/>
        <v>2015</v>
      </c>
      <c r="T183">
        <f t="shared" si="2"/>
        <v>4</v>
      </c>
      <c r="AF183" s="18"/>
      <c r="AG183" s="19"/>
      <c r="AL183" s="18"/>
      <c r="AM183" s="19"/>
    </row>
    <row r="184">
      <c r="A184" s="4" t="s">
        <v>708</v>
      </c>
      <c r="B184" s="10">
        <v>42094.0</v>
      </c>
      <c r="C184" s="11" t="s">
        <v>138</v>
      </c>
      <c r="D184" s="11" t="s">
        <v>124</v>
      </c>
      <c r="E184" s="11" t="s">
        <v>52</v>
      </c>
      <c r="F184" s="11" t="s">
        <v>53</v>
      </c>
      <c r="G184" s="11" t="s">
        <v>83</v>
      </c>
      <c r="H184" s="11"/>
      <c r="I184" s="11"/>
      <c r="J184" s="11">
        <v>22.0</v>
      </c>
      <c r="K184" s="33">
        <v>42547.0</v>
      </c>
      <c r="L184" s="11">
        <f t="shared" si="10"/>
        <v>15</v>
      </c>
      <c r="M184" s="11">
        <v>593334.0</v>
      </c>
      <c r="N184" s="11" t="s">
        <v>709</v>
      </c>
      <c r="O184" s="4" t="s">
        <v>183</v>
      </c>
      <c r="P184" s="11">
        <v>0.0</v>
      </c>
      <c r="Q184" s="15">
        <v>0.0</v>
      </c>
      <c r="R184" s="22">
        <v>1.0</v>
      </c>
      <c r="S184">
        <f t="shared" si="1"/>
        <v>2015</v>
      </c>
      <c r="T184">
        <f t="shared" si="2"/>
        <v>3</v>
      </c>
      <c r="AF184" s="18"/>
      <c r="AG184" s="19"/>
      <c r="AL184" s="18"/>
      <c r="AM184" s="19"/>
    </row>
    <row r="185">
      <c r="A185" s="4" t="s">
        <v>401</v>
      </c>
      <c r="B185" s="10">
        <v>42094.0</v>
      </c>
      <c r="C185" s="11" t="s">
        <v>138</v>
      </c>
      <c r="D185" s="11" t="s">
        <v>210</v>
      </c>
      <c r="E185" s="11" t="s">
        <v>52</v>
      </c>
      <c r="F185" s="11" t="s">
        <v>53</v>
      </c>
      <c r="G185" s="11" t="s">
        <v>54</v>
      </c>
      <c r="H185" s="11" t="s">
        <v>218</v>
      </c>
      <c r="I185" s="11"/>
      <c r="J185" s="11">
        <v>21.0</v>
      </c>
      <c r="K185" s="14"/>
      <c r="L185" s="14"/>
      <c r="M185" s="11">
        <v>544621.0</v>
      </c>
      <c r="N185" s="11" t="s">
        <v>402</v>
      </c>
      <c r="O185" s="4" t="s">
        <v>59</v>
      </c>
      <c r="P185" s="11">
        <v>0.0</v>
      </c>
      <c r="Q185" s="15">
        <v>0.0</v>
      </c>
      <c r="R185" s="22">
        <v>0.0</v>
      </c>
      <c r="S185">
        <f t="shared" si="1"/>
        <v>2015</v>
      </c>
      <c r="T185">
        <f t="shared" si="2"/>
        <v>3</v>
      </c>
      <c r="AF185" s="18"/>
      <c r="AG185" s="19"/>
      <c r="AL185" s="18"/>
      <c r="AM185" s="19"/>
    </row>
    <row r="186">
      <c r="A186" s="4" t="s">
        <v>710</v>
      </c>
      <c r="B186" s="10">
        <v>42094.0</v>
      </c>
      <c r="C186" s="11" t="s">
        <v>711</v>
      </c>
      <c r="D186" s="11" t="s">
        <v>91</v>
      </c>
      <c r="E186" s="11" t="s">
        <v>52</v>
      </c>
      <c r="F186" s="11" t="s">
        <v>53</v>
      </c>
      <c r="G186" s="11" t="s">
        <v>312</v>
      </c>
      <c r="H186" s="11"/>
      <c r="I186" s="11"/>
      <c r="J186" s="11">
        <v>22.0</v>
      </c>
      <c r="K186" s="33">
        <v>42534.0</v>
      </c>
      <c r="L186" s="11">
        <f>ROUND(((K186-B186)/365)*12)</f>
        <v>14</v>
      </c>
      <c r="M186" s="11">
        <v>605447.0</v>
      </c>
      <c r="N186" s="11" t="s">
        <v>712</v>
      </c>
      <c r="O186" s="4" t="s">
        <v>59</v>
      </c>
      <c r="P186" s="11">
        <v>0.0</v>
      </c>
      <c r="Q186" s="15">
        <v>0.0</v>
      </c>
      <c r="R186" s="22">
        <v>1.0</v>
      </c>
      <c r="S186">
        <f t="shared" si="1"/>
        <v>2015</v>
      </c>
      <c r="T186">
        <f t="shared" si="2"/>
        <v>3</v>
      </c>
      <c r="U186" s="20">
        <v>42233.0</v>
      </c>
      <c r="V186" s="20"/>
      <c r="W186" s="20"/>
      <c r="X186" s="20">
        <v>42462.0</v>
      </c>
      <c r="Y186" s="20">
        <v>42534.0</v>
      </c>
      <c r="AF186" s="18"/>
      <c r="AG186" s="19"/>
      <c r="AL186" s="18"/>
      <c r="AM186" s="19"/>
    </row>
    <row r="187">
      <c r="A187" s="4" t="s">
        <v>713</v>
      </c>
      <c r="B187" s="10">
        <v>42088.0</v>
      </c>
      <c r="C187" s="11" t="s">
        <v>109</v>
      </c>
      <c r="D187" s="11" t="s">
        <v>51</v>
      </c>
      <c r="E187" s="11" t="s">
        <v>52</v>
      </c>
      <c r="F187" s="11" t="s">
        <v>53</v>
      </c>
      <c r="G187" s="11" t="s">
        <v>54</v>
      </c>
      <c r="H187" s="11" t="s">
        <v>99</v>
      </c>
      <c r="I187" s="11"/>
      <c r="J187" s="11">
        <v>25.0</v>
      </c>
      <c r="K187" s="14"/>
      <c r="L187" s="14"/>
      <c r="M187" s="11">
        <v>554430.0</v>
      </c>
      <c r="N187" s="11">
        <v>10310.0</v>
      </c>
      <c r="O187" s="4" t="s">
        <v>287</v>
      </c>
      <c r="P187" s="11">
        <v>0.0</v>
      </c>
      <c r="Q187" s="15">
        <v>0.0</v>
      </c>
      <c r="R187" s="22">
        <v>1.0</v>
      </c>
      <c r="S187">
        <f t="shared" si="1"/>
        <v>2015</v>
      </c>
      <c r="T187">
        <f t="shared" si="2"/>
        <v>3</v>
      </c>
      <c r="U187" s="20">
        <v>42212.0</v>
      </c>
      <c r="V187" s="20">
        <v>42426.0</v>
      </c>
      <c r="W187" s="20">
        <v>42444.0</v>
      </c>
      <c r="Y187" s="20">
        <v>42588.0</v>
      </c>
      <c r="Z187" s="20">
        <v>42472.0</v>
      </c>
      <c r="AA187" s="4" t="s">
        <v>714</v>
      </c>
      <c r="AB187" s="20">
        <v>42542.0</v>
      </c>
      <c r="AC187" s="4" t="s">
        <v>625</v>
      </c>
      <c r="AF187" s="18"/>
      <c r="AG187" s="19"/>
      <c r="AL187" s="18"/>
      <c r="AM187" s="19"/>
    </row>
    <row r="188">
      <c r="A188" s="4" t="s">
        <v>361</v>
      </c>
      <c r="B188" s="10">
        <v>42088.0</v>
      </c>
      <c r="C188" s="11" t="s">
        <v>350</v>
      </c>
      <c r="D188" s="11" t="s">
        <v>124</v>
      </c>
      <c r="E188" s="11" t="s">
        <v>264</v>
      </c>
      <c r="F188" s="11" t="s">
        <v>53</v>
      </c>
      <c r="G188" s="11" t="s">
        <v>54</v>
      </c>
      <c r="H188" s="11" t="s">
        <v>153</v>
      </c>
      <c r="I188" s="11" t="s">
        <v>363</v>
      </c>
      <c r="J188" s="11">
        <v>22.0</v>
      </c>
      <c r="K188" s="14"/>
      <c r="L188" s="14"/>
      <c r="M188" s="11">
        <v>642005.0</v>
      </c>
      <c r="N188" s="11" t="s">
        <v>364</v>
      </c>
      <c r="O188" s="4"/>
      <c r="P188" s="11">
        <v>0.0</v>
      </c>
      <c r="Q188" s="15">
        <v>0.0</v>
      </c>
      <c r="R188" s="22">
        <v>0.0</v>
      </c>
      <c r="S188">
        <f t="shared" si="1"/>
        <v>2015</v>
      </c>
      <c r="T188">
        <f t="shared" si="2"/>
        <v>3</v>
      </c>
      <c r="AF188" s="18"/>
      <c r="AG188" s="19"/>
      <c r="AL188" s="18"/>
      <c r="AM188" s="19"/>
    </row>
    <row r="189">
      <c r="A189" s="4" t="s">
        <v>715</v>
      </c>
      <c r="B189" s="10">
        <v>42088.0</v>
      </c>
      <c r="C189" s="11" t="s">
        <v>169</v>
      </c>
      <c r="D189" s="11" t="s">
        <v>170</v>
      </c>
      <c r="E189" s="11" t="s">
        <v>52</v>
      </c>
      <c r="F189" s="11" t="s">
        <v>76</v>
      </c>
      <c r="G189" s="11" t="s">
        <v>54</v>
      </c>
      <c r="H189" s="11" t="s">
        <v>92</v>
      </c>
      <c r="I189" s="11"/>
      <c r="J189" s="11">
        <v>18.0</v>
      </c>
      <c r="K189" s="33">
        <v>42541.0</v>
      </c>
      <c r="L189" s="11">
        <f t="shared" ref="L189:L192" si="11">ROUND(((K189-B189)/365)*12)</f>
        <v>15</v>
      </c>
      <c r="M189" s="11">
        <v>656184.0</v>
      </c>
      <c r="N189" s="11" t="s">
        <v>717</v>
      </c>
      <c r="O189" s="4" t="s">
        <v>287</v>
      </c>
      <c r="P189" s="11">
        <v>0.0</v>
      </c>
      <c r="Q189" s="15">
        <v>0.0</v>
      </c>
      <c r="R189" s="22">
        <v>1.0</v>
      </c>
      <c r="S189">
        <f t="shared" si="1"/>
        <v>2015</v>
      </c>
      <c r="T189">
        <f t="shared" si="2"/>
        <v>3</v>
      </c>
      <c r="AF189" s="18"/>
      <c r="AG189" s="19"/>
      <c r="AL189" s="18"/>
      <c r="AM189" s="19"/>
    </row>
    <row r="190">
      <c r="A190" s="4" t="s">
        <v>718</v>
      </c>
      <c r="B190" s="10">
        <v>42088.0</v>
      </c>
      <c r="C190" s="11" t="s">
        <v>109</v>
      </c>
      <c r="D190" s="11" t="s">
        <v>91</v>
      </c>
      <c r="E190" s="11" t="s">
        <v>52</v>
      </c>
      <c r="F190" s="11" t="s">
        <v>53</v>
      </c>
      <c r="G190" s="11" t="s">
        <v>54</v>
      </c>
      <c r="H190" s="11" t="s">
        <v>204</v>
      </c>
      <c r="I190" s="11" t="s">
        <v>450</v>
      </c>
      <c r="J190" s="11">
        <v>22.0</v>
      </c>
      <c r="K190" s="33">
        <v>42539.0</v>
      </c>
      <c r="L190" s="11">
        <f t="shared" si="11"/>
        <v>15</v>
      </c>
      <c r="M190" s="11">
        <v>656223.0</v>
      </c>
      <c r="N190" s="11" t="s">
        <v>719</v>
      </c>
      <c r="O190" s="4"/>
      <c r="P190" s="11">
        <v>0.0</v>
      </c>
      <c r="Q190" s="15">
        <v>0.0</v>
      </c>
      <c r="R190" s="22">
        <v>1.0</v>
      </c>
      <c r="S190">
        <f t="shared" si="1"/>
        <v>2015</v>
      </c>
      <c r="T190">
        <f t="shared" si="2"/>
        <v>3</v>
      </c>
      <c r="AF190" s="18"/>
      <c r="AG190" s="19"/>
      <c r="AL190" s="18"/>
      <c r="AM190" s="19"/>
    </row>
    <row r="191">
      <c r="A191" s="4" t="s">
        <v>723</v>
      </c>
      <c r="B191" s="10">
        <v>42083.0</v>
      </c>
      <c r="C191" s="11" t="s">
        <v>142</v>
      </c>
      <c r="D191" s="11" t="s">
        <v>151</v>
      </c>
      <c r="E191" s="11" t="s">
        <v>52</v>
      </c>
      <c r="F191" s="11" t="s">
        <v>76</v>
      </c>
      <c r="G191" s="11" t="s">
        <v>54</v>
      </c>
      <c r="H191" s="11" t="s">
        <v>157</v>
      </c>
      <c r="I191" s="11" t="s">
        <v>724</v>
      </c>
      <c r="J191" s="11">
        <v>21.0</v>
      </c>
      <c r="K191" s="33">
        <v>42495.0</v>
      </c>
      <c r="L191" s="11">
        <f t="shared" si="11"/>
        <v>14</v>
      </c>
      <c r="M191" s="11">
        <v>621345.0</v>
      </c>
      <c r="N191" s="11" t="s">
        <v>725</v>
      </c>
      <c r="O191" s="4"/>
      <c r="P191" s="11">
        <v>0.0</v>
      </c>
      <c r="Q191" s="15">
        <v>0.0</v>
      </c>
      <c r="R191" s="22">
        <v>1.0</v>
      </c>
      <c r="S191">
        <f t="shared" si="1"/>
        <v>2015</v>
      </c>
      <c r="T191">
        <f t="shared" si="2"/>
        <v>3</v>
      </c>
      <c r="AF191" s="18"/>
      <c r="AG191" s="19"/>
      <c r="AL191" s="18"/>
      <c r="AM191" s="19"/>
    </row>
    <row r="192">
      <c r="A192" s="4" t="s">
        <v>727</v>
      </c>
      <c r="B192" s="10">
        <v>42083.0</v>
      </c>
      <c r="C192" s="11" t="s">
        <v>49</v>
      </c>
      <c r="D192" s="11" t="s">
        <v>151</v>
      </c>
      <c r="E192" s="11" t="s">
        <v>52</v>
      </c>
      <c r="F192" s="11" t="s">
        <v>53</v>
      </c>
      <c r="G192" s="11" t="s">
        <v>312</v>
      </c>
      <c r="H192" s="11"/>
      <c r="I192" s="11"/>
      <c r="J192" s="11">
        <v>20.0</v>
      </c>
      <c r="K192" s="33">
        <v>42551.0</v>
      </c>
      <c r="L192" s="11">
        <f t="shared" si="11"/>
        <v>15</v>
      </c>
      <c r="M192" s="11">
        <v>615698.0</v>
      </c>
      <c r="N192" s="11" t="s">
        <v>728</v>
      </c>
      <c r="O192" s="4" t="s">
        <v>188</v>
      </c>
      <c r="P192" s="11">
        <v>0.0</v>
      </c>
      <c r="Q192" s="15">
        <v>0.0</v>
      </c>
      <c r="R192" s="22">
        <v>1.0</v>
      </c>
      <c r="S192">
        <f t="shared" si="1"/>
        <v>2015</v>
      </c>
      <c r="T192">
        <f t="shared" si="2"/>
        <v>3</v>
      </c>
      <c r="AF192" s="18"/>
      <c r="AG192" s="19"/>
      <c r="AL192" s="18"/>
      <c r="AM192" s="19"/>
    </row>
    <row r="193">
      <c r="A193" s="4" t="s">
        <v>538</v>
      </c>
      <c r="B193" s="10">
        <v>42081.0</v>
      </c>
      <c r="C193" s="11" t="s">
        <v>159</v>
      </c>
      <c r="D193" s="11" t="s">
        <v>51</v>
      </c>
      <c r="E193" s="11" t="s">
        <v>52</v>
      </c>
      <c r="F193" s="11" t="s">
        <v>53</v>
      </c>
      <c r="G193" s="11" t="s">
        <v>54</v>
      </c>
      <c r="H193" s="11" t="s">
        <v>55</v>
      </c>
      <c r="I193" s="11"/>
      <c r="J193" s="11">
        <v>33.0</v>
      </c>
      <c r="K193" s="14"/>
      <c r="L193" s="14"/>
      <c r="M193" s="11">
        <v>430629.0</v>
      </c>
      <c r="N193" s="11">
        <v>2186.0</v>
      </c>
      <c r="O193" s="4" t="s">
        <v>177</v>
      </c>
      <c r="P193" s="11">
        <v>0.0</v>
      </c>
      <c r="Q193" s="32">
        <v>0.0</v>
      </c>
      <c r="R193" s="11">
        <v>0.0</v>
      </c>
      <c r="S193">
        <f t="shared" si="1"/>
        <v>2015</v>
      </c>
      <c r="T193">
        <f t="shared" si="2"/>
        <v>3</v>
      </c>
      <c r="AF193" s="18"/>
      <c r="AG193" s="19"/>
      <c r="AL193" s="18"/>
      <c r="AM193" s="19"/>
    </row>
    <row r="194">
      <c r="A194" s="4" t="s">
        <v>729</v>
      </c>
      <c r="B194" s="10">
        <v>42081.0</v>
      </c>
      <c r="C194" s="11" t="s">
        <v>49</v>
      </c>
      <c r="D194" s="11" t="s">
        <v>170</v>
      </c>
      <c r="E194" s="11" t="s">
        <v>52</v>
      </c>
      <c r="F194" s="11" t="s">
        <v>53</v>
      </c>
      <c r="G194" s="11" t="s">
        <v>54</v>
      </c>
      <c r="H194" s="11" t="s">
        <v>157</v>
      </c>
      <c r="I194" s="11"/>
      <c r="J194" s="11">
        <v>17.0</v>
      </c>
      <c r="K194" s="33">
        <v>42586.0</v>
      </c>
      <c r="L194" s="14"/>
      <c r="M194" s="11">
        <v>666168.0</v>
      </c>
      <c r="N194" s="11" t="s">
        <v>730</v>
      </c>
      <c r="O194" s="4"/>
      <c r="P194" s="11">
        <v>0.0</v>
      </c>
      <c r="Q194" s="15">
        <v>0.0</v>
      </c>
      <c r="R194" s="22">
        <v>1.0</v>
      </c>
      <c r="S194">
        <f t="shared" si="1"/>
        <v>2015</v>
      </c>
      <c r="T194">
        <f t="shared" si="2"/>
        <v>3</v>
      </c>
      <c r="AF194" s="18"/>
      <c r="AG194" s="19"/>
      <c r="AL194" s="18"/>
      <c r="AM194" s="19"/>
    </row>
    <row r="195">
      <c r="A195" s="4" t="s">
        <v>731</v>
      </c>
      <c r="B195" s="10">
        <v>42080.0</v>
      </c>
      <c r="C195" s="11" t="s">
        <v>109</v>
      </c>
      <c r="D195" s="11" t="s">
        <v>51</v>
      </c>
      <c r="E195" s="11" t="s">
        <v>52</v>
      </c>
      <c r="F195" s="11" t="s">
        <v>76</v>
      </c>
      <c r="G195" s="11" t="s">
        <v>54</v>
      </c>
      <c r="H195" s="11" t="s">
        <v>412</v>
      </c>
      <c r="I195" s="11" t="s">
        <v>732</v>
      </c>
      <c r="J195" s="11">
        <v>28.0</v>
      </c>
      <c r="K195" s="33">
        <v>42585.0</v>
      </c>
      <c r="L195" s="11">
        <f t="shared" ref="L195:L197" si="12">ROUND(((K195-B195)/365)*12)</f>
        <v>17</v>
      </c>
      <c r="M195" s="11">
        <v>572831.0</v>
      </c>
      <c r="N195" s="11">
        <v>10796.0</v>
      </c>
      <c r="O195" s="4" t="s">
        <v>287</v>
      </c>
      <c r="P195" s="11">
        <v>16.0</v>
      </c>
      <c r="Q195" s="15">
        <v>10.333</v>
      </c>
      <c r="R195" s="22">
        <v>1.0</v>
      </c>
      <c r="S195">
        <f t="shared" si="1"/>
        <v>2015</v>
      </c>
      <c r="T195">
        <f t="shared" si="2"/>
        <v>3</v>
      </c>
      <c r="V195" s="20"/>
      <c r="W195" s="20">
        <v>42416.0</v>
      </c>
      <c r="X195" s="20">
        <v>42439.0</v>
      </c>
      <c r="Y195" s="20">
        <v>42470.0</v>
      </c>
      <c r="AF195" s="18"/>
      <c r="AG195" s="19"/>
      <c r="AL195" s="18"/>
      <c r="AM195" s="19"/>
    </row>
    <row r="196">
      <c r="A196" s="4" t="s">
        <v>734</v>
      </c>
      <c r="B196" s="10">
        <v>42080.0</v>
      </c>
      <c r="C196" s="11" t="s">
        <v>179</v>
      </c>
      <c r="D196" s="11" t="s">
        <v>51</v>
      </c>
      <c r="E196" s="11" t="s">
        <v>52</v>
      </c>
      <c r="F196" s="11" t="s">
        <v>53</v>
      </c>
      <c r="G196" s="11" t="s">
        <v>735</v>
      </c>
      <c r="H196" s="11"/>
      <c r="I196" s="11"/>
      <c r="J196" s="11">
        <v>28.0</v>
      </c>
      <c r="K196" s="13">
        <v>42518.0</v>
      </c>
      <c r="L196" s="11">
        <f t="shared" si="12"/>
        <v>14</v>
      </c>
      <c r="M196" s="11">
        <v>506433.0</v>
      </c>
      <c r="N196" s="11">
        <v>13074.0</v>
      </c>
      <c r="O196" s="4" t="s">
        <v>59</v>
      </c>
      <c r="P196" s="11">
        <v>17.0</v>
      </c>
      <c r="Q196" s="15">
        <v>100.333</v>
      </c>
      <c r="R196" s="22">
        <v>1.0</v>
      </c>
      <c r="S196">
        <f t="shared" si="1"/>
        <v>2015</v>
      </c>
      <c r="T196">
        <f t="shared" si="2"/>
        <v>3</v>
      </c>
      <c r="U196" s="20">
        <v>42233.0</v>
      </c>
      <c r="V196" s="20"/>
      <c r="W196" s="20">
        <v>42424.0</v>
      </c>
      <c r="X196" s="20">
        <v>42473.0</v>
      </c>
      <c r="Y196" s="20">
        <v>42491.0</v>
      </c>
      <c r="Z196" s="20">
        <v>42535.0</v>
      </c>
      <c r="AA196" s="4" t="s">
        <v>737</v>
      </c>
      <c r="AF196" s="18"/>
      <c r="AG196" s="19"/>
      <c r="AL196" s="18"/>
      <c r="AM196" s="19"/>
    </row>
    <row r="197">
      <c r="A197" s="4" t="s">
        <v>738</v>
      </c>
      <c r="B197" s="10">
        <v>42077.0</v>
      </c>
      <c r="C197" s="11" t="s">
        <v>270</v>
      </c>
      <c r="D197" s="11" t="s">
        <v>91</v>
      </c>
      <c r="E197" s="11" t="s">
        <v>52</v>
      </c>
      <c r="F197" s="11" t="s">
        <v>76</v>
      </c>
      <c r="G197" s="11" t="s">
        <v>54</v>
      </c>
      <c r="H197" s="11" t="s">
        <v>92</v>
      </c>
      <c r="I197" s="11" t="s">
        <v>739</v>
      </c>
      <c r="J197" s="11">
        <v>22.0</v>
      </c>
      <c r="K197" s="33">
        <v>42540.0</v>
      </c>
      <c r="L197" s="11">
        <f t="shared" si="12"/>
        <v>15</v>
      </c>
      <c r="M197" s="11">
        <v>657747.0</v>
      </c>
      <c r="N197" s="11" t="s">
        <v>740</v>
      </c>
      <c r="O197" s="4"/>
      <c r="P197" s="11">
        <v>0.0</v>
      </c>
      <c r="Q197" s="15">
        <v>0.0</v>
      </c>
      <c r="R197" s="22">
        <v>1.0</v>
      </c>
      <c r="S197">
        <f t="shared" si="1"/>
        <v>2015</v>
      </c>
      <c r="T197">
        <f t="shared" si="2"/>
        <v>3</v>
      </c>
      <c r="AF197" s="18"/>
      <c r="AG197" s="19"/>
      <c r="AL197" s="18"/>
      <c r="AM197" s="19"/>
    </row>
    <row r="198">
      <c r="A198" s="4" t="s">
        <v>336</v>
      </c>
      <c r="B198" s="10">
        <v>42074.0</v>
      </c>
      <c r="C198" s="11" t="s">
        <v>229</v>
      </c>
      <c r="D198" s="11" t="s">
        <v>51</v>
      </c>
      <c r="E198" s="11" t="s">
        <v>52</v>
      </c>
      <c r="F198" s="11" t="s">
        <v>76</v>
      </c>
      <c r="G198" s="11" t="s">
        <v>54</v>
      </c>
      <c r="H198" s="11" t="s">
        <v>337</v>
      </c>
      <c r="I198" s="11"/>
      <c r="J198" s="11">
        <v>25.0</v>
      </c>
      <c r="K198" s="14"/>
      <c r="L198" s="14"/>
      <c r="M198" s="11">
        <v>525768.0</v>
      </c>
      <c r="N198" s="11">
        <v>3164.0</v>
      </c>
      <c r="O198" s="4" t="s">
        <v>59</v>
      </c>
      <c r="P198" s="11">
        <v>0.0</v>
      </c>
      <c r="Q198" s="32">
        <v>0.0</v>
      </c>
      <c r="R198" s="22">
        <v>0.0</v>
      </c>
      <c r="S198">
        <f t="shared" si="1"/>
        <v>2015</v>
      </c>
      <c r="T198">
        <f t="shared" si="2"/>
        <v>3</v>
      </c>
      <c r="V198" s="20"/>
      <c r="W198" s="20">
        <v>42415.0</v>
      </c>
      <c r="Z198" s="20">
        <v>42475.0</v>
      </c>
      <c r="AA198" s="4" t="s">
        <v>741</v>
      </c>
      <c r="AF198" s="18"/>
      <c r="AG198" s="19"/>
      <c r="AL198" s="18"/>
      <c r="AM198" s="19"/>
    </row>
    <row r="199">
      <c r="A199" s="4" t="s">
        <v>742</v>
      </c>
      <c r="B199" s="10">
        <v>42073.0</v>
      </c>
      <c r="C199" s="11" t="s">
        <v>125</v>
      </c>
      <c r="D199" s="11" t="s">
        <v>51</v>
      </c>
      <c r="E199" s="11" t="s">
        <v>52</v>
      </c>
      <c r="F199" s="11" t="s">
        <v>53</v>
      </c>
      <c r="G199" s="11" t="s">
        <v>54</v>
      </c>
      <c r="H199" s="11" t="s">
        <v>99</v>
      </c>
      <c r="I199" s="11" t="s">
        <v>743</v>
      </c>
      <c r="J199" s="11">
        <v>26.0</v>
      </c>
      <c r="K199" s="14"/>
      <c r="L199" s="14"/>
      <c r="M199" s="11">
        <v>592238.0</v>
      </c>
      <c r="N199" s="11">
        <v>11366.0</v>
      </c>
      <c r="O199" s="4" t="s">
        <v>59</v>
      </c>
      <c r="P199" s="11">
        <v>0.0</v>
      </c>
      <c r="Q199" s="32">
        <v>0.0</v>
      </c>
      <c r="R199" s="11">
        <v>0.0</v>
      </c>
      <c r="S199">
        <f t="shared" si="1"/>
        <v>2015</v>
      </c>
      <c r="T199">
        <f t="shared" si="2"/>
        <v>3</v>
      </c>
      <c r="Z199" s="20">
        <v>42264.0</v>
      </c>
      <c r="AA199" s="4" t="s">
        <v>744</v>
      </c>
      <c r="AF199" s="18"/>
      <c r="AG199" s="19"/>
      <c r="AL199" s="18"/>
      <c r="AM199" s="19"/>
    </row>
    <row r="200">
      <c r="A200" s="4" t="s">
        <v>745</v>
      </c>
      <c r="B200" s="10">
        <v>42064.0</v>
      </c>
      <c r="C200" s="11" t="s">
        <v>133</v>
      </c>
      <c r="D200" s="11" t="s">
        <v>151</v>
      </c>
      <c r="E200" s="11" t="s">
        <v>52</v>
      </c>
      <c r="F200" s="11" t="s">
        <v>76</v>
      </c>
      <c r="G200" s="11" t="s">
        <v>54</v>
      </c>
      <c r="H200" s="11" t="s">
        <v>305</v>
      </c>
      <c r="I200" s="11" t="s">
        <v>746</v>
      </c>
      <c r="J200" s="11">
        <v>21.0</v>
      </c>
      <c r="K200" s="13">
        <v>42584.0</v>
      </c>
      <c r="L200" s="11">
        <f t="shared" ref="L200:L203" si="13">ROUND(((K200-B200)/365)*12)</f>
        <v>17</v>
      </c>
      <c r="M200" s="11">
        <v>670155.0</v>
      </c>
      <c r="N200" s="11" t="s">
        <v>748</v>
      </c>
      <c r="O200" s="4"/>
      <c r="P200" s="11">
        <v>0.0</v>
      </c>
      <c r="Q200" s="15">
        <v>0.0</v>
      </c>
      <c r="R200" s="22">
        <v>1.0</v>
      </c>
      <c r="S200">
        <f t="shared" si="1"/>
        <v>2015</v>
      </c>
      <c r="T200">
        <f t="shared" si="2"/>
        <v>3</v>
      </c>
      <c r="AF200" s="18"/>
      <c r="AG200" s="19"/>
      <c r="AL200" s="18"/>
      <c r="AM200" s="19"/>
    </row>
    <row r="201">
      <c r="A201" s="4" t="s">
        <v>750</v>
      </c>
      <c r="B201" s="10">
        <v>42064.0</v>
      </c>
      <c r="C201" s="11" t="s">
        <v>239</v>
      </c>
      <c r="D201" s="11" t="s">
        <v>82</v>
      </c>
      <c r="E201" s="11" t="s">
        <v>52</v>
      </c>
      <c r="F201" s="11" t="s">
        <v>53</v>
      </c>
      <c r="G201" s="11" t="s">
        <v>54</v>
      </c>
      <c r="H201" s="11" t="s">
        <v>260</v>
      </c>
      <c r="I201" s="11"/>
      <c r="J201" s="11">
        <v>22.0</v>
      </c>
      <c r="K201" s="13">
        <v>42468.0</v>
      </c>
      <c r="L201" s="11">
        <f t="shared" si="13"/>
        <v>13</v>
      </c>
      <c r="M201" s="11">
        <v>596106.0</v>
      </c>
      <c r="N201" s="11" t="s">
        <v>751</v>
      </c>
      <c r="O201" s="4" t="s">
        <v>102</v>
      </c>
      <c r="P201" s="11">
        <v>0.0</v>
      </c>
      <c r="Q201" s="15">
        <v>0.0</v>
      </c>
      <c r="R201" s="22">
        <v>1.0</v>
      </c>
      <c r="S201">
        <f t="shared" si="1"/>
        <v>2015</v>
      </c>
      <c r="T201">
        <f t="shared" si="2"/>
        <v>3</v>
      </c>
      <c r="AF201" s="18"/>
      <c r="AG201" s="19"/>
      <c r="AL201" s="18"/>
      <c r="AM201" s="19"/>
    </row>
    <row r="202">
      <c r="A202" s="4" t="s">
        <v>753</v>
      </c>
      <c r="B202" s="10">
        <v>42047.0</v>
      </c>
      <c r="C202" s="11" t="s">
        <v>142</v>
      </c>
      <c r="D202" s="11" t="s">
        <v>51</v>
      </c>
      <c r="E202" s="11" t="s">
        <v>52</v>
      </c>
      <c r="F202" s="11" t="s">
        <v>53</v>
      </c>
      <c r="G202" s="11" t="s">
        <v>54</v>
      </c>
      <c r="H202" s="11" t="s">
        <v>244</v>
      </c>
      <c r="I202" s="11" t="s">
        <v>754</v>
      </c>
      <c r="J202" s="11">
        <v>24.0</v>
      </c>
      <c r="K202" s="33">
        <v>42614.0</v>
      </c>
      <c r="L202" s="11">
        <f t="shared" si="13"/>
        <v>19</v>
      </c>
      <c r="M202" s="11">
        <v>623406.0</v>
      </c>
      <c r="N202" s="11">
        <v>14200.0</v>
      </c>
      <c r="O202" s="4" t="s">
        <v>59</v>
      </c>
      <c r="P202" s="11">
        <v>7.0</v>
      </c>
      <c r="Q202" s="15">
        <v>6.667</v>
      </c>
      <c r="R202" s="22">
        <v>1.0</v>
      </c>
      <c r="S202">
        <f t="shared" si="1"/>
        <v>2015</v>
      </c>
      <c r="T202">
        <f t="shared" si="2"/>
        <v>2</v>
      </c>
      <c r="Y202" s="20">
        <v>42506.0</v>
      </c>
      <c r="Z202" s="20">
        <v>42154.0</v>
      </c>
      <c r="AA202" s="4" t="s">
        <v>755</v>
      </c>
      <c r="AB202" s="20">
        <v>42170.0</v>
      </c>
      <c r="AC202" s="4" t="s">
        <v>756</v>
      </c>
      <c r="AF202" s="18"/>
      <c r="AG202" s="19"/>
      <c r="AL202" s="18"/>
      <c r="AM202" s="19"/>
    </row>
    <row r="203">
      <c r="A203" s="4" t="s">
        <v>757</v>
      </c>
      <c r="B203" s="10">
        <v>42046.0</v>
      </c>
      <c r="C203" s="11" t="s">
        <v>123</v>
      </c>
      <c r="D203" s="11" t="s">
        <v>91</v>
      </c>
      <c r="E203" s="11" t="s">
        <v>52</v>
      </c>
      <c r="F203" s="11" t="s">
        <v>76</v>
      </c>
      <c r="G203" s="11" t="s">
        <v>54</v>
      </c>
      <c r="H203" s="11" t="s">
        <v>232</v>
      </c>
      <c r="I203" s="11" t="s">
        <v>758</v>
      </c>
      <c r="J203" s="11">
        <v>22.0</v>
      </c>
      <c r="K203" s="33">
        <v>42546.0</v>
      </c>
      <c r="L203" s="11">
        <f t="shared" si="13"/>
        <v>16</v>
      </c>
      <c r="M203" s="11">
        <v>657570.0</v>
      </c>
      <c r="N203" s="11" t="s">
        <v>759</v>
      </c>
      <c r="O203" s="4" t="s">
        <v>674</v>
      </c>
      <c r="P203" s="11">
        <v>0.0</v>
      </c>
      <c r="Q203" s="15">
        <v>0.0</v>
      </c>
      <c r="R203" s="22">
        <v>1.0</v>
      </c>
      <c r="S203">
        <f t="shared" si="1"/>
        <v>2015</v>
      </c>
      <c r="T203">
        <f t="shared" si="2"/>
        <v>2</v>
      </c>
      <c r="AF203" s="18"/>
      <c r="AG203" s="19"/>
      <c r="AL203" s="18"/>
      <c r="AM203" s="19"/>
    </row>
    <row r="204">
      <c r="A204" s="4" t="s">
        <v>760</v>
      </c>
      <c r="B204" s="10">
        <v>42036.0</v>
      </c>
      <c r="C204" s="11" t="s">
        <v>123</v>
      </c>
      <c r="D204" s="11" t="s">
        <v>91</v>
      </c>
      <c r="E204" s="11" t="s">
        <v>52</v>
      </c>
      <c r="F204" s="11" t="s">
        <v>53</v>
      </c>
      <c r="G204" s="11" t="s">
        <v>265</v>
      </c>
      <c r="H204" s="11"/>
      <c r="I204" s="11"/>
      <c r="J204" s="11">
        <v>19.0</v>
      </c>
      <c r="K204" s="14"/>
      <c r="L204" s="14"/>
      <c r="M204" s="11">
        <v>642678.0</v>
      </c>
      <c r="N204" s="11" t="s">
        <v>761</v>
      </c>
      <c r="O204" s="4"/>
      <c r="P204" s="11">
        <v>0.0</v>
      </c>
      <c r="Q204" s="15">
        <v>0.0</v>
      </c>
      <c r="R204" s="22">
        <v>1.0</v>
      </c>
      <c r="S204">
        <f t="shared" si="1"/>
        <v>2015</v>
      </c>
      <c r="T204">
        <f t="shared" si="2"/>
        <v>2</v>
      </c>
      <c r="AF204" s="18"/>
      <c r="AG204" s="19"/>
      <c r="AL204" s="18"/>
      <c r="AM204" s="19"/>
    </row>
    <row r="205">
      <c r="A205" s="4" t="s">
        <v>762</v>
      </c>
      <c r="B205" s="10">
        <v>42018.0</v>
      </c>
      <c r="C205" s="11" t="s">
        <v>239</v>
      </c>
      <c r="D205" s="11" t="s">
        <v>210</v>
      </c>
      <c r="E205" s="11" t="s">
        <v>52</v>
      </c>
      <c r="F205" s="11" t="s">
        <v>53</v>
      </c>
      <c r="G205" s="11" t="s">
        <v>54</v>
      </c>
      <c r="H205" s="11" t="s">
        <v>92</v>
      </c>
      <c r="I205" s="11" t="s">
        <v>763</v>
      </c>
      <c r="J205" s="11">
        <v>21.0</v>
      </c>
      <c r="K205" s="14"/>
      <c r="L205" s="14"/>
      <c r="M205" s="11">
        <v>621164.0</v>
      </c>
      <c r="N205" s="11" t="s">
        <v>764</v>
      </c>
      <c r="O205" s="4"/>
      <c r="P205" s="11">
        <v>0.0</v>
      </c>
      <c r="Q205" s="15">
        <v>0.0</v>
      </c>
      <c r="R205" s="22">
        <v>1.0</v>
      </c>
      <c r="S205">
        <f t="shared" si="1"/>
        <v>2015</v>
      </c>
      <c r="T205">
        <f t="shared" si="2"/>
        <v>1</v>
      </c>
      <c r="AF205" s="18"/>
      <c r="AG205" s="19"/>
      <c r="AL205" s="18"/>
      <c r="AM205" s="19"/>
    </row>
    <row r="206">
      <c r="A206" s="4" t="s">
        <v>765</v>
      </c>
      <c r="B206" s="10">
        <v>42005.0</v>
      </c>
      <c r="C206" s="11" t="s">
        <v>133</v>
      </c>
      <c r="D206" s="11" t="s">
        <v>110</v>
      </c>
      <c r="E206" s="11" t="s">
        <v>52</v>
      </c>
      <c r="F206" s="11" t="s">
        <v>53</v>
      </c>
      <c r="G206" s="11" t="s">
        <v>54</v>
      </c>
      <c r="H206" s="11" t="s">
        <v>157</v>
      </c>
      <c r="I206" s="11"/>
      <c r="J206" s="11">
        <v>23.0</v>
      </c>
      <c r="K206" s="13">
        <v>42567.0</v>
      </c>
      <c r="L206" s="11"/>
      <c r="M206" s="11">
        <v>592242.0</v>
      </c>
      <c r="N206" s="11" t="s">
        <v>768</v>
      </c>
      <c r="O206" s="4"/>
      <c r="P206" s="11">
        <v>0.0</v>
      </c>
      <c r="Q206" s="15">
        <v>0.0</v>
      </c>
      <c r="R206" s="22">
        <v>1.0</v>
      </c>
      <c r="S206">
        <f t="shared" si="1"/>
        <v>2015</v>
      </c>
      <c r="T206">
        <f t="shared" si="2"/>
        <v>1</v>
      </c>
      <c r="AF206" s="18"/>
      <c r="AG206" s="19"/>
      <c r="AL206" s="18"/>
      <c r="AM206" s="19"/>
    </row>
    <row r="207">
      <c r="A207" s="4" t="s">
        <v>338</v>
      </c>
      <c r="B207" s="10">
        <v>42005.0</v>
      </c>
      <c r="C207" s="11" t="s">
        <v>169</v>
      </c>
      <c r="D207" s="11" t="s">
        <v>82</v>
      </c>
      <c r="E207" s="11" t="s">
        <v>52</v>
      </c>
      <c r="F207" s="11" t="s">
        <v>53</v>
      </c>
      <c r="G207" s="11" t="s">
        <v>54</v>
      </c>
      <c r="H207" s="11" t="s">
        <v>92</v>
      </c>
      <c r="I207" s="11" t="s">
        <v>770</v>
      </c>
      <c r="J207" s="11">
        <v>25.0</v>
      </c>
      <c r="K207" s="13">
        <v>42512.0</v>
      </c>
      <c r="L207" s="11"/>
      <c r="M207" s="11">
        <v>642121.0</v>
      </c>
      <c r="N207" s="11" t="s">
        <v>771</v>
      </c>
      <c r="O207" s="4" t="s">
        <v>188</v>
      </c>
      <c r="P207" s="11">
        <v>0.0</v>
      </c>
      <c r="Q207" s="15">
        <v>0.0</v>
      </c>
      <c r="R207" s="22">
        <v>1.0</v>
      </c>
      <c r="S207">
        <f t="shared" si="1"/>
        <v>2015</v>
      </c>
      <c r="T207">
        <f t="shared" si="2"/>
        <v>1</v>
      </c>
      <c r="AF207" s="18"/>
      <c r="AG207" s="19"/>
      <c r="AL207" s="18"/>
      <c r="AM207" s="19"/>
    </row>
    <row r="208">
      <c r="A208" s="4" t="s">
        <v>772</v>
      </c>
      <c r="B208" s="10">
        <v>42005.0</v>
      </c>
      <c r="C208" s="11" t="s">
        <v>159</v>
      </c>
      <c r="D208" s="11" t="s">
        <v>110</v>
      </c>
      <c r="E208" s="11" t="s">
        <v>52</v>
      </c>
      <c r="F208" s="11" t="s">
        <v>53</v>
      </c>
      <c r="G208" s="11" t="s">
        <v>265</v>
      </c>
      <c r="H208" s="11"/>
      <c r="I208" s="11"/>
      <c r="J208" s="11">
        <v>26.0</v>
      </c>
      <c r="K208" s="14"/>
      <c r="L208" s="14"/>
      <c r="M208" s="11">
        <v>500674.0</v>
      </c>
      <c r="N208" s="11">
        <v>2966.0</v>
      </c>
      <c r="O208" s="4"/>
      <c r="P208" s="11">
        <v>0.0</v>
      </c>
      <c r="Q208" s="15">
        <v>0.0</v>
      </c>
      <c r="R208" s="11">
        <v>0.0</v>
      </c>
      <c r="S208">
        <f t="shared" si="1"/>
        <v>2015</v>
      </c>
      <c r="T208">
        <f t="shared" si="2"/>
        <v>1</v>
      </c>
      <c r="AF208" s="18"/>
      <c r="AG208" s="19"/>
      <c r="AL208" s="18"/>
      <c r="AM208" s="19"/>
    </row>
    <row r="209">
      <c r="A209" s="4" t="s">
        <v>774</v>
      </c>
      <c r="B209" s="10">
        <v>42005.0</v>
      </c>
      <c r="C209" s="11" t="s">
        <v>159</v>
      </c>
      <c r="D209" s="11" t="s">
        <v>110</v>
      </c>
      <c r="E209" s="11" t="s">
        <v>52</v>
      </c>
      <c r="F209" s="11" t="s">
        <v>53</v>
      </c>
      <c r="G209" s="11" t="s">
        <v>54</v>
      </c>
      <c r="H209" s="11" t="s">
        <v>157</v>
      </c>
      <c r="I209" s="11" t="s">
        <v>775</v>
      </c>
      <c r="J209" s="11">
        <v>22.0</v>
      </c>
      <c r="K209" s="33">
        <v>42587.0</v>
      </c>
      <c r="L209" s="14"/>
      <c r="M209" s="11">
        <v>643617.0</v>
      </c>
      <c r="N209" s="11" t="s">
        <v>776</v>
      </c>
      <c r="O209" s="4"/>
      <c r="P209" s="11">
        <v>0.0</v>
      </c>
      <c r="Q209" s="15">
        <v>0.0</v>
      </c>
      <c r="R209" s="22">
        <v>1.0</v>
      </c>
      <c r="S209">
        <f t="shared" si="1"/>
        <v>2015</v>
      </c>
      <c r="T209">
        <f t="shared" si="2"/>
        <v>1</v>
      </c>
      <c r="AF209" s="18"/>
      <c r="AG209" s="19"/>
      <c r="AL209" s="18"/>
      <c r="AM209" s="19"/>
    </row>
    <row r="210">
      <c r="A210" s="4" t="s">
        <v>777</v>
      </c>
      <c r="B210" s="10">
        <v>42005.0</v>
      </c>
      <c r="C210" s="11" t="s">
        <v>229</v>
      </c>
      <c r="D210" s="11" t="s">
        <v>91</v>
      </c>
      <c r="E210" s="11" t="s">
        <v>52</v>
      </c>
      <c r="F210" s="11" t="s">
        <v>53</v>
      </c>
      <c r="G210" s="11" t="s">
        <v>54</v>
      </c>
      <c r="H210" s="11" t="s">
        <v>153</v>
      </c>
      <c r="I210" s="11" t="s">
        <v>778</v>
      </c>
      <c r="J210" s="11">
        <v>23.0</v>
      </c>
      <c r="K210" s="33">
        <v>42539.0</v>
      </c>
      <c r="L210" s="14"/>
      <c r="M210" s="11">
        <v>625974.0</v>
      </c>
      <c r="N210" s="11" t="s">
        <v>779</v>
      </c>
      <c r="O210" s="4"/>
      <c r="P210" s="11">
        <v>0.0</v>
      </c>
      <c r="Q210" s="15">
        <v>0.0</v>
      </c>
      <c r="R210" s="22">
        <v>1.0</v>
      </c>
      <c r="S210">
        <f t="shared" si="1"/>
        <v>2015</v>
      </c>
      <c r="T210">
        <f t="shared" si="2"/>
        <v>1</v>
      </c>
      <c r="AF210" s="18"/>
      <c r="AG210" s="19"/>
      <c r="AL210" s="18"/>
      <c r="AM210" s="19"/>
    </row>
    <row r="211">
      <c r="A211" s="4" t="s">
        <v>780</v>
      </c>
      <c r="B211" s="10">
        <v>42005.0</v>
      </c>
      <c r="C211" s="11" t="s">
        <v>108</v>
      </c>
      <c r="D211" s="11" t="s">
        <v>91</v>
      </c>
      <c r="E211" s="11" t="s">
        <v>52</v>
      </c>
      <c r="F211" s="11" t="s">
        <v>53</v>
      </c>
      <c r="G211" s="11" t="s">
        <v>265</v>
      </c>
      <c r="H211" s="11"/>
      <c r="I211" s="11"/>
      <c r="J211" s="11">
        <v>18.0</v>
      </c>
      <c r="K211" s="14"/>
      <c r="L211" s="14"/>
      <c r="M211" s="11">
        <v>650650.0</v>
      </c>
      <c r="N211" s="11" t="s">
        <v>781</v>
      </c>
      <c r="O211" s="4"/>
      <c r="P211" s="11">
        <v>0.0</v>
      </c>
      <c r="Q211" s="15">
        <v>0.0</v>
      </c>
      <c r="R211" s="22">
        <v>1.0</v>
      </c>
      <c r="S211">
        <f t="shared" si="1"/>
        <v>2015</v>
      </c>
      <c r="T211">
        <f t="shared" si="2"/>
        <v>1</v>
      </c>
      <c r="AF211" s="18"/>
      <c r="AG211" s="19"/>
      <c r="AL211" s="18"/>
      <c r="AM211" s="19"/>
    </row>
    <row r="212">
      <c r="A212" s="4" t="s">
        <v>782</v>
      </c>
      <c r="B212" s="10">
        <v>42005.0</v>
      </c>
      <c r="C212" s="11" t="s">
        <v>108</v>
      </c>
      <c r="D212" s="11" t="s">
        <v>110</v>
      </c>
      <c r="E212" s="11" t="s">
        <v>52</v>
      </c>
      <c r="F212" s="11" t="s">
        <v>53</v>
      </c>
      <c r="G212" s="11" t="s">
        <v>54</v>
      </c>
      <c r="H212" s="11" t="s">
        <v>412</v>
      </c>
      <c r="I212" s="11" t="s">
        <v>783</v>
      </c>
      <c r="J212" s="11">
        <v>23.0</v>
      </c>
      <c r="K212" s="14"/>
      <c r="L212" s="14"/>
      <c r="M212" s="11">
        <v>621163.0</v>
      </c>
      <c r="N212" s="11" t="s">
        <v>784</v>
      </c>
      <c r="O212" s="4"/>
      <c r="P212" s="11">
        <v>0.0</v>
      </c>
      <c r="Q212" s="15">
        <v>0.0</v>
      </c>
      <c r="R212" s="22">
        <v>1.0</v>
      </c>
      <c r="S212">
        <f t="shared" si="1"/>
        <v>2015</v>
      </c>
      <c r="T212">
        <f t="shared" si="2"/>
        <v>1</v>
      </c>
      <c r="AF212" s="18"/>
      <c r="AG212" s="19"/>
      <c r="AL212" s="18"/>
      <c r="AM212" s="19"/>
    </row>
    <row r="213">
      <c r="A213" s="4" t="s">
        <v>785</v>
      </c>
      <c r="B213" s="10">
        <v>42005.0</v>
      </c>
      <c r="C213" s="11" t="s">
        <v>130</v>
      </c>
      <c r="D213" s="11" t="s">
        <v>151</v>
      </c>
      <c r="E213" s="11" t="s">
        <v>52</v>
      </c>
      <c r="F213" s="11" t="s">
        <v>53</v>
      </c>
      <c r="G213" s="11" t="s">
        <v>54</v>
      </c>
      <c r="H213" s="11" t="s">
        <v>153</v>
      </c>
      <c r="I213" s="11" t="s">
        <v>786</v>
      </c>
      <c r="J213" s="11">
        <v>18.0</v>
      </c>
      <c r="K213" s="33">
        <v>42574.0</v>
      </c>
      <c r="L213" s="14"/>
      <c r="M213" s="11">
        <v>656820.0</v>
      </c>
      <c r="N213" s="11" t="s">
        <v>787</v>
      </c>
      <c r="O213" s="4"/>
      <c r="P213" s="11">
        <v>0.0</v>
      </c>
      <c r="Q213" s="15">
        <v>0.0</v>
      </c>
      <c r="R213" s="22">
        <v>1.0</v>
      </c>
      <c r="S213">
        <f t="shared" si="1"/>
        <v>2015</v>
      </c>
      <c r="T213">
        <f t="shared" si="2"/>
        <v>1</v>
      </c>
      <c r="AF213" s="18"/>
      <c r="AG213" s="19"/>
      <c r="AL213" s="18"/>
      <c r="AM213" s="19"/>
    </row>
    <row r="214">
      <c r="A214" s="4" t="s">
        <v>788</v>
      </c>
      <c r="B214" s="10">
        <v>41944.0</v>
      </c>
      <c r="C214" s="11" t="s">
        <v>81</v>
      </c>
      <c r="D214" s="11" t="s">
        <v>82</v>
      </c>
      <c r="E214" s="11" t="s">
        <v>52</v>
      </c>
      <c r="F214" s="11" t="s">
        <v>53</v>
      </c>
      <c r="G214" s="11" t="s">
        <v>54</v>
      </c>
      <c r="H214" s="11" t="s">
        <v>250</v>
      </c>
      <c r="I214" s="11"/>
      <c r="J214" s="11">
        <v>22.0</v>
      </c>
      <c r="K214" s="14"/>
      <c r="L214" s="14"/>
      <c r="M214" s="11">
        <v>545340.0</v>
      </c>
      <c r="N214" s="11" t="s">
        <v>789</v>
      </c>
      <c r="O214" s="4"/>
      <c r="P214" s="11">
        <v>0.0</v>
      </c>
      <c r="Q214" s="15">
        <v>0.0</v>
      </c>
      <c r="R214" s="22">
        <v>1.0</v>
      </c>
      <c r="S214">
        <f t="shared" si="1"/>
        <v>2014</v>
      </c>
      <c r="T214">
        <f t="shared" si="2"/>
        <v>11</v>
      </c>
      <c r="AF214" s="18"/>
      <c r="AG214" s="19"/>
      <c r="AL214" s="18"/>
      <c r="AM214" s="19"/>
    </row>
    <row r="215">
      <c r="A215" s="4" t="s">
        <v>792</v>
      </c>
      <c r="B215" s="10">
        <v>41926.0</v>
      </c>
      <c r="C215" s="11" t="s">
        <v>123</v>
      </c>
      <c r="D215" s="11" t="s">
        <v>82</v>
      </c>
      <c r="E215" s="11" t="s">
        <v>52</v>
      </c>
      <c r="F215" s="11" t="s">
        <v>76</v>
      </c>
      <c r="G215" s="11" t="s">
        <v>54</v>
      </c>
      <c r="H215" s="11" t="s">
        <v>157</v>
      </c>
      <c r="I215" s="11" t="s">
        <v>793</v>
      </c>
      <c r="J215" s="11">
        <v>23.0</v>
      </c>
      <c r="K215" s="13">
        <v>42468.0</v>
      </c>
      <c r="L215" s="11">
        <f>ROUND(((K215-B215)/365)*12)</f>
        <v>18</v>
      </c>
      <c r="M215" s="11">
        <v>608691.0</v>
      </c>
      <c r="N215" s="11" t="s">
        <v>795</v>
      </c>
      <c r="O215" s="4" t="s">
        <v>287</v>
      </c>
      <c r="P215" s="11">
        <v>0.0</v>
      </c>
      <c r="Q215" s="15">
        <v>0.0</v>
      </c>
      <c r="R215" s="22">
        <v>1.0</v>
      </c>
      <c r="S215">
        <f t="shared" si="1"/>
        <v>2014</v>
      </c>
      <c r="T215">
        <f t="shared" si="2"/>
        <v>10</v>
      </c>
      <c r="AF215" s="18"/>
      <c r="AG215" s="19"/>
      <c r="AL215" s="18"/>
      <c r="AM215" s="19"/>
    </row>
    <row r="216">
      <c r="A216" s="4" t="s">
        <v>493</v>
      </c>
      <c r="B216" s="10">
        <v>41921.0</v>
      </c>
      <c r="C216" s="11" t="s">
        <v>109</v>
      </c>
      <c r="D216" s="11" t="s">
        <v>51</v>
      </c>
      <c r="E216" s="14" t="s">
        <v>52</v>
      </c>
      <c r="F216" s="11" t="s">
        <v>53</v>
      </c>
      <c r="G216" s="14" t="s">
        <v>54</v>
      </c>
      <c r="H216" s="11" t="s">
        <v>218</v>
      </c>
      <c r="I216" s="11" t="s">
        <v>796</v>
      </c>
      <c r="J216" s="11">
        <v>28.0</v>
      </c>
      <c r="K216" s="14"/>
      <c r="L216" s="14"/>
      <c r="M216" s="11">
        <v>458550.0</v>
      </c>
      <c r="N216" s="11">
        <v>1989.0</v>
      </c>
      <c r="O216" s="4" t="s">
        <v>59</v>
      </c>
      <c r="P216" s="11">
        <v>0.0</v>
      </c>
      <c r="Q216" s="15">
        <v>0.0</v>
      </c>
      <c r="R216" s="22">
        <v>1.0</v>
      </c>
      <c r="S216">
        <f t="shared" si="1"/>
        <v>2014</v>
      </c>
      <c r="T216">
        <f t="shared" si="2"/>
        <v>10</v>
      </c>
      <c r="Y216" s="20">
        <v>42333.0</v>
      </c>
      <c r="Z216" s="20">
        <v>42522.0</v>
      </c>
      <c r="AA216" s="4" t="s">
        <v>797</v>
      </c>
      <c r="AF216" s="18"/>
      <c r="AG216" s="19"/>
      <c r="AL216" s="18"/>
      <c r="AM216" s="19"/>
    </row>
    <row r="217">
      <c r="A217" s="4" t="s">
        <v>798</v>
      </c>
      <c r="B217" s="10">
        <v>41913.0</v>
      </c>
      <c r="C217" s="11" t="s">
        <v>114</v>
      </c>
      <c r="D217" s="11" t="s">
        <v>91</v>
      </c>
      <c r="E217" s="11" t="s">
        <v>52</v>
      </c>
      <c r="F217" s="11" t="s">
        <v>76</v>
      </c>
      <c r="G217" s="11" t="s">
        <v>83</v>
      </c>
      <c r="H217" s="11"/>
      <c r="I217" s="11"/>
      <c r="J217" s="11">
        <v>19.0</v>
      </c>
      <c r="K217" s="33">
        <v>42542.0</v>
      </c>
      <c r="L217" s="11">
        <f t="shared" ref="L217:L218" si="14">ROUND(((K217-B217)/365)*12)</f>
        <v>21</v>
      </c>
      <c r="M217" s="11">
        <v>622340.0</v>
      </c>
      <c r="N217" s="11" t="s">
        <v>800</v>
      </c>
      <c r="O217" s="4"/>
      <c r="P217" s="11">
        <v>0.0</v>
      </c>
      <c r="Q217" s="15">
        <v>0.0</v>
      </c>
      <c r="R217" s="22">
        <v>1.0</v>
      </c>
      <c r="S217">
        <f t="shared" si="1"/>
        <v>2014</v>
      </c>
      <c r="T217">
        <f t="shared" si="2"/>
        <v>10</v>
      </c>
      <c r="AF217" s="18"/>
      <c r="AG217" s="19"/>
      <c r="AL217" s="18"/>
      <c r="AM217" s="19"/>
    </row>
    <row r="218">
      <c r="A218" s="4" t="s">
        <v>801</v>
      </c>
      <c r="B218" s="10">
        <v>41906.0</v>
      </c>
      <c r="C218" s="11" t="s">
        <v>49</v>
      </c>
      <c r="D218" s="11" t="s">
        <v>82</v>
      </c>
      <c r="E218" s="11" t="s">
        <v>52</v>
      </c>
      <c r="F218" s="11" t="s">
        <v>76</v>
      </c>
      <c r="G218" s="11" t="s">
        <v>54</v>
      </c>
      <c r="H218" s="11" t="s">
        <v>92</v>
      </c>
      <c r="I218" s="11" t="s">
        <v>803</v>
      </c>
      <c r="J218" s="11">
        <v>26.0</v>
      </c>
      <c r="K218" s="13">
        <v>42463.0</v>
      </c>
      <c r="L218" s="11">
        <f t="shared" si="14"/>
        <v>18</v>
      </c>
      <c r="M218" s="11">
        <v>572943.0</v>
      </c>
      <c r="N218" s="11" t="s">
        <v>804</v>
      </c>
      <c r="O218" s="4" t="s">
        <v>805</v>
      </c>
      <c r="P218" s="11">
        <v>0.0</v>
      </c>
      <c r="Q218" s="15">
        <v>0.0</v>
      </c>
      <c r="R218" s="22">
        <v>1.0</v>
      </c>
      <c r="S218">
        <f t="shared" si="1"/>
        <v>2014</v>
      </c>
      <c r="T218">
        <f t="shared" si="2"/>
        <v>9</v>
      </c>
      <c r="AF218" s="18"/>
      <c r="AG218" s="19"/>
      <c r="AL218" s="18"/>
      <c r="AM218" s="19"/>
    </row>
    <row r="219">
      <c r="A219" s="4" t="s">
        <v>806</v>
      </c>
      <c r="B219" s="10">
        <v>41906.0</v>
      </c>
      <c r="C219" s="11" t="s">
        <v>130</v>
      </c>
      <c r="D219" s="11" t="s">
        <v>91</v>
      </c>
      <c r="E219" s="11" t="s">
        <v>264</v>
      </c>
      <c r="F219" s="11" t="s">
        <v>53</v>
      </c>
      <c r="G219" s="11" t="s">
        <v>54</v>
      </c>
      <c r="H219" s="11" t="s">
        <v>308</v>
      </c>
      <c r="I219" s="11"/>
      <c r="J219" s="11">
        <v>18.0</v>
      </c>
      <c r="K219" s="14"/>
      <c r="L219" s="14"/>
      <c r="M219" s="11">
        <v>659149.0</v>
      </c>
      <c r="N219" s="11" t="s">
        <v>807</v>
      </c>
      <c r="O219" s="4" t="s">
        <v>808</v>
      </c>
      <c r="P219" s="11">
        <v>0.0</v>
      </c>
      <c r="Q219" s="15">
        <v>0.0</v>
      </c>
      <c r="R219" s="22">
        <v>1.0</v>
      </c>
      <c r="S219">
        <f t="shared" si="1"/>
        <v>2014</v>
      </c>
      <c r="T219">
        <f t="shared" si="2"/>
        <v>9</v>
      </c>
      <c r="AF219" s="18"/>
      <c r="AG219" s="19"/>
      <c r="AL219" s="18"/>
      <c r="AM219" s="19"/>
    </row>
    <row r="220">
      <c r="A220" s="4" t="s">
        <v>141</v>
      </c>
      <c r="B220" s="10">
        <v>41899.0</v>
      </c>
      <c r="C220" s="11" t="s">
        <v>142</v>
      </c>
      <c r="D220" s="11" t="s">
        <v>51</v>
      </c>
      <c r="E220" s="11" t="s">
        <v>52</v>
      </c>
      <c r="F220" s="11" t="s">
        <v>76</v>
      </c>
      <c r="G220" s="11" t="s">
        <v>54</v>
      </c>
      <c r="H220" s="11" t="s">
        <v>260</v>
      </c>
      <c r="I220" s="11" t="s">
        <v>810</v>
      </c>
      <c r="J220" s="11">
        <v>29.0</v>
      </c>
      <c r="K220" s="14"/>
      <c r="L220" s="14"/>
      <c r="M220" s="11">
        <v>458924.0</v>
      </c>
      <c r="N220" s="11">
        <v>7175.0</v>
      </c>
      <c r="O220" s="4" t="s">
        <v>188</v>
      </c>
      <c r="P220" s="11">
        <v>0.0</v>
      </c>
      <c r="Q220" s="15">
        <v>0.0</v>
      </c>
      <c r="R220" s="22">
        <v>1.0</v>
      </c>
      <c r="S220">
        <f t="shared" si="1"/>
        <v>2014</v>
      </c>
      <c r="T220">
        <f t="shared" si="2"/>
        <v>9</v>
      </c>
      <c r="Y220" s="20">
        <v>42525.0</v>
      </c>
      <c r="Z220" s="20">
        <v>42540.0</v>
      </c>
      <c r="AA220" s="4" t="s">
        <v>182</v>
      </c>
      <c r="AF220" s="18"/>
      <c r="AG220" s="19"/>
      <c r="AL220" s="18"/>
      <c r="AM220" s="19"/>
    </row>
    <row r="221">
      <c r="A221" s="4" t="s">
        <v>811</v>
      </c>
      <c r="B221" s="10">
        <v>41883.0</v>
      </c>
      <c r="C221" s="11" t="s">
        <v>169</v>
      </c>
      <c r="D221" s="11" t="s">
        <v>124</v>
      </c>
      <c r="E221" s="11" t="s">
        <v>52</v>
      </c>
      <c r="F221" s="11" t="s">
        <v>76</v>
      </c>
      <c r="G221" s="11" t="s">
        <v>54</v>
      </c>
      <c r="H221" s="11" t="s">
        <v>92</v>
      </c>
      <c r="I221" s="11" t="s">
        <v>812</v>
      </c>
      <c r="J221" s="11">
        <v>23.0</v>
      </c>
      <c r="K221" s="13">
        <v>42467.0</v>
      </c>
      <c r="L221" s="11">
        <f t="shared" ref="L221:L228" si="15">ROUND(((K221-B221)/365)*12)</f>
        <v>19</v>
      </c>
      <c r="M221" s="11">
        <v>643605.0</v>
      </c>
      <c r="N221" s="11" t="s">
        <v>813</v>
      </c>
      <c r="P221" s="11">
        <v>0.0</v>
      </c>
      <c r="Q221" s="15">
        <v>0.0</v>
      </c>
      <c r="R221" s="22">
        <v>1.0</v>
      </c>
      <c r="S221">
        <f t="shared" si="1"/>
        <v>2014</v>
      </c>
      <c r="T221">
        <f t="shared" si="2"/>
        <v>9</v>
      </c>
      <c r="AF221" s="18"/>
      <c r="AG221" s="19"/>
      <c r="AL221" s="18"/>
      <c r="AM221" s="19"/>
    </row>
    <row r="222">
      <c r="A222" s="4" t="s">
        <v>814</v>
      </c>
      <c r="B222" s="10">
        <v>41879.0</v>
      </c>
      <c r="C222" s="11" t="s">
        <v>74</v>
      </c>
      <c r="D222" s="11" t="s">
        <v>210</v>
      </c>
      <c r="E222" s="11" t="s">
        <v>52</v>
      </c>
      <c r="F222" s="11" t="s">
        <v>53</v>
      </c>
      <c r="G222" s="11" t="s">
        <v>54</v>
      </c>
      <c r="H222" s="11" t="s">
        <v>92</v>
      </c>
      <c r="I222" s="11" t="s">
        <v>815</v>
      </c>
      <c r="J222" s="11">
        <v>19.0</v>
      </c>
      <c r="K222" s="13">
        <v>42249.0</v>
      </c>
      <c r="L222" s="11">
        <f t="shared" si="15"/>
        <v>12</v>
      </c>
      <c r="M222" s="11">
        <v>643282.0</v>
      </c>
      <c r="N222" s="11" t="s">
        <v>816</v>
      </c>
      <c r="O222" s="4" t="s">
        <v>817</v>
      </c>
      <c r="P222" s="11">
        <v>0.0</v>
      </c>
      <c r="Q222" s="15">
        <v>0.0</v>
      </c>
      <c r="R222" s="22">
        <v>1.0</v>
      </c>
      <c r="S222">
        <f t="shared" si="1"/>
        <v>2014</v>
      </c>
      <c r="T222">
        <f t="shared" si="2"/>
        <v>8</v>
      </c>
      <c r="AF222" s="18"/>
      <c r="AG222" s="19"/>
      <c r="AL222" s="18"/>
      <c r="AM222" s="19"/>
    </row>
    <row r="223">
      <c r="A223" s="4" t="s">
        <v>818</v>
      </c>
      <c r="B223" s="10">
        <v>41872.0</v>
      </c>
      <c r="C223" s="11" t="s">
        <v>109</v>
      </c>
      <c r="D223" s="11" t="s">
        <v>210</v>
      </c>
      <c r="E223" s="11" t="s">
        <v>52</v>
      </c>
      <c r="F223" s="11" t="s">
        <v>53</v>
      </c>
      <c r="G223" s="11" t="s">
        <v>54</v>
      </c>
      <c r="H223" s="11" t="s">
        <v>337</v>
      </c>
      <c r="I223" s="11" t="s">
        <v>260</v>
      </c>
      <c r="J223" s="11">
        <v>22.0</v>
      </c>
      <c r="K223" s="13">
        <v>42203.0</v>
      </c>
      <c r="L223" s="11">
        <f t="shared" si="15"/>
        <v>11</v>
      </c>
      <c r="M223" s="11">
        <v>596026.0</v>
      </c>
      <c r="N223" s="11" t="s">
        <v>819</v>
      </c>
      <c r="O223" s="4"/>
      <c r="P223" s="11">
        <v>0.0</v>
      </c>
      <c r="Q223" s="15">
        <v>0.0</v>
      </c>
      <c r="R223" s="22">
        <v>1.0</v>
      </c>
      <c r="S223">
        <f t="shared" si="1"/>
        <v>2014</v>
      </c>
      <c r="T223">
        <f t="shared" si="2"/>
        <v>8</v>
      </c>
      <c r="AF223" s="18"/>
      <c r="AG223" s="19"/>
      <c r="AL223" s="18"/>
      <c r="AM223" s="19"/>
    </row>
    <row r="224">
      <c r="A224" s="4" t="s">
        <v>820</v>
      </c>
      <c r="B224" s="10">
        <v>41871.0</v>
      </c>
      <c r="C224" s="11" t="s">
        <v>49</v>
      </c>
      <c r="D224" s="11" t="s">
        <v>124</v>
      </c>
      <c r="E224" s="14" t="s">
        <v>52</v>
      </c>
      <c r="F224" s="11" t="s">
        <v>76</v>
      </c>
      <c r="G224" s="14" t="s">
        <v>54</v>
      </c>
      <c r="H224" s="11" t="s">
        <v>92</v>
      </c>
      <c r="I224" s="11"/>
      <c r="J224" s="11">
        <v>20.0</v>
      </c>
      <c r="K224" s="13">
        <v>42469.0</v>
      </c>
      <c r="L224" s="11">
        <f t="shared" si="15"/>
        <v>20</v>
      </c>
      <c r="M224" s="11">
        <v>608331.0</v>
      </c>
      <c r="N224" s="11" t="s">
        <v>821</v>
      </c>
      <c r="O224" s="4" t="s">
        <v>188</v>
      </c>
      <c r="P224" s="11">
        <v>0.0</v>
      </c>
      <c r="Q224" s="15">
        <v>0.0</v>
      </c>
      <c r="R224" s="22">
        <v>1.0</v>
      </c>
      <c r="S224">
        <f t="shared" si="1"/>
        <v>2014</v>
      </c>
      <c r="T224">
        <f t="shared" si="2"/>
        <v>8</v>
      </c>
      <c r="AF224" s="18"/>
      <c r="AG224" s="19"/>
      <c r="AL224" s="18"/>
      <c r="AM224" s="19"/>
    </row>
    <row r="225">
      <c r="A225" s="4" t="s">
        <v>822</v>
      </c>
      <c r="B225" s="10">
        <v>41870.0</v>
      </c>
      <c r="C225" s="11" t="s">
        <v>711</v>
      </c>
      <c r="D225" s="11" t="s">
        <v>91</v>
      </c>
      <c r="E225" s="14" t="s">
        <v>52</v>
      </c>
      <c r="F225" s="11" t="s">
        <v>53</v>
      </c>
      <c r="G225" s="14" t="s">
        <v>54</v>
      </c>
      <c r="H225" s="11" t="s">
        <v>232</v>
      </c>
      <c r="I225" s="11" t="s">
        <v>823</v>
      </c>
      <c r="J225" s="11">
        <v>30.0</v>
      </c>
      <c r="K225" s="13">
        <v>42493.0</v>
      </c>
      <c r="L225" s="11">
        <f t="shared" si="15"/>
        <v>20</v>
      </c>
      <c r="M225" s="11">
        <v>474599.0</v>
      </c>
      <c r="N225" s="11">
        <v>8162.0</v>
      </c>
      <c r="O225" s="4" t="s">
        <v>59</v>
      </c>
      <c r="P225" s="11">
        <v>0.0</v>
      </c>
      <c r="Q225" s="15">
        <v>0.0</v>
      </c>
      <c r="R225" s="22">
        <v>1.0</v>
      </c>
      <c r="S225">
        <f t="shared" si="1"/>
        <v>2014</v>
      </c>
      <c r="T225">
        <f t="shared" si="2"/>
        <v>8</v>
      </c>
      <c r="AF225" s="18"/>
      <c r="AG225" s="19"/>
      <c r="AL225" s="18"/>
      <c r="AM225" s="19"/>
    </row>
    <row r="226">
      <c r="A226" s="4" t="s">
        <v>824</v>
      </c>
      <c r="B226" s="10">
        <v>41865.0</v>
      </c>
      <c r="C226" s="11" t="s">
        <v>259</v>
      </c>
      <c r="D226" s="11" t="s">
        <v>75</v>
      </c>
      <c r="E226" s="22" t="s">
        <v>392</v>
      </c>
      <c r="F226" s="11" t="s">
        <v>53</v>
      </c>
      <c r="G226" s="14" t="s">
        <v>54</v>
      </c>
      <c r="H226" s="11" t="s">
        <v>92</v>
      </c>
      <c r="I226" s="11" t="s">
        <v>825</v>
      </c>
      <c r="J226" s="11">
        <v>24.0</v>
      </c>
      <c r="K226" s="13">
        <v>42103.0</v>
      </c>
      <c r="L226" s="11">
        <f t="shared" si="15"/>
        <v>8</v>
      </c>
      <c r="M226" s="11">
        <v>573135.0</v>
      </c>
      <c r="N226" s="11">
        <v>10807.0</v>
      </c>
      <c r="O226" s="4" t="s">
        <v>59</v>
      </c>
      <c r="P226" s="11">
        <v>161.0</v>
      </c>
      <c r="Q226" s="15">
        <v>573.0</v>
      </c>
      <c r="R226" s="22">
        <v>1.0</v>
      </c>
      <c r="S226">
        <f t="shared" si="1"/>
        <v>2014</v>
      </c>
      <c r="T226">
        <f t="shared" si="2"/>
        <v>8</v>
      </c>
      <c r="AF226" s="18"/>
      <c r="AG226" s="19"/>
      <c r="AL226" s="18"/>
      <c r="AM226" s="19"/>
    </row>
    <row r="227">
      <c r="A227" s="4" t="s">
        <v>828</v>
      </c>
      <c r="B227" s="10">
        <v>41864.0</v>
      </c>
      <c r="C227" s="11" t="s">
        <v>108</v>
      </c>
      <c r="D227" s="11" t="s">
        <v>51</v>
      </c>
      <c r="E227" s="14" t="s">
        <v>52</v>
      </c>
      <c r="F227" s="11" t="s">
        <v>76</v>
      </c>
      <c r="G227" s="14" t="s">
        <v>54</v>
      </c>
      <c r="H227" s="11" t="s">
        <v>92</v>
      </c>
      <c r="I227" s="11"/>
      <c r="J227" s="11">
        <v>22.0</v>
      </c>
      <c r="K227" s="33">
        <v>42577.0</v>
      </c>
      <c r="L227" s="11">
        <f t="shared" si="15"/>
        <v>23</v>
      </c>
      <c r="M227" s="11">
        <v>572140.0</v>
      </c>
      <c r="N227" s="11">
        <v>10190.0</v>
      </c>
      <c r="O227" s="4" t="s">
        <v>188</v>
      </c>
      <c r="P227" s="11">
        <v>10.0</v>
      </c>
      <c r="Q227" s="15">
        <v>49.667</v>
      </c>
      <c r="R227" s="22">
        <v>1.0</v>
      </c>
      <c r="S227">
        <f t="shared" si="1"/>
        <v>2014</v>
      </c>
      <c r="T227">
        <f t="shared" si="2"/>
        <v>8</v>
      </c>
      <c r="X227" s="20">
        <v>42443.0</v>
      </c>
      <c r="Y227" s="20">
        <v>42470.0</v>
      </c>
      <c r="Z227" s="20">
        <v>42480.0</v>
      </c>
      <c r="AA227" s="4" t="s">
        <v>829</v>
      </c>
      <c r="AF227" s="18"/>
      <c r="AG227" s="19"/>
      <c r="AL227" s="18"/>
      <c r="AM227" s="19"/>
    </row>
    <row r="228">
      <c r="A228" s="4" t="s">
        <v>830</v>
      </c>
      <c r="B228" s="10">
        <v>41852.0</v>
      </c>
      <c r="C228" s="11" t="s">
        <v>125</v>
      </c>
      <c r="D228" s="11" t="s">
        <v>91</v>
      </c>
      <c r="E228" s="11" t="s">
        <v>52</v>
      </c>
      <c r="F228" s="11" t="s">
        <v>53</v>
      </c>
      <c r="G228" s="11" t="s">
        <v>83</v>
      </c>
      <c r="H228" s="14"/>
      <c r="I228" s="14"/>
      <c r="J228" s="11">
        <v>21.0</v>
      </c>
      <c r="K228" s="33">
        <v>42539.0</v>
      </c>
      <c r="L228" s="11">
        <f t="shared" si="15"/>
        <v>23</v>
      </c>
      <c r="M228" s="11">
        <v>609111.0</v>
      </c>
      <c r="N228" s="11" t="s">
        <v>832</v>
      </c>
      <c r="P228" s="11">
        <v>0.0</v>
      </c>
      <c r="Q228" s="15">
        <v>0.0</v>
      </c>
      <c r="R228" s="22">
        <v>1.0</v>
      </c>
      <c r="S228">
        <f t="shared" si="1"/>
        <v>2014</v>
      </c>
      <c r="T228">
        <f t="shared" si="2"/>
        <v>8</v>
      </c>
      <c r="AF228" s="18"/>
      <c r="AG228" s="19"/>
      <c r="AL228" s="18"/>
      <c r="AM228" s="19"/>
    </row>
    <row r="229">
      <c r="A229" s="4" t="s">
        <v>833</v>
      </c>
      <c r="B229" s="10">
        <v>41852.0</v>
      </c>
      <c r="C229" s="11" t="s">
        <v>90</v>
      </c>
      <c r="D229" s="11" t="s">
        <v>82</v>
      </c>
      <c r="E229" s="22" t="s">
        <v>834</v>
      </c>
      <c r="F229" s="11" t="s">
        <v>53</v>
      </c>
      <c r="G229" s="11" t="s">
        <v>83</v>
      </c>
      <c r="H229" s="14"/>
      <c r="I229" s="14"/>
      <c r="J229" s="11">
        <v>24.0</v>
      </c>
      <c r="K229" s="14"/>
      <c r="L229" s="14"/>
      <c r="M229" s="11">
        <v>517539.0</v>
      </c>
      <c r="N229" s="11" t="s">
        <v>835</v>
      </c>
      <c r="P229" s="11">
        <v>0.0</v>
      </c>
      <c r="Q229" s="15">
        <v>0.0</v>
      </c>
      <c r="R229" s="22">
        <v>1.0</v>
      </c>
      <c r="S229">
        <f t="shared" si="1"/>
        <v>2014</v>
      </c>
      <c r="T229">
        <f t="shared" si="2"/>
        <v>8</v>
      </c>
      <c r="AF229" s="18"/>
      <c r="AG229" s="19"/>
      <c r="AL229" s="18"/>
      <c r="AM229" s="19"/>
    </row>
    <row r="230">
      <c r="A230" s="4" t="s">
        <v>836</v>
      </c>
      <c r="B230" s="10">
        <v>41852.0</v>
      </c>
      <c r="C230" s="11" t="s">
        <v>130</v>
      </c>
      <c r="D230" s="11" t="s">
        <v>170</v>
      </c>
      <c r="E230" s="11" t="s">
        <v>52</v>
      </c>
      <c r="F230" s="11" t="s">
        <v>53</v>
      </c>
      <c r="G230" s="11" t="s">
        <v>54</v>
      </c>
      <c r="H230" s="11" t="s">
        <v>77</v>
      </c>
      <c r="I230" s="11" t="s">
        <v>837</v>
      </c>
      <c r="J230" s="11">
        <v>20.0</v>
      </c>
      <c r="K230" s="13">
        <v>42547.0</v>
      </c>
      <c r="L230" s="11"/>
      <c r="M230" s="11">
        <v>668944.0</v>
      </c>
      <c r="N230" s="11" t="s">
        <v>838</v>
      </c>
      <c r="O230" s="4"/>
      <c r="P230" s="11">
        <v>0.0</v>
      </c>
      <c r="Q230" s="15">
        <v>0.0</v>
      </c>
      <c r="R230" s="22">
        <v>1.0</v>
      </c>
      <c r="S230">
        <f t="shared" si="1"/>
        <v>2014</v>
      </c>
      <c r="T230">
        <f t="shared" si="2"/>
        <v>8</v>
      </c>
      <c r="AF230" s="18"/>
      <c r="AG230" s="19"/>
      <c r="AL230" s="18"/>
      <c r="AM230" s="19"/>
    </row>
    <row r="231">
      <c r="A231" s="4" t="s">
        <v>839</v>
      </c>
      <c r="B231" s="10">
        <v>41851.0</v>
      </c>
      <c r="C231" s="11" t="s">
        <v>331</v>
      </c>
      <c r="D231" s="11" t="s">
        <v>151</v>
      </c>
      <c r="E231" s="14" t="s">
        <v>52</v>
      </c>
      <c r="F231" s="11" t="s">
        <v>76</v>
      </c>
      <c r="G231" s="14" t="s">
        <v>54</v>
      </c>
      <c r="H231" s="11" t="s">
        <v>322</v>
      </c>
      <c r="I231" s="11" t="s">
        <v>157</v>
      </c>
      <c r="J231" s="11">
        <v>21.0</v>
      </c>
      <c r="K231" s="13">
        <v>42194.0</v>
      </c>
      <c r="L231" s="11">
        <f t="shared" ref="L231:L232" si="16">ROUND(((K231-B231)/365)*12)</f>
        <v>11</v>
      </c>
      <c r="M231" s="11">
        <v>596071.0</v>
      </c>
      <c r="N231" s="11" t="s">
        <v>840</v>
      </c>
      <c r="O231" s="4" t="s">
        <v>59</v>
      </c>
      <c r="P231" s="11">
        <v>0.0</v>
      </c>
      <c r="Q231" s="15">
        <v>0.0</v>
      </c>
      <c r="R231" s="22">
        <v>1.0</v>
      </c>
      <c r="S231">
        <f t="shared" si="1"/>
        <v>2014</v>
      </c>
      <c r="T231">
        <f t="shared" si="2"/>
        <v>7</v>
      </c>
      <c r="AF231" s="18"/>
      <c r="AG231" s="19"/>
      <c r="AL231" s="18"/>
      <c r="AM231" s="19"/>
    </row>
    <row r="232">
      <c r="A232" s="4" t="s">
        <v>841</v>
      </c>
      <c r="B232" s="10">
        <v>41850.0</v>
      </c>
      <c r="C232" s="11" t="s">
        <v>81</v>
      </c>
      <c r="D232" s="11" t="s">
        <v>75</v>
      </c>
      <c r="E232" s="14" t="s">
        <v>52</v>
      </c>
      <c r="F232" s="11" t="s">
        <v>53</v>
      </c>
      <c r="G232" s="14" t="s">
        <v>54</v>
      </c>
      <c r="H232" s="11" t="s">
        <v>842</v>
      </c>
      <c r="I232" s="11" t="s">
        <v>843</v>
      </c>
      <c r="J232" s="11">
        <v>27.0</v>
      </c>
      <c r="K232" s="13">
        <v>42468.0</v>
      </c>
      <c r="L232" s="11">
        <f t="shared" si="16"/>
        <v>20</v>
      </c>
      <c r="M232" s="11">
        <v>543155.0</v>
      </c>
      <c r="N232" s="11">
        <v>8077.0</v>
      </c>
      <c r="O232" s="4" t="s">
        <v>188</v>
      </c>
      <c r="P232" s="11">
        <v>0.0</v>
      </c>
      <c r="Q232" s="15">
        <v>0.0</v>
      </c>
      <c r="R232" s="22">
        <v>1.0</v>
      </c>
      <c r="S232">
        <f t="shared" si="1"/>
        <v>2014</v>
      </c>
      <c r="T232">
        <f t="shared" si="2"/>
        <v>7</v>
      </c>
      <c r="AF232" s="18"/>
      <c r="AG232" s="19"/>
      <c r="AL232" s="18"/>
      <c r="AM232" s="19"/>
    </row>
    <row r="233">
      <c r="A233" s="4" t="s">
        <v>844</v>
      </c>
      <c r="B233" s="10">
        <v>41850.0</v>
      </c>
      <c r="C233" s="11" t="s">
        <v>103</v>
      </c>
      <c r="D233" s="11" t="s">
        <v>110</v>
      </c>
      <c r="E233" s="11" t="s">
        <v>52</v>
      </c>
      <c r="F233" s="11" t="s">
        <v>53</v>
      </c>
      <c r="G233" s="11" t="s">
        <v>312</v>
      </c>
      <c r="H233" s="11"/>
      <c r="I233" s="11"/>
      <c r="J233" s="11">
        <v>23.0</v>
      </c>
      <c r="K233" s="14"/>
      <c r="L233" s="14"/>
      <c r="M233" s="11">
        <v>571803.0</v>
      </c>
      <c r="N233" s="11" t="s">
        <v>845</v>
      </c>
      <c r="O233" s="4"/>
      <c r="P233" s="11">
        <v>0.0</v>
      </c>
      <c r="Q233" s="15">
        <v>0.0</v>
      </c>
      <c r="R233" s="22">
        <v>1.0</v>
      </c>
      <c r="S233">
        <f t="shared" si="1"/>
        <v>2014</v>
      </c>
      <c r="T233">
        <f t="shared" si="2"/>
        <v>7</v>
      </c>
      <c r="AF233" s="18"/>
      <c r="AG233" s="19"/>
      <c r="AL233" s="18"/>
      <c r="AM233" s="19"/>
    </row>
    <row r="234">
      <c r="A234" s="4" t="s">
        <v>846</v>
      </c>
      <c r="B234" s="10">
        <v>41849.0</v>
      </c>
      <c r="C234" s="11" t="s">
        <v>259</v>
      </c>
      <c r="D234" s="11" t="s">
        <v>51</v>
      </c>
      <c r="E234" s="14" t="s">
        <v>52</v>
      </c>
      <c r="F234" s="11" t="s">
        <v>53</v>
      </c>
      <c r="G234" s="14" t="s">
        <v>54</v>
      </c>
      <c r="H234" s="11" t="s">
        <v>476</v>
      </c>
      <c r="I234" s="11" t="s">
        <v>848</v>
      </c>
      <c r="J234" s="11">
        <v>28.0</v>
      </c>
      <c r="K234" s="13">
        <v>42223.0</v>
      </c>
      <c r="L234" s="11">
        <f t="shared" ref="L234:L238" si="17">ROUND(((K234-B234)/365)*12)</f>
        <v>12</v>
      </c>
      <c r="M234" s="11">
        <v>518858.0</v>
      </c>
      <c r="N234" s="11">
        <v>4696.0</v>
      </c>
      <c r="O234" s="4" t="s">
        <v>59</v>
      </c>
      <c r="P234" s="11">
        <v>90.0</v>
      </c>
      <c r="Q234" s="15">
        <v>89.667</v>
      </c>
      <c r="R234" s="22">
        <v>1.0</v>
      </c>
      <c r="S234">
        <f t="shared" si="1"/>
        <v>2014</v>
      </c>
      <c r="T234">
        <f t="shared" si="2"/>
        <v>7</v>
      </c>
      <c r="Y234" s="20">
        <v>42195.0</v>
      </c>
      <c r="AF234" s="18"/>
      <c r="AG234" s="19"/>
      <c r="AL234" s="18"/>
      <c r="AM234" s="19"/>
    </row>
    <row r="235">
      <c r="A235" s="4" t="s">
        <v>850</v>
      </c>
      <c r="B235" s="10">
        <v>41845.0</v>
      </c>
      <c r="C235" s="11" t="s">
        <v>96</v>
      </c>
      <c r="D235" s="11" t="s">
        <v>124</v>
      </c>
      <c r="E235" s="14" t="s">
        <v>52</v>
      </c>
      <c r="F235" s="11" t="s">
        <v>76</v>
      </c>
      <c r="G235" s="22" t="s">
        <v>172</v>
      </c>
      <c r="H235" s="14"/>
      <c r="I235" s="14"/>
      <c r="J235" s="11">
        <v>23.0</v>
      </c>
      <c r="K235" s="13">
        <v>42222.0</v>
      </c>
      <c r="L235" s="11">
        <f t="shared" si="17"/>
        <v>12</v>
      </c>
      <c r="M235" s="11">
        <v>571772.0</v>
      </c>
      <c r="N235" s="11" t="s">
        <v>851</v>
      </c>
      <c r="P235" s="11">
        <v>0.0</v>
      </c>
      <c r="Q235" s="15">
        <v>0.0</v>
      </c>
      <c r="R235" s="22">
        <v>1.0</v>
      </c>
      <c r="S235">
        <f t="shared" si="1"/>
        <v>2014</v>
      </c>
      <c r="T235">
        <f t="shared" si="2"/>
        <v>7</v>
      </c>
      <c r="AF235" s="18"/>
      <c r="AG235" s="19"/>
      <c r="AL235" s="18"/>
      <c r="AM235" s="19"/>
    </row>
    <row r="236">
      <c r="A236" s="4" t="s">
        <v>852</v>
      </c>
      <c r="B236" s="10">
        <v>41843.0</v>
      </c>
      <c r="C236" s="11" t="s">
        <v>382</v>
      </c>
      <c r="D236" s="11" t="s">
        <v>51</v>
      </c>
      <c r="E236" s="14" t="s">
        <v>52</v>
      </c>
      <c r="F236" s="11" t="s">
        <v>53</v>
      </c>
      <c r="G236" s="14" t="s">
        <v>54</v>
      </c>
      <c r="H236" s="11" t="s">
        <v>92</v>
      </c>
      <c r="I236" s="11"/>
      <c r="J236" s="11">
        <v>24.0</v>
      </c>
      <c r="K236" s="13">
        <v>42466.0</v>
      </c>
      <c r="L236" s="11">
        <f t="shared" si="17"/>
        <v>20</v>
      </c>
      <c r="M236" s="11">
        <v>543022.0</v>
      </c>
      <c r="N236" s="11">
        <v>4338.0</v>
      </c>
      <c r="O236" s="4" t="s">
        <v>59</v>
      </c>
      <c r="P236" s="11">
        <v>27.0</v>
      </c>
      <c r="Q236" s="15">
        <v>158.0</v>
      </c>
      <c r="R236" s="22">
        <v>1.0</v>
      </c>
      <c r="S236">
        <f t="shared" si="1"/>
        <v>2014</v>
      </c>
      <c r="T236">
        <f t="shared" si="2"/>
        <v>7</v>
      </c>
      <c r="AF236" s="18"/>
      <c r="AG236" s="19"/>
      <c r="AL236" s="18"/>
      <c r="AM236" s="19"/>
    </row>
    <row r="237">
      <c r="A237" s="4" t="s">
        <v>853</v>
      </c>
      <c r="B237" s="10">
        <v>41842.0</v>
      </c>
      <c r="C237" s="11" t="s">
        <v>350</v>
      </c>
      <c r="D237" s="11" t="s">
        <v>170</v>
      </c>
      <c r="E237" s="14" t="s">
        <v>52</v>
      </c>
      <c r="F237" s="11" t="s">
        <v>53</v>
      </c>
      <c r="G237" s="14" t="s">
        <v>54</v>
      </c>
      <c r="H237" s="11" t="s">
        <v>99</v>
      </c>
      <c r="I237" s="11"/>
      <c r="J237" s="11">
        <v>18.0</v>
      </c>
      <c r="K237" s="13">
        <v>42177.0</v>
      </c>
      <c r="L237" s="11">
        <f t="shared" si="17"/>
        <v>11</v>
      </c>
      <c r="M237" s="11">
        <v>656302.0</v>
      </c>
      <c r="N237" s="46" t="s">
        <v>854</v>
      </c>
      <c r="O237" s="47"/>
      <c r="P237" s="11">
        <v>0.0</v>
      </c>
      <c r="Q237" s="15">
        <v>0.0</v>
      </c>
      <c r="R237" s="22">
        <v>1.0</v>
      </c>
      <c r="S237">
        <f t="shared" si="1"/>
        <v>2014</v>
      </c>
      <c r="T237">
        <f t="shared" si="2"/>
        <v>7</v>
      </c>
      <c r="AF237" s="18"/>
      <c r="AG237" s="19"/>
      <c r="AL237" s="18"/>
      <c r="AM237" s="19"/>
    </row>
    <row r="238">
      <c r="A238" s="4" t="s">
        <v>856</v>
      </c>
      <c r="B238" s="10">
        <v>41842.0</v>
      </c>
      <c r="C238" s="11" t="s">
        <v>114</v>
      </c>
      <c r="D238" s="11" t="s">
        <v>91</v>
      </c>
      <c r="E238" s="22" t="s">
        <v>264</v>
      </c>
      <c r="F238" s="11" t="s">
        <v>53</v>
      </c>
      <c r="G238" s="11" t="s">
        <v>312</v>
      </c>
      <c r="H238" s="11"/>
      <c r="I238" s="11"/>
      <c r="J238" s="11">
        <v>20.0</v>
      </c>
      <c r="K238" s="13">
        <v>42184.0</v>
      </c>
      <c r="L238" s="11">
        <f t="shared" si="17"/>
        <v>11</v>
      </c>
      <c r="M238" s="11">
        <v>601707.0</v>
      </c>
      <c r="N238" s="11" t="s">
        <v>859</v>
      </c>
      <c r="P238" s="11">
        <v>0.0</v>
      </c>
      <c r="Q238" s="15">
        <v>0.0</v>
      </c>
      <c r="R238" s="22">
        <v>1.0</v>
      </c>
      <c r="S238">
        <f t="shared" si="1"/>
        <v>2014</v>
      </c>
      <c r="T238">
        <f t="shared" si="2"/>
        <v>7</v>
      </c>
      <c r="AF238" s="18"/>
      <c r="AG238" s="19"/>
      <c r="AL238" s="18"/>
      <c r="AM238" s="19"/>
    </row>
    <row r="239">
      <c r="A239" s="4" t="s">
        <v>860</v>
      </c>
      <c r="B239" s="10">
        <v>41836.0</v>
      </c>
      <c r="C239" s="11" t="s">
        <v>119</v>
      </c>
      <c r="D239" s="11" t="s">
        <v>51</v>
      </c>
      <c r="E239" s="11" t="s">
        <v>52</v>
      </c>
      <c r="F239" s="11" t="s">
        <v>53</v>
      </c>
      <c r="G239" s="11" t="s">
        <v>54</v>
      </c>
      <c r="H239" s="11" t="s">
        <v>92</v>
      </c>
      <c r="I239" s="11"/>
      <c r="J239" s="11">
        <v>27.0</v>
      </c>
      <c r="K239" s="14"/>
      <c r="L239" s="14"/>
      <c r="M239" s="11">
        <v>457707.0</v>
      </c>
      <c r="N239" s="11">
        <v>7074.0</v>
      </c>
      <c r="O239" s="4" t="s">
        <v>188</v>
      </c>
      <c r="P239" s="11">
        <v>0.0</v>
      </c>
      <c r="Q239" s="15">
        <v>0.0</v>
      </c>
      <c r="R239" s="11">
        <v>0.0</v>
      </c>
      <c r="S239">
        <f t="shared" si="1"/>
        <v>2014</v>
      </c>
      <c r="T239">
        <f t="shared" si="2"/>
        <v>7</v>
      </c>
      <c r="AF239" s="18"/>
      <c r="AG239" s="19"/>
      <c r="AL239" s="18"/>
      <c r="AM239" s="19"/>
    </row>
    <row r="240">
      <c r="A240" s="4" t="s">
        <v>862</v>
      </c>
      <c r="B240" s="10">
        <v>41835.0</v>
      </c>
      <c r="C240" s="11" t="s">
        <v>96</v>
      </c>
      <c r="D240" s="11" t="s">
        <v>51</v>
      </c>
      <c r="E240" s="14" t="s">
        <v>52</v>
      </c>
      <c r="F240" s="11" t="s">
        <v>53</v>
      </c>
      <c r="G240" s="14" t="s">
        <v>54</v>
      </c>
      <c r="H240" s="11" t="s">
        <v>260</v>
      </c>
      <c r="I240" s="11"/>
      <c r="J240" s="11">
        <v>37.0</v>
      </c>
      <c r="K240" s="14"/>
      <c r="L240" s="14"/>
      <c r="M240" s="11">
        <v>276520.0</v>
      </c>
      <c r="N240" s="11">
        <v>978.0</v>
      </c>
      <c r="O240" s="4" t="s">
        <v>863</v>
      </c>
      <c r="P240" s="11">
        <v>0.0</v>
      </c>
      <c r="Q240" s="15">
        <v>0.0</v>
      </c>
      <c r="R240" s="22">
        <v>1.0</v>
      </c>
      <c r="S240">
        <f t="shared" si="1"/>
        <v>2014</v>
      </c>
      <c r="T240">
        <f t="shared" si="2"/>
        <v>7</v>
      </c>
      <c r="Y240" s="20">
        <v>42547.0</v>
      </c>
      <c r="Z240" s="20">
        <v>42430.0</v>
      </c>
      <c r="AA240" s="4" t="s">
        <v>797</v>
      </c>
      <c r="AB240" s="20">
        <v>42614.0</v>
      </c>
      <c r="AC240" s="4" t="s">
        <v>864</v>
      </c>
      <c r="AF240" s="18"/>
      <c r="AG240" s="19"/>
      <c r="AL240" s="18"/>
      <c r="AM240" s="19"/>
    </row>
    <row r="241">
      <c r="A241" s="4" t="s">
        <v>865</v>
      </c>
      <c r="B241" s="10">
        <v>41835.0</v>
      </c>
      <c r="C241" s="11" t="s">
        <v>711</v>
      </c>
      <c r="D241" s="11" t="s">
        <v>124</v>
      </c>
      <c r="E241" s="14" t="s">
        <v>52</v>
      </c>
      <c r="F241" s="11" t="s">
        <v>53</v>
      </c>
      <c r="G241" s="22" t="s">
        <v>312</v>
      </c>
      <c r="H241" s="11"/>
      <c r="I241" s="11"/>
      <c r="J241" s="11">
        <v>21.0</v>
      </c>
      <c r="K241" s="13">
        <v>42217.0</v>
      </c>
      <c r="L241" s="11">
        <f>ROUND(((K241-B241)/365)*12)</f>
        <v>13</v>
      </c>
      <c r="M241" s="11">
        <v>601715.0</v>
      </c>
      <c r="N241" s="11" t="s">
        <v>866</v>
      </c>
      <c r="O241" s="4" t="s">
        <v>59</v>
      </c>
      <c r="P241" s="11">
        <v>0.0</v>
      </c>
      <c r="Q241" s="15">
        <v>0.0</v>
      </c>
      <c r="R241" s="22">
        <v>1.0</v>
      </c>
      <c r="S241">
        <f t="shared" si="1"/>
        <v>2014</v>
      </c>
      <c r="T241">
        <f t="shared" si="2"/>
        <v>7</v>
      </c>
      <c r="AF241" s="18"/>
      <c r="AG241" s="19"/>
      <c r="AL241" s="18"/>
      <c r="AM241" s="19"/>
    </row>
    <row r="242">
      <c r="A242" s="4" t="s">
        <v>867</v>
      </c>
      <c r="B242" s="10">
        <v>41823.0</v>
      </c>
      <c r="C242" s="11" t="s">
        <v>81</v>
      </c>
      <c r="D242" s="11" t="s">
        <v>75</v>
      </c>
      <c r="E242" s="11" t="s">
        <v>52</v>
      </c>
      <c r="F242" s="11" t="s">
        <v>53</v>
      </c>
      <c r="G242" s="11" t="s">
        <v>54</v>
      </c>
      <c r="H242" s="11" t="s">
        <v>157</v>
      </c>
      <c r="I242" s="11" t="s">
        <v>868</v>
      </c>
      <c r="J242" s="11">
        <v>28.0</v>
      </c>
      <c r="K242" s="14"/>
      <c r="L242" s="14"/>
      <c r="M242" s="11">
        <v>451585.0</v>
      </c>
      <c r="N242" s="11">
        <v>868.0</v>
      </c>
      <c r="O242" s="4" t="s">
        <v>59</v>
      </c>
      <c r="P242" s="11">
        <v>0.0</v>
      </c>
      <c r="Q242" s="15">
        <v>0.0</v>
      </c>
      <c r="R242" s="11">
        <v>0.0</v>
      </c>
      <c r="S242">
        <f t="shared" si="1"/>
        <v>2014</v>
      </c>
      <c r="T242">
        <f t="shared" si="2"/>
        <v>7</v>
      </c>
      <c r="AF242" s="18"/>
      <c r="AG242" s="19"/>
      <c r="AL242" s="18"/>
      <c r="AM242" s="19"/>
    </row>
    <row r="243">
      <c r="A243" s="4" t="s">
        <v>809</v>
      </c>
      <c r="B243" s="10">
        <v>41821.0</v>
      </c>
      <c r="C243" s="11" t="s">
        <v>382</v>
      </c>
      <c r="D243" s="11" t="s">
        <v>82</v>
      </c>
      <c r="E243" s="14" t="s">
        <v>52</v>
      </c>
      <c r="F243" s="11" t="s">
        <v>53</v>
      </c>
      <c r="G243" s="14" t="s">
        <v>54</v>
      </c>
      <c r="H243" s="11" t="s">
        <v>344</v>
      </c>
      <c r="I243" s="11" t="s">
        <v>869</v>
      </c>
      <c r="J243" s="11">
        <v>24.0</v>
      </c>
      <c r="K243" s="13">
        <v>42268.0</v>
      </c>
      <c r="L243" s="11">
        <f>ROUND(((K243-B243)/365)*12)</f>
        <v>15</v>
      </c>
      <c r="M243" s="11">
        <v>595465.0</v>
      </c>
      <c r="N243" s="11">
        <v>12237.0</v>
      </c>
      <c r="P243" s="11">
        <v>5.0</v>
      </c>
      <c r="Q243" s="15">
        <v>4.0</v>
      </c>
      <c r="R243" s="22">
        <v>1.0</v>
      </c>
      <c r="S243">
        <f t="shared" si="1"/>
        <v>2014</v>
      </c>
      <c r="T243">
        <f t="shared" si="2"/>
        <v>7</v>
      </c>
      <c r="Z243" s="20">
        <v>42470.0</v>
      </c>
      <c r="AA243" s="4" t="s">
        <v>434</v>
      </c>
      <c r="AF243" s="18"/>
      <c r="AG243" s="19"/>
      <c r="AL243" s="18"/>
      <c r="AM243" s="19"/>
    </row>
    <row r="244">
      <c r="A244" s="4" t="s">
        <v>871</v>
      </c>
      <c r="B244" s="10">
        <v>41821.0</v>
      </c>
      <c r="C244" s="11" t="s">
        <v>382</v>
      </c>
      <c r="D244" s="11" t="s">
        <v>151</v>
      </c>
      <c r="E244" s="11" t="s">
        <v>872</v>
      </c>
      <c r="F244" s="11" t="s">
        <v>53</v>
      </c>
      <c r="G244" s="11" t="s">
        <v>54</v>
      </c>
      <c r="H244" s="11" t="s">
        <v>305</v>
      </c>
      <c r="I244" s="11" t="s">
        <v>873</v>
      </c>
      <c r="J244" s="11">
        <v>20.0</v>
      </c>
      <c r="K244" s="13">
        <v>42538.0</v>
      </c>
      <c r="L244" s="11"/>
      <c r="M244" s="11">
        <v>670109.0</v>
      </c>
      <c r="N244" s="11" t="s">
        <v>874</v>
      </c>
      <c r="P244" s="11">
        <v>0.0</v>
      </c>
      <c r="Q244" s="15">
        <v>0.0</v>
      </c>
      <c r="R244" s="22">
        <v>1.0</v>
      </c>
      <c r="S244">
        <f t="shared" si="1"/>
        <v>2014</v>
      </c>
      <c r="T244">
        <f t="shared" si="2"/>
        <v>7</v>
      </c>
      <c r="AF244" s="18"/>
      <c r="AG244" s="19"/>
      <c r="AL244" s="18"/>
      <c r="AM244" s="19"/>
    </row>
    <row r="245">
      <c r="A245" s="4" t="s">
        <v>875</v>
      </c>
      <c r="B245" s="10">
        <v>41821.0</v>
      </c>
      <c r="C245" s="11" t="s">
        <v>159</v>
      </c>
      <c r="D245" s="11" t="s">
        <v>110</v>
      </c>
      <c r="E245" s="14" t="s">
        <v>52</v>
      </c>
      <c r="F245" s="11" t="s">
        <v>53</v>
      </c>
      <c r="G245" s="22" t="s">
        <v>265</v>
      </c>
      <c r="H245" s="14"/>
      <c r="I245" s="14"/>
      <c r="J245" s="11">
        <v>22.0</v>
      </c>
      <c r="K245" s="13">
        <v>42209.0</v>
      </c>
      <c r="L245" s="11">
        <f t="shared" ref="L245:L260" si="18">ROUND(((K245-B245)/365)*12)</f>
        <v>13</v>
      </c>
      <c r="M245" s="11">
        <v>553968.0</v>
      </c>
      <c r="N245" s="11" t="s">
        <v>877</v>
      </c>
      <c r="P245" s="11">
        <v>0.0</v>
      </c>
      <c r="Q245" s="15">
        <v>0.0</v>
      </c>
      <c r="R245" s="22">
        <v>1.0</v>
      </c>
      <c r="S245">
        <f t="shared" si="1"/>
        <v>2014</v>
      </c>
      <c r="T245">
        <f t="shared" si="2"/>
        <v>7</v>
      </c>
      <c r="AF245" s="18"/>
      <c r="AG245" s="19"/>
      <c r="AL245" s="18"/>
      <c r="AM245" s="19"/>
    </row>
    <row r="246">
      <c r="A246" s="4" t="s">
        <v>879</v>
      </c>
      <c r="B246" s="10">
        <v>41821.0</v>
      </c>
      <c r="C246" s="11" t="s">
        <v>123</v>
      </c>
      <c r="D246" s="11" t="s">
        <v>124</v>
      </c>
      <c r="E246" s="14" t="s">
        <v>52</v>
      </c>
      <c r="F246" s="11" t="s">
        <v>53</v>
      </c>
      <c r="G246" s="22" t="s">
        <v>83</v>
      </c>
      <c r="H246" s="14"/>
      <c r="I246" s="14"/>
      <c r="J246" s="11">
        <v>19.0</v>
      </c>
      <c r="K246" s="33">
        <v>42510.0</v>
      </c>
      <c r="L246" s="11">
        <f t="shared" si="18"/>
        <v>23</v>
      </c>
      <c r="M246" s="11">
        <v>622864.0</v>
      </c>
      <c r="N246" s="11" t="s">
        <v>880</v>
      </c>
      <c r="P246" s="11">
        <v>0.0</v>
      </c>
      <c r="Q246" s="15">
        <v>0.0</v>
      </c>
      <c r="R246" s="22">
        <v>1.0</v>
      </c>
      <c r="S246">
        <f t="shared" si="1"/>
        <v>2014</v>
      </c>
      <c r="T246">
        <f t="shared" si="2"/>
        <v>7</v>
      </c>
      <c r="AF246" s="18"/>
      <c r="AG246" s="19"/>
      <c r="AL246" s="18"/>
      <c r="AM246" s="19"/>
    </row>
    <row r="247">
      <c r="A247" s="4" t="s">
        <v>881</v>
      </c>
      <c r="B247" s="10">
        <v>41821.0</v>
      </c>
      <c r="C247" s="11" t="s">
        <v>109</v>
      </c>
      <c r="D247" s="11" t="s">
        <v>124</v>
      </c>
      <c r="E247" s="14" t="s">
        <v>52</v>
      </c>
      <c r="F247" s="11" t="s">
        <v>53</v>
      </c>
      <c r="G247" s="14" t="s">
        <v>54</v>
      </c>
      <c r="H247" s="11" t="s">
        <v>92</v>
      </c>
      <c r="I247" s="11"/>
      <c r="J247" s="11">
        <v>19.0</v>
      </c>
      <c r="K247" s="13">
        <v>42224.0</v>
      </c>
      <c r="L247" s="11">
        <f t="shared" si="18"/>
        <v>13</v>
      </c>
      <c r="M247" s="11">
        <v>623167.0</v>
      </c>
      <c r="N247" s="11" t="s">
        <v>882</v>
      </c>
      <c r="P247" s="11">
        <v>0.0</v>
      </c>
      <c r="Q247" s="15">
        <v>0.0</v>
      </c>
      <c r="R247" s="22">
        <v>1.0</v>
      </c>
      <c r="S247">
        <f t="shared" si="1"/>
        <v>2014</v>
      </c>
      <c r="T247">
        <f t="shared" si="2"/>
        <v>7</v>
      </c>
      <c r="AF247" s="18"/>
      <c r="AG247" s="19"/>
      <c r="AL247" s="18"/>
      <c r="AM247" s="19"/>
    </row>
    <row r="248">
      <c r="A248" s="4" t="s">
        <v>883</v>
      </c>
      <c r="B248" s="10">
        <v>41821.0</v>
      </c>
      <c r="C248" s="11" t="s">
        <v>90</v>
      </c>
      <c r="D248" s="11" t="s">
        <v>91</v>
      </c>
      <c r="E248" s="14" t="s">
        <v>52</v>
      </c>
      <c r="F248" s="11" t="s">
        <v>53</v>
      </c>
      <c r="G248" s="14" t="s">
        <v>54</v>
      </c>
      <c r="H248" s="11" t="s">
        <v>154</v>
      </c>
      <c r="I248" s="11"/>
      <c r="J248" s="11">
        <v>18.0</v>
      </c>
      <c r="K248" s="13">
        <v>42198.0</v>
      </c>
      <c r="L248" s="11">
        <f t="shared" si="18"/>
        <v>12</v>
      </c>
      <c r="M248" s="11">
        <v>656479.0</v>
      </c>
      <c r="N248" s="11" t="s">
        <v>884</v>
      </c>
      <c r="P248" s="11">
        <v>0.0</v>
      </c>
      <c r="Q248" s="15">
        <v>0.0</v>
      </c>
      <c r="R248" s="22">
        <v>1.0</v>
      </c>
      <c r="S248">
        <f t="shared" si="1"/>
        <v>2014</v>
      </c>
      <c r="T248">
        <f t="shared" si="2"/>
        <v>7</v>
      </c>
      <c r="AF248" s="18"/>
      <c r="AG248" s="19"/>
      <c r="AL248" s="18"/>
      <c r="AM248" s="19"/>
    </row>
    <row r="249">
      <c r="A249" s="4" t="s">
        <v>885</v>
      </c>
      <c r="B249" s="10">
        <v>41814.0</v>
      </c>
      <c r="C249" s="11" t="s">
        <v>133</v>
      </c>
      <c r="D249" s="11" t="s">
        <v>170</v>
      </c>
      <c r="E249" s="14" t="s">
        <v>52</v>
      </c>
      <c r="F249" s="11" t="s">
        <v>53</v>
      </c>
      <c r="G249" s="14" t="s">
        <v>54</v>
      </c>
      <c r="H249" s="11" t="s">
        <v>112</v>
      </c>
      <c r="I249" s="11"/>
      <c r="J249" s="11">
        <v>18.0</v>
      </c>
      <c r="K249" s="13">
        <v>42180.0</v>
      </c>
      <c r="L249" s="11">
        <f t="shared" si="18"/>
        <v>12</v>
      </c>
      <c r="M249" s="11">
        <v>656837.0</v>
      </c>
      <c r="N249" s="11" t="s">
        <v>888</v>
      </c>
      <c r="O249" s="4" t="s">
        <v>59</v>
      </c>
      <c r="P249" s="11">
        <v>0.0</v>
      </c>
      <c r="Q249" s="15">
        <v>0.0</v>
      </c>
      <c r="R249" s="22">
        <v>1.0</v>
      </c>
      <c r="S249">
        <f t="shared" si="1"/>
        <v>2014</v>
      </c>
      <c r="T249">
        <f t="shared" si="2"/>
        <v>6</v>
      </c>
      <c r="AF249" s="18"/>
      <c r="AG249" s="19"/>
      <c r="AL249" s="18"/>
      <c r="AM249" s="19"/>
    </row>
    <row r="250">
      <c r="A250" s="4" t="s">
        <v>890</v>
      </c>
      <c r="B250" s="10">
        <v>41814.0</v>
      </c>
      <c r="C250" s="11" t="s">
        <v>270</v>
      </c>
      <c r="D250" s="11" t="s">
        <v>82</v>
      </c>
      <c r="E250" s="14" t="s">
        <v>52</v>
      </c>
      <c r="F250" s="11" t="s">
        <v>53</v>
      </c>
      <c r="G250" s="14" t="s">
        <v>54</v>
      </c>
      <c r="H250" s="11" t="s">
        <v>412</v>
      </c>
      <c r="I250" s="11" t="s">
        <v>891</v>
      </c>
      <c r="J250" s="11">
        <v>23.0</v>
      </c>
      <c r="K250" s="13">
        <v>42176.0</v>
      </c>
      <c r="L250" s="11">
        <f t="shared" si="18"/>
        <v>12</v>
      </c>
      <c r="M250" s="11">
        <v>571882.0</v>
      </c>
      <c r="N250" s="11">
        <v>13133.0</v>
      </c>
      <c r="O250" s="4" t="s">
        <v>59</v>
      </c>
      <c r="P250" s="11">
        <v>61.0</v>
      </c>
      <c r="Q250" s="15">
        <v>55.0</v>
      </c>
      <c r="R250" s="22">
        <v>1.0</v>
      </c>
      <c r="S250">
        <f t="shared" si="1"/>
        <v>2014</v>
      </c>
      <c r="T250">
        <f t="shared" si="2"/>
        <v>6</v>
      </c>
      <c r="AF250" s="18"/>
      <c r="AG250" s="19"/>
      <c r="AL250" s="18"/>
      <c r="AM250" s="19"/>
    </row>
    <row r="251">
      <c r="A251" s="4" t="s">
        <v>893</v>
      </c>
      <c r="B251" s="10">
        <v>41809.0</v>
      </c>
      <c r="C251" s="11" t="s">
        <v>331</v>
      </c>
      <c r="D251" s="11" t="s">
        <v>82</v>
      </c>
      <c r="E251" s="11" t="s">
        <v>52</v>
      </c>
      <c r="F251" s="11" t="s">
        <v>53</v>
      </c>
      <c r="G251" s="11" t="s">
        <v>54</v>
      </c>
      <c r="H251" s="11" t="s">
        <v>597</v>
      </c>
      <c r="I251" s="11" t="s">
        <v>894</v>
      </c>
      <c r="J251" s="11">
        <v>23.0</v>
      </c>
      <c r="K251" s="13">
        <v>42201.0</v>
      </c>
      <c r="L251" s="11">
        <f t="shared" si="18"/>
        <v>13</v>
      </c>
      <c r="M251" s="11">
        <v>572371.0</v>
      </c>
      <c r="N251" s="11" t="s">
        <v>895</v>
      </c>
      <c r="O251" s="4"/>
      <c r="P251" s="11">
        <v>0.0</v>
      </c>
      <c r="Q251" s="15">
        <v>0.0</v>
      </c>
      <c r="R251" s="22">
        <v>1.0</v>
      </c>
      <c r="S251">
        <f t="shared" si="1"/>
        <v>2014</v>
      </c>
      <c r="T251">
        <f t="shared" si="2"/>
        <v>6</v>
      </c>
      <c r="AF251" s="18"/>
      <c r="AG251" s="19"/>
      <c r="AL251" s="18"/>
      <c r="AM251" s="19"/>
    </row>
    <row r="252">
      <c r="A252" s="4" t="s">
        <v>896</v>
      </c>
      <c r="B252" s="10">
        <v>41807.0</v>
      </c>
      <c r="C252" s="11" t="s">
        <v>209</v>
      </c>
      <c r="D252" s="11" t="s">
        <v>51</v>
      </c>
      <c r="E252" s="22" t="s">
        <v>264</v>
      </c>
      <c r="F252" s="11" t="s">
        <v>53</v>
      </c>
      <c r="G252" s="14" t="s">
        <v>54</v>
      </c>
      <c r="H252" s="11" t="s">
        <v>230</v>
      </c>
      <c r="I252" s="11" t="s">
        <v>743</v>
      </c>
      <c r="J252" s="11">
        <v>28.0</v>
      </c>
      <c r="K252" s="13">
        <v>42160.0</v>
      </c>
      <c r="L252" s="11">
        <f t="shared" si="18"/>
        <v>12</v>
      </c>
      <c r="M252" s="11">
        <v>446308.0</v>
      </c>
      <c r="N252" s="11">
        <v>4298.0</v>
      </c>
      <c r="O252" s="4" t="s">
        <v>59</v>
      </c>
      <c r="P252" s="11">
        <v>199.0</v>
      </c>
      <c r="Q252" s="15">
        <v>746.0</v>
      </c>
      <c r="R252" s="22">
        <v>1.0</v>
      </c>
      <c r="S252">
        <f t="shared" si="1"/>
        <v>2014</v>
      </c>
      <c r="T252">
        <f t="shared" si="2"/>
        <v>6</v>
      </c>
      <c r="AF252" s="18"/>
      <c r="AG252" s="19"/>
      <c r="AL252" s="18"/>
      <c r="AM252" s="19"/>
    </row>
    <row r="253">
      <c r="A253" s="4" t="s">
        <v>897</v>
      </c>
      <c r="B253" s="10">
        <v>41807.0</v>
      </c>
      <c r="C253" s="11" t="s">
        <v>81</v>
      </c>
      <c r="D253" s="11" t="s">
        <v>75</v>
      </c>
      <c r="E253" s="14" t="s">
        <v>52</v>
      </c>
      <c r="F253" s="11" t="s">
        <v>76</v>
      </c>
      <c r="G253" s="14" t="s">
        <v>54</v>
      </c>
      <c r="H253" s="11" t="s">
        <v>92</v>
      </c>
      <c r="I253" s="11" t="s">
        <v>898</v>
      </c>
      <c r="J253" s="11">
        <v>28.0</v>
      </c>
      <c r="K253" s="13">
        <v>42467.0</v>
      </c>
      <c r="L253" s="11">
        <f t="shared" si="18"/>
        <v>22</v>
      </c>
      <c r="M253" s="11">
        <v>446290.0</v>
      </c>
      <c r="N253" s="11">
        <v>2858.0</v>
      </c>
      <c r="P253" s="11">
        <v>0.0</v>
      </c>
      <c r="Q253" s="15">
        <v>0.0</v>
      </c>
      <c r="R253" s="22">
        <v>1.0</v>
      </c>
      <c r="S253">
        <f t="shared" si="1"/>
        <v>2014</v>
      </c>
      <c r="T253">
        <f t="shared" si="2"/>
        <v>6</v>
      </c>
      <c r="AF253" s="18"/>
      <c r="AG253" s="19"/>
      <c r="AL253" s="18"/>
      <c r="AM253" s="19"/>
    </row>
    <row r="254">
      <c r="A254" s="4" t="s">
        <v>899</v>
      </c>
      <c r="B254" s="10">
        <v>41807.0</v>
      </c>
      <c r="C254" s="11" t="s">
        <v>109</v>
      </c>
      <c r="D254" s="11" t="s">
        <v>75</v>
      </c>
      <c r="E254" s="14" t="s">
        <v>52</v>
      </c>
      <c r="F254" s="11" t="s">
        <v>53</v>
      </c>
      <c r="G254" s="14" t="s">
        <v>54</v>
      </c>
      <c r="H254" s="11" t="s">
        <v>260</v>
      </c>
      <c r="I254" s="11" t="s">
        <v>901</v>
      </c>
      <c r="J254" s="11">
        <v>26.0</v>
      </c>
      <c r="K254" s="13">
        <v>42467.0</v>
      </c>
      <c r="L254" s="11">
        <f t="shared" si="18"/>
        <v>22</v>
      </c>
      <c r="M254" s="11">
        <v>502368.0</v>
      </c>
      <c r="N254" s="11" t="s">
        <v>902</v>
      </c>
      <c r="P254" s="11">
        <v>0.0</v>
      </c>
      <c r="Q254" s="15">
        <v>0.0</v>
      </c>
      <c r="R254" s="22">
        <v>1.0</v>
      </c>
      <c r="S254">
        <f t="shared" si="1"/>
        <v>2014</v>
      </c>
      <c r="T254">
        <f t="shared" si="2"/>
        <v>6</v>
      </c>
      <c r="AF254" s="18"/>
      <c r="AG254" s="19"/>
      <c r="AL254" s="18"/>
      <c r="AM254" s="19"/>
    </row>
    <row r="255">
      <c r="A255" s="4" t="s">
        <v>903</v>
      </c>
      <c r="B255" s="10">
        <v>41799.0</v>
      </c>
      <c r="C255" s="11" t="s">
        <v>159</v>
      </c>
      <c r="D255" s="11" t="s">
        <v>91</v>
      </c>
      <c r="E255" s="11" t="s">
        <v>52</v>
      </c>
      <c r="F255" s="11" t="s">
        <v>53</v>
      </c>
      <c r="G255" s="11" t="s">
        <v>265</v>
      </c>
      <c r="H255" s="11"/>
      <c r="I255" s="11"/>
      <c r="J255" s="11">
        <v>19.0</v>
      </c>
      <c r="K255" s="13">
        <v>42237.0</v>
      </c>
      <c r="L255" s="11">
        <f t="shared" si="18"/>
        <v>14</v>
      </c>
      <c r="M255" s="11">
        <v>621592.0</v>
      </c>
      <c r="N255" s="11" t="s">
        <v>904</v>
      </c>
      <c r="O255" s="4"/>
      <c r="P255" s="11">
        <v>0.0</v>
      </c>
      <c r="Q255" s="15">
        <v>0.0</v>
      </c>
      <c r="R255" s="22">
        <v>1.0</v>
      </c>
      <c r="S255">
        <f t="shared" si="1"/>
        <v>2014</v>
      </c>
      <c r="T255">
        <f t="shared" si="2"/>
        <v>6</v>
      </c>
      <c r="AF255" s="18"/>
      <c r="AG255" s="19"/>
      <c r="AL255" s="18"/>
      <c r="AM255" s="19"/>
    </row>
    <row r="256">
      <c r="A256" s="4" t="s">
        <v>766</v>
      </c>
      <c r="B256" s="10">
        <v>41795.0</v>
      </c>
      <c r="C256" s="11" t="s">
        <v>108</v>
      </c>
      <c r="D256" s="11" t="s">
        <v>51</v>
      </c>
      <c r="E256" s="14" t="s">
        <v>52</v>
      </c>
      <c r="F256" s="11" t="s">
        <v>76</v>
      </c>
      <c r="G256" s="14" t="s">
        <v>54</v>
      </c>
      <c r="H256" s="11" t="s">
        <v>260</v>
      </c>
      <c r="I256" s="11"/>
      <c r="J256" s="11">
        <v>31.0</v>
      </c>
      <c r="K256" s="33">
        <v>42616.0</v>
      </c>
      <c r="L256" s="11">
        <f t="shared" si="18"/>
        <v>27</v>
      </c>
      <c r="M256" s="11">
        <v>430634.0</v>
      </c>
      <c r="N256" s="11">
        <v>1886.0</v>
      </c>
      <c r="O256" s="4" t="s">
        <v>59</v>
      </c>
      <c r="P256" s="11">
        <v>10.0</v>
      </c>
      <c r="Q256" s="15">
        <v>5.667</v>
      </c>
      <c r="R256" s="22">
        <v>1.0</v>
      </c>
      <c r="S256">
        <f t="shared" si="1"/>
        <v>2014</v>
      </c>
      <c r="T256">
        <f t="shared" si="2"/>
        <v>6</v>
      </c>
      <c r="AF256" s="18"/>
      <c r="AG256" s="19"/>
      <c r="AL256" s="18"/>
      <c r="AM256" s="19"/>
    </row>
    <row r="257">
      <c r="A257" s="4" t="s">
        <v>908</v>
      </c>
      <c r="B257" s="10">
        <v>41795.0</v>
      </c>
      <c r="C257" s="11" t="s">
        <v>108</v>
      </c>
      <c r="D257" s="11" t="s">
        <v>151</v>
      </c>
      <c r="E257" s="11" t="s">
        <v>52</v>
      </c>
      <c r="F257" s="11" t="s">
        <v>53</v>
      </c>
      <c r="G257" s="11" t="s">
        <v>54</v>
      </c>
      <c r="H257" s="11" t="s">
        <v>322</v>
      </c>
      <c r="I257" s="11" t="s">
        <v>909</v>
      </c>
      <c r="J257" s="11">
        <v>21.0</v>
      </c>
      <c r="K257" s="13">
        <v>42175.0</v>
      </c>
      <c r="L257" s="11">
        <f t="shared" si="18"/>
        <v>12</v>
      </c>
      <c r="M257" s="11">
        <v>596095.0</v>
      </c>
      <c r="N257" s="11" t="s">
        <v>910</v>
      </c>
      <c r="O257" s="4"/>
      <c r="P257" s="11">
        <v>0.0</v>
      </c>
      <c r="Q257" s="15">
        <v>0.0</v>
      </c>
      <c r="R257" s="22">
        <v>1.0</v>
      </c>
      <c r="S257">
        <f t="shared" si="1"/>
        <v>2014</v>
      </c>
      <c r="T257">
        <f t="shared" si="2"/>
        <v>6</v>
      </c>
      <c r="AF257" s="18"/>
      <c r="AG257" s="19"/>
      <c r="AL257" s="18"/>
      <c r="AM257" s="19"/>
    </row>
    <row r="258">
      <c r="A258" s="4" t="s">
        <v>911</v>
      </c>
      <c r="B258" s="10">
        <v>41795.0</v>
      </c>
      <c r="C258" s="11" t="s">
        <v>125</v>
      </c>
      <c r="D258" s="11" t="s">
        <v>75</v>
      </c>
      <c r="E258" s="14" t="s">
        <v>52</v>
      </c>
      <c r="F258" s="11" t="s">
        <v>53</v>
      </c>
      <c r="G258" s="14" t="s">
        <v>54</v>
      </c>
      <c r="H258" s="11" t="s">
        <v>316</v>
      </c>
      <c r="I258" s="11" t="s">
        <v>912</v>
      </c>
      <c r="J258" s="11">
        <v>28.0</v>
      </c>
      <c r="K258" s="13">
        <v>42475.0</v>
      </c>
      <c r="L258" s="11">
        <f t="shared" si="18"/>
        <v>22</v>
      </c>
      <c r="M258" s="11">
        <v>444992.0</v>
      </c>
      <c r="N258" s="11">
        <v>792.0</v>
      </c>
      <c r="O258" s="4" t="s">
        <v>59</v>
      </c>
      <c r="P258" s="11">
        <v>0.0</v>
      </c>
      <c r="Q258" s="15">
        <v>0.0</v>
      </c>
      <c r="R258" s="22">
        <v>1.0</v>
      </c>
      <c r="S258">
        <f t="shared" si="1"/>
        <v>2014</v>
      </c>
      <c r="T258">
        <f t="shared" si="2"/>
        <v>6</v>
      </c>
      <c r="AF258" s="18"/>
      <c r="AG258" s="19"/>
      <c r="AL258" s="18"/>
      <c r="AM258" s="19"/>
    </row>
    <row r="259">
      <c r="A259" s="4" t="s">
        <v>913</v>
      </c>
      <c r="B259" s="10">
        <v>41793.0</v>
      </c>
      <c r="C259" s="11" t="s">
        <v>81</v>
      </c>
      <c r="D259" s="11" t="s">
        <v>51</v>
      </c>
      <c r="E259" s="14" t="s">
        <v>52</v>
      </c>
      <c r="F259" s="11" t="s">
        <v>53</v>
      </c>
      <c r="G259" s="14" t="s">
        <v>54</v>
      </c>
      <c r="H259" s="11" t="s">
        <v>157</v>
      </c>
      <c r="I259" s="11"/>
      <c r="J259" s="11">
        <v>25.0</v>
      </c>
      <c r="K259" s="13">
        <v>42470.0</v>
      </c>
      <c r="L259" s="11">
        <f t="shared" si="18"/>
        <v>22</v>
      </c>
      <c r="M259" s="11">
        <v>519437.0</v>
      </c>
      <c r="N259" s="11">
        <v>7161.0</v>
      </c>
      <c r="O259" s="4" t="s">
        <v>59</v>
      </c>
      <c r="P259" s="11">
        <v>46.0</v>
      </c>
      <c r="Q259" s="15">
        <v>37.667</v>
      </c>
      <c r="R259" s="22">
        <v>1.0</v>
      </c>
      <c r="S259">
        <f t="shared" si="1"/>
        <v>2014</v>
      </c>
      <c r="T259">
        <f t="shared" si="2"/>
        <v>6</v>
      </c>
      <c r="AF259" s="18"/>
      <c r="AG259" s="19"/>
      <c r="AL259" s="18"/>
      <c r="AM259" s="19"/>
    </row>
    <row r="260">
      <c r="A260" s="4" t="s">
        <v>914</v>
      </c>
      <c r="B260" s="10">
        <v>41793.0</v>
      </c>
      <c r="C260" s="11" t="s">
        <v>74</v>
      </c>
      <c r="D260" s="11" t="s">
        <v>151</v>
      </c>
      <c r="E260" s="14" t="s">
        <v>52</v>
      </c>
      <c r="F260" s="11" t="s">
        <v>53</v>
      </c>
      <c r="G260" s="14" t="s">
        <v>54</v>
      </c>
      <c r="H260" s="11" t="s">
        <v>77</v>
      </c>
      <c r="I260" s="11" t="s">
        <v>915</v>
      </c>
      <c r="J260" s="11">
        <v>21.0</v>
      </c>
      <c r="K260" s="13">
        <v>42176.0</v>
      </c>
      <c r="L260" s="11">
        <f t="shared" si="18"/>
        <v>13</v>
      </c>
      <c r="M260" s="11">
        <v>607200.0</v>
      </c>
      <c r="N260" s="11" t="s">
        <v>916</v>
      </c>
      <c r="O260" s="4" t="s">
        <v>188</v>
      </c>
      <c r="P260" s="11">
        <v>0.0</v>
      </c>
      <c r="Q260" s="15">
        <v>0.0</v>
      </c>
      <c r="R260" s="22">
        <v>1.0</v>
      </c>
      <c r="S260">
        <f t="shared" si="1"/>
        <v>2014</v>
      </c>
      <c r="T260">
        <f t="shared" si="2"/>
        <v>6</v>
      </c>
      <c r="AF260" s="18"/>
      <c r="AG260" s="19"/>
      <c r="AL260" s="18"/>
      <c r="AM260" s="19"/>
    </row>
    <row r="261">
      <c r="A261" s="4" t="s">
        <v>917</v>
      </c>
      <c r="B261" s="10">
        <v>41791.0</v>
      </c>
      <c r="C261" s="11" t="s">
        <v>108</v>
      </c>
      <c r="D261" s="11" t="s">
        <v>51</v>
      </c>
      <c r="E261" s="11" t="s">
        <v>52</v>
      </c>
      <c r="F261" s="11" t="s">
        <v>53</v>
      </c>
      <c r="G261" s="11" t="s">
        <v>54</v>
      </c>
      <c r="H261" s="11" t="s">
        <v>157</v>
      </c>
      <c r="I261" s="11" t="s">
        <v>918</v>
      </c>
      <c r="J261" s="11">
        <v>26.0</v>
      </c>
      <c r="K261" s="14"/>
      <c r="L261" s="14"/>
      <c r="M261" s="11">
        <v>518489.0</v>
      </c>
      <c r="N261" s="11">
        <v>5615.0</v>
      </c>
      <c r="P261" s="11">
        <v>0.0</v>
      </c>
      <c r="Q261" s="15">
        <v>0.0</v>
      </c>
      <c r="R261" s="22">
        <v>1.0</v>
      </c>
      <c r="S261">
        <f t="shared" si="1"/>
        <v>2014</v>
      </c>
      <c r="T261">
        <f t="shared" si="2"/>
        <v>6</v>
      </c>
      <c r="AF261" s="18"/>
      <c r="AG261" s="19"/>
      <c r="AL261" s="18"/>
      <c r="AM261" s="19"/>
    </row>
    <row r="262">
      <c r="A262" s="4" t="s">
        <v>920</v>
      </c>
      <c r="B262" s="10">
        <v>41791.0</v>
      </c>
      <c r="C262" s="11" t="s">
        <v>382</v>
      </c>
      <c r="D262" s="11" t="s">
        <v>151</v>
      </c>
      <c r="E262" s="11" t="s">
        <v>52</v>
      </c>
      <c r="F262" s="11" t="s">
        <v>53</v>
      </c>
      <c r="G262" s="11" t="s">
        <v>54</v>
      </c>
      <c r="H262" s="11" t="s">
        <v>99</v>
      </c>
      <c r="I262" s="11" t="s">
        <v>99</v>
      </c>
      <c r="J262" s="11">
        <v>21.0</v>
      </c>
      <c r="K262" s="13">
        <v>42547.0</v>
      </c>
      <c r="L262" s="11"/>
      <c r="M262" s="11">
        <v>595988.0</v>
      </c>
      <c r="N262" s="11" t="s">
        <v>921</v>
      </c>
      <c r="P262" s="11">
        <v>0.0</v>
      </c>
      <c r="Q262" s="15">
        <v>0.0</v>
      </c>
      <c r="R262" s="22">
        <v>1.0</v>
      </c>
      <c r="S262">
        <f t="shared" si="1"/>
        <v>2014</v>
      </c>
      <c r="T262">
        <f t="shared" si="2"/>
        <v>6</v>
      </c>
      <c r="AF262" s="18"/>
      <c r="AG262" s="19"/>
      <c r="AL262" s="18"/>
      <c r="AM262" s="19"/>
    </row>
    <row r="263">
      <c r="A263" s="4" t="s">
        <v>922</v>
      </c>
      <c r="B263" s="10">
        <v>41791.0</v>
      </c>
      <c r="C263" s="11" t="s">
        <v>138</v>
      </c>
      <c r="D263" s="11" t="s">
        <v>110</v>
      </c>
      <c r="E263" s="11" t="s">
        <v>52</v>
      </c>
      <c r="F263" s="11" t="s">
        <v>76</v>
      </c>
      <c r="G263" s="11" t="s">
        <v>54</v>
      </c>
      <c r="H263" s="11" t="s">
        <v>344</v>
      </c>
      <c r="I263" s="11" t="s">
        <v>500</v>
      </c>
      <c r="J263" s="11">
        <v>23.0</v>
      </c>
      <c r="K263" s="13">
        <v>42178.0</v>
      </c>
      <c r="L263" s="11">
        <f t="shared" ref="L263:L265" si="19">ROUND(((K263-B263)/365)*12)</f>
        <v>13</v>
      </c>
      <c r="M263" s="11">
        <v>608650.0</v>
      </c>
      <c r="N263" s="11" t="s">
        <v>924</v>
      </c>
      <c r="P263" s="11">
        <v>0.0</v>
      </c>
      <c r="Q263" s="15">
        <v>0.0</v>
      </c>
      <c r="R263" s="22">
        <v>1.0</v>
      </c>
      <c r="S263">
        <f t="shared" si="1"/>
        <v>2014</v>
      </c>
      <c r="T263">
        <f t="shared" si="2"/>
        <v>6</v>
      </c>
      <c r="AF263" s="18"/>
      <c r="AG263" s="19"/>
      <c r="AL263" s="18"/>
      <c r="AM263" s="19"/>
    </row>
    <row r="264">
      <c r="A264" s="4" t="s">
        <v>925</v>
      </c>
      <c r="B264" s="10">
        <v>41789.0</v>
      </c>
      <c r="C264" s="11" t="s">
        <v>81</v>
      </c>
      <c r="D264" s="11" t="s">
        <v>170</v>
      </c>
      <c r="E264" s="14" t="s">
        <v>52</v>
      </c>
      <c r="F264" s="11" t="s">
        <v>76</v>
      </c>
      <c r="G264" s="14" t="s">
        <v>54</v>
      </c>
      <c r="H264" s="11" t="s">
        <v>305</v>
      </c>
      <c r="I264" s="11"/>
      <c r="J264" s="11">
        <v>17.0</v>
      </c>
      <c r="K264" s="13">
        <v>42175.0</v>
      </c>
      <c r="L264" s="11">
        <f t="shared" si="19"/>
        <v>13</v>
      </c>
      <c r="M264" s="11">
        <v>657571.0</v>
      </c>
      <c r="N264" s="11" t="s">
        <v>926</v>
      </c>
      <c r="P264" s="11">
        <v>0.0</v>
      </c>
      <c r="Q264" s="15">
        <v>0.0</v>
      </c>
      <c r="R264" s="22">
        <v>1.0</v>
      </c>
      <c r="S264">
        <f t="shared" si="1"/>
        <v>2014</v>
      </c>
      <c r="T264">
        <f t="shared" si="2"/>
        <v>5</v>
      </c>
      <c r="AF264" s="18"/>
      <c r="AG264" s="19"/>
      <c r="AL264" s="18"/>
      <c r="AM264" s="19"/>
    </row>
    <row r="265">
      <c r="A265" s="4" t="s">
        <v>927</v>
      </c>
      <c r="B265" s="10">
        <v>41788.0</v>
      </c>
      <c r="C265" s="11" t="s">
        <v>74</v>
      </c>
      <c r="D265" s="11" t="s">
        <v>82</v>
      </c>
      <c r="E265" s="14" t="s">
        <v>52</v>
      </c>
      <c r="F265" s="11" t="s">
        <v>76</v>
      </c>
      <c r="G265" s="14" t="s">
        <v>54</v>
      </c>
      <c r="H265" s="11" t="s">
        <v>157</v>
      </c>
      <c r="I265" s="11" t="s">
        <v>868</v>
      </c>
      <c r="J265" s="11">
        <v>23.0</v>
      </c>
      <c r="K265" s="13">
        <v>42211.0</v>
      </c>
      <c r="L265" s="11">
        <f t="shared" si="19"/>
        <v>14</v>
      </c>
      <c r="M265" s="11">
        <v>545357.0</v>
      </c>
      <c r="N265" s="11">
        <v>12831.0</v>
      </c>
      <c r="O265" s="4" t="s">
        <v>59</v>
      </c>
      <c r="P265" s="11">
        <v>12.0</v>
      </c>
      <c r="Q265" s="15">
        <v>18.0</v>
      </c>
      <c r="R265" s="22">
        <v>1.0</v>
      </c>
      <c r="S265">
        <f t="shared" si="1"/>
        <v>2014</v>
      </c>
      <c r="T265">
        <f t="shared" si="2"/>
        <v>5</v>
      </c>
      <c r="AF265" s="18"/>
      <c r="AG265" s="19"/>
      <c r="AL265" s="18"/>
      <c r="AM265" s="19"/>
    </row>
    <row r="266">
      <c r="A266" s="4" t="s">
        <v>928</v>
      </c>
      <c r="B266" s="10">
        <v>41787.0</v>
      </c>
      <c r="C266" s="11" t="s">
        <v>239</v>
      </c>
      <c r="D266" s="11" t="s">
        <v>51</v>
      </c>
      <c r="E266" s="14" t="s">
        <v>52</v>
      </c>
      <c r="F266" s="11" t="s">
        <v>53</v>
      </c>
      <c r="G266" s="22" t="s">
        <v>83</v>
      </c>
      <c r="H266" s="14"/>
      <c r="I266" s="14"/>
      <c r="J266" s="11">
        <v>25.0</v>
      </c>
      <c r="K266" s="14"/>
      <c r="L266" s="14"/>
      <c r="M266" s="11">
        <v>542585.0</v>
      </c>
      <c r="N266" s="11">
        <v>6399.0</v>
      </c>
      <c r="O266" s="4" t="s">
        <v>102</v>
      </c>
      <c r="P266" s="11">
        <v>0.0</v>
      </c>
      <c r="Q266" s="15">
        <v>0.0</v>
      </c>
      <c r="R266" s="22">
        <v>1.0</v>
      </c>
      <c r="S266">
        <f t="shared" si="1"/>
        <v>2014</v>
      </c>
      <c r="T266">
        <f t="shared" si="2"/>
        <v>5</v>
      </c>
      <c r="AF266" s="18"/>
      <c r="AG266" s="19"/>
      <c r="AL266" s="18"/>
      <c r="AM266" s="19"/>
    </row>
    <row r="267">
      <c r="A267" s="4" t="s">
        <v>929</v>
      </c>
      <c r="B267" s="10">
        <v>41787.0</v>
      </c>
      <c r="C267" s="11" t="s">
        <v>350</v>
      </c>
      <c r="D267" s="11" t="s">
        <v>91</v>
      </c>
      <c r="E267" s="14" t="s">
        <v>52</v>
      </c>
      <c r="F267" s="11" t="s">
        <v>53</v>
      </c>
      <c r="G267" s="14" t="s">
        <v>54</v>
      </c>
      <c r="H267" s="11" t="s">
        <v>260</v>
      </c>
      <c r="I267" s="11" t="s">
        <v>930</v>
      </c>
      <c r="J267" s="11">
        <v>23.0</v>
      </c>
      <c r="K267" s="14"/>
      <c r="L267" s="14"/>
      <c r="M267" s="11">
        <v>642006.0</v>
      </c>
      <c r="N267" s="11" t="s">
        <v>931</v>
      </c>
      <c r="P267" s="11">
        <v>0.0</v>
      </c>
      <c r="Q267" s="15">
        <v>0.0</v>
      </c>
      <c r="R267" s="11">
        <v>0.0</v>
      </c>
      <c r="S267">
        <f t="shared" si="1"/>
        <v>2014</v>
      </c>
      <c r="T267">
        <f t="shared" si="2"/>
        <v>5</v>
      </c>
      <c r="AF267" s="18"/>
      <c r="AG267" s="19"/>
      <c r="AL267" s="18"/>
      <c r="AM267" s="19"/>
    </row>
    <row r="268">
      <c r="A268" s="4" t="s">
        <v>932</v>
      </c>
      <c r="B268" s="10">
        <v>41787.0</v>
      </c>
      <c r="C268" s="11" t="s">
        <v>123</v>
      </c>
      <c r="D268" s="11" t="s">
        <v>124</v>
      </c>
      <c r="E268" s="14" t="s">
        <v>52</v>
      </c>
      <c r="F268" s="11" t="s">
        <v>76</v>
      </c>
      <c r="G268" s="22" t="s">
        <v>83</v>
      </c>
      <c r="H268" s="14"/>
      <c r="I268" s="14"/>
      <c r="J268" s="11">
        <v>20.0</v>
      </c>
      <c r="K268" s="13">
        <v>42190.0</v>
      </c>
      <c r="L268" s="11">
        <f t="shared" ref="L268:L271" si="20">ROUND(((K268-B268)/365)*12)</f>
        <v>13</v>
      </c>
      <c r="M268" s="11">
        <v>600968.0</v>
      </c>
      <c r="N268" s="11" t="s">
        <v>934</v>
      </c>
      <c r="P268" s="11">
        <v>0.0</v>
      </c>
      <c r="Q268" s="15">
        <v>0.0</v>
      </c>
      <c r="R268" s="22">
        <v>1.0</v>
      </c>
      <c r="S268">
        <f t="shared" si="1"/>
        <v>2014</v>
      </c>
      <c r="T268">
        <f t="shared" si="2"/>
        <v>5</v>
      </c>
      <c r="AF268" s="18"/>
      <c r="AG268" s="19"/>
      <c r="AL268" s="18"/>
      <c r="AM268" s="19"/>
    </row>
    <row r="269">
      <c r="A269" s="4" t="s">
        <v>935</v>
      </c>
      <c r="B269" s="10">
        <v>41787.0</v>
      </c>
      <c r="C269" s="11" t="s">
        <v>156</v>
      </c>
      <c r="D269" s="11" t="s">
        <v>75</v>
      </c>
      <c r="E269" s="14" t="s">
        <v>52</v>
      </c>
      <c r="F269" s="11" t="s">
        <v>53</v>
      </c>
      <c r="G269" s="14" t="s">
        <v>54</v>
      </c>
      <c r="H269" s="11" t="s">
        <v>476</v>
      </c>
      <c r="I269" s="11" t="s">
        <v>936</v>
      </c>
      <c r="J269" s="11">
        <v>25.0</v>
      </c>
      <c r="K269" s="13">
        <v>42118.0</v>
      </c>
      <c r="L269" s="11">
        <f t="shared" si="20"/>
        <v>11</v>
      </c>
      <c r="M269" s="11">
        <v>572751.0</v>
      </c>
      <c r="N269" s="11">
        <v>10080.0</v>
      </c>
      <c r="O269" s="4" t="s">
        <v>404</v>
      </c>
      <c r="P269" s="11">
        <v>0.0</v>
      </c>
      <c r="Q269" s="15">
        <v>0.0</v>
      </c>
      <c r="R269" s="11">
        <v>0.0</v>
      </c>
      <c r="S269">
        <f t="shared" si="1"/>
        <v>2014</v>
      </c>
      <c r="T269">
        <f t="shared" si="2"/>
        <v>5</v>
      </c>
      <c r="AF269" s="18"/>
      <c r="AG269" s="19"/>
      <c r="AL269" s="18"/>
      <c r="AM269" s="19"/>
    </row>
    <row r="270">
      <c r="A270" s="4" t="s">
        <v>940</v>
      </c>
      <c r="B270" s="10">
        <v>41786.0</v>
      </c>
      <c r="C270" s="11" t="s">
        <v>331</v>
      </c>
      <c r="D270" s="11" t="s">
        <v>82</v>
      </c>
      <c r="E270" s="14" t="s">
        <v>52</v>
      </c>
      <c r="F270" s="11" t="s">
        <v>53</v>
      </c>
      <c r="G270" s="14" t="s">
        <v>54</v>
      </c>
      <c r="H270" s="11" t="s">
        <v>412</v>
      </c>
      <c r="I270" s="11" t="s">
        <v>549</v>
      </c>
      <c r="J270" s="11">
        <v>24.0</v>
      </c>
      <c r="K270" s="13">
        <v>42170.0</v>
      </c>
      <c r="L270" s="11">
        <f t="shared" si="20"/>
        <v>13</v>
      </c>
      <c r="M270" s="11">
        <v>543518.0</v>
      </c>
      <c r="N270" s="11">
        <v>12056.0</v>
      </c>
      <c r="P270" s="11">
        <v>6.0</v>
      </c>
      <c r="Q270" s="15">
        <v>6.667</v>
      </c>
      <c r="R270" s="22">
        <v>1.0</v>
      </c>
      <c r="S270">
        <f t="shared" si="1"/>
        <v>2014</v>
      </c>
      <c r="T270">
        <f t="shared" si="2"/>
        <v>5</v>
      </c>
      <c r="AF270" s="18"/>
      <c r="AG270" s="19"/>
      <c r="AL270" s="18"/>
      <c r="AM270" s="19"/>
    </row>
    <row r="271">
      <c r="A271" s="4" t="s">
        <v>943</v>
      </c>
      <c r="B271" s="10">
        <v>41786.0</v>
      </c>
      <c r="C271" s="11" t="s">
        <v>711</v>
      </c>
      <c r="D271" s="11" t="s">
        <v>91</v>
      </c>
      <c r="E271" s="14" t="s">
        <v>52</v>
      </c>
      <c r="F271" s="11" t="s">
        <v>53</v>
      </c>
      <c r="G271" s="14" t="s">
        <v>54</v>
      </c>
      <c r="H271" s="11" t="s">
        <v>476</v>
      </c>
      <c r="I271" s="11"/>
      <c r="J271" s="11">
        <v>19.0</v>
      </c>
      <c r="K271" s="13">
        <v>42173.0</v>
      </c>
      <c r="L271" s="11">
        <f t="shared" si="20"/>
        <v>13</v>
      </c>
      <c r="M271" s="11">
        <v>640452.0</v>
      </c>
      <c r="N271" s="11" t="s">
        <v>945</v>
      </c>
      <c r="P271" s="11">
        <v>0.0</v>
      </c>
      <c r="Q271" s="15">
        <v>0.0</v>
      </c>
      <c r="R271" s="22">
        <v>1.0</v>
      </c>
      <c r="S271">
        <f t="shared" si="1"/>
        <v>2014</v>
      </c>
      <c r="T271">
        <f t="shared" si="2"/>
        <v>5</v>
      </c>
      <c r="AF271" s="18"/>
      <c r="AG271" s="19"/>
      <c r="AL271" s="18"/>
      <c r="AM271" s="19"/>
    </row>
    <row r="272">
      <c r="A272" s="4" t="s">
        <v>948</v>
      </c>
      <c r="B272" s="10">
        <v>41781.0</v>
      </c>
      <c r="C272" s="11" t="s">
        <v>90</v>
      </c>
      <c r="D272" s="11" t="s">
        <v>75</v>
      </c>
      <c r="E272" s="14" t="s">
        <v>52</v>
      </c>
      <c r="F272" s="11" t="s">
        <v>76</v>
      </c>
      <c r="G272" s="22" t="s">
        <v>83</v>
      </c>
      <c r="H272" s="14"/>
      <c r="I272" s="14"/>
      <c r="J272" s="11">
        <v>24.0</v>
      </c>
      <c r="K272" s="13"/>
      <c r="L272" s="11"/>
      <c r="M272" s="11">
        <v>517529.0</v>
      </c>
      <c r="N272" s="11" t="s">
        <v>950</v>
      </c>
      <c r="O272" s="4" t="s">
        <v>59</v>
      </c>
      <c r="P272" s="11">
        <v>0.0</v>
      </c>
      <c r="Q272" s="15">
        <v>0.0</v>
      </c>
      <c r="R272" s="22">
        <v>1.0</v>
      </c>
      <c r="S272">
        <f t="shared" si="1"/>
        <v>2014</v>
      </c>
      <c r="T272">
        <f t="shared" si="2"/>
        <v>5</v>
      </c>
      <c r="AF272" s="18"/>
      <c r="AG272" s="19"/>
      <c r="AL272" s="18"/>
      <c r="AM272" s="19"/>
    </row>
    <row r="273">
      <c r="A273" s="4" t="s">
        <v>954</v>
      </c>
      <c r="B273" s="10">
        <v>41779.0</v>
      </c>
      <c r="C273" s="11" t="s">
        <v>119</v>
      </c>
      <c r="D273" s="11" t="s">
        <v>91</v>
      </c>
      <c r="E273" s="14" t="s">
        <v>52</v>
      </c>
      <c r="F273" s="11" t="s">
        <v>76</v>
      </c>
      <c r="G273" s="14" t="s">
        <v>54</v>
      </c>
      <c r="H273" s="11" t="s">
        <v>126</v>
      </c>
      <c r="I273" s="11" t="s">
        <v>956</v>
      </c>
      <c r="J273" s="11">
        <v>25.0</v>
      </c>
      <c r="K273" s="14"/>
      <c r="L273" s="14"/>
      <c r="M273" s="11">
        <v>643383.0</v>
      </c>
      <c r="N273" s="11" t="s">
        <v>958</v>
      </c>
      <c r="P273" s="11">
        <v>0.0</v>
      </c>
      <c r="Q273" s="15">
        <v>0.0</v>
      </c>
      <c r="R273" s="11">
        <v>0.0</v>
      </c>
      <c r="S273">
        <f t="shared" si="1"/>
        <v>2014</v>
      </c>
      <c r="T273">
        <f t="shared" si="2"/>
        <v>5</v>
      </c>
      <c r="AF273" s="18"/>
      <c r="AG273" s="19"/>
      <c r="AL273" s="18"/>
      <c r="AM273" s="19"/>
    </row>
    <row r="274">
      <c r="A274" s="4" t="s">
        <v>961</v>
      </c>
      <c r="B274" s="10">
        <v>41778.0</v>
      </c>
      <c r="C274" s="11" t="s">
        <v>179</v>
      </c>
      <c r="D274" s="11" t="s">
        <v>51</v>
      </c>
      <c r="E274" s="14" t="s">
        <v>52</v>
      </c>
      <c r="F274" s="11" t="s">
        <v>76</v>
      </c>
      <c r="G274" s="22" t="s">
        <v>265</v>
      </c>
      <c r="H274" s="14"/>
      <c r="I274" s="14"/>
      <c r="J274" s="11">
        <v>23.0</v>
      </c>
      <c r="K274" s="13">
        <v>42202.0</v>
      </c>
      <c r="L274" s="11">
        <f t="shared" ref="L274:L278" si="21">ROUND(((K274-B274)/365)*12)</f>
        <v>14</v>
      </c>
      <c r="M274" s="11">
        <v>527048.0</v>
      </c>
      <c r="N274" s="11">
        <v>6902.0</v>
      </c>
      <c r="O274" s="4" t="s">
        <v>177</v>
      </c>
      <c r="P274" s="11">
        <v>47.0</v>
      </c>
      <c r="Q274" s="15">
        <v>277.333</v>
      </c>
      <c r="R274" s="22">
        <v>1.0</v>
      </c>
      <c r="S274">
        <f t="shared" si="1"/>
        <v>2014</v>
      </c>
      <c r="T274">
        <f t="shared" si="2"/>
        <v>5</v>
      </c>
      <c r="AF274" s="18"/>
      <c r="AG274" s="19"/>
      <c r="AL274" s="18"/>
      <c r="AM274" s="19"/>
    </row>
    <row r="275">
      <c r="A275" s="4" t="s">
        <v>967</v>
      </c>
      <c r="B275" s="10">
        <v>41775.0</v>
      </c>
      <c r="C275" s="11" t="s">
        <v>331</v>
      </c>
      <c r="D275" s="11" t="s">
        <v>51</v>
      </c>
      <c r="E275" s="14" t="s">
        <v>52</v>
      </c>
      <c r="F275" s="11" t="s">
        <v>53</v>
      </c>
      <c r="G275" s="14" t="s">
        <v>54</v>
      </c>
      <c r="H275" s="11" t="s">
        <v>260</v>
      </c>
      <c r="I275" s="11"/>
      <c r="J275" s="11">
        <v>21.0</v>
      </c>
      <c r="K275" s="13">
        <v>42187.0</v>
      </c>
      <c r="L275" s="11">
        <f t="shared" si="21"/>
        <v>14</v>
      </c>
      <c r="M275" s="11">
        <v>605228.0</v>
      </c>
      <c r="N275" s="11">
        <v>11530.0</v>
      </c>
      <c r="O275" s="4" t="s">
        <v>188</v>
      </c>
      <c r="P275" s="11">
        <v>40.0</v>
      </c>
      <c r="Q275" s="15">
        <v>247.0</v>
      </c>
      <c r="R275" s="11">
        <v>0.0</v>
      </c>
      <c r="S275">
        <f t="shared" si="1"/>
        <v>2014</v>
      </c>
      <c r="T275">
        <f t="shared" si="2"/>
        <v>5</v>
      </c>
      <c r="AF275" s="18"/>
      <c r="AG275" s="19"/>
      <c r="AL275" s="18"/>
      <c r="AM275" s="19"/>
    </row>
    <row r="276">
      <c r="A276" s="4" t="s">
        <v>970</v>
      </c>
      <c r="B276" s="10">
        <v>41773.0</v>
      </c>
      <c r="C276" s="11" t="s">
        <v>97</v>
      </c>
      <c r="D276" s="11" t="s">
        <v>82</v>
      </c>
      <c r="E276" s="14" t="s">
        <v>52</v>
      </c>
      <c r="F276" s="11" t="s">
        <v>53</v>
      </c>
      <c r="G276" s="22" t="s">
        <v>83</v>
      </c>
      <c r="H276" s="14"/>
      <c r="I276" s="14"/>
      <c r="J276" s="11">
        <v>21.0</v>
      </c>
      <c r="K276" s="13">
        <v>42468.0</v>
      </c>
      <c r="L276" s="11">
        <f t="shared" si="21"/>
        <v>23</v>
      </c>
      <c r="M276" s="11">
        <v>593417.0</v>
      </c>
      <c r="N276" s="11">
        <v>12790.0</v>
      </c>
      <c r="P276" s="11">
        <v>5.0</v>
      </c>
      <c r="Q276" s="15">
        <v>22.333</v>
      </c>
      <c r="R276" s="22">
        <v>1.0</v>
      </c>
      <c r="S276">
        <f t="shared" si="1"/>
        <v>2014</v>
      </c>
      <c r="T276">
        <f t="shared" si="2"/>
        <v>5</v>
      </c>
      <c r="AF276" s="18"/>
      <c r="AG276" s="19"/>
      <c r="AL276" s="18"/>
      <c r="AM276" s="19"/>
    </row>
    <row r="277">
      <c r="A277" s="4" t="s">
        <v>971</v>
      </c>
      <c r="B277" s="10">
        <v>41773.0</v>
      </c>
      <c r="C277" s="11" t="s">
        <v>711</v>
      </c>
      <c r="D277" s="11" t="s">
        <v>151</v>
      </c>
      <c r="E277" s="14" t="s">
        <v>52</v>
      </c>
      <c r="F277" s="11" t="s">
        <v>53</v>
      </c>
      <c r="G277" s="14" t="s">
        <v>54</v>
      </c>
      <c r="H277" s="11" t="s">
        <v>153</v>
      </c>
      <c r="I277" s="11" t="s">
        <v>972</v>
      </c>
      <c r="J277" s="11">
        <v>21.0</v>
      </c>
      <c r="K277" s="13">
        <v>42144.0</v>
      </c>
      <c r="L277" s="11">
        <f t="shared" si="21"/>
        <v>12</v>
      </c>
      <c r="M277" s="11">
        <v>656546.0</v>
      </c>
      <c r="N277" s="11">
        <v>17432.0</v>
      </c>
      <c r="P277" s="11">
        <v>8.0</v>
      </c>
      <c r="Q277" s="15">
        <v>31.333</v>
      </c>
      <c r="R277" s="22">
        <v>1.0</v>
      </c>
      <c r="S277">
        <f t="shared" si="1"/>
        <v>2014</v>
      </c>
      <c r="T277">
        <f t="shared" si="2"/>
        <v>5</v>
      </c>
      <c r="AF277" s="18"/>
      <c r="AG277" s="19"/>
      <c r="AL277" s="18"/>
      <c r="AM277" s="19"/>
    </row>
    <row r="278">
      <c r="A278" s="4" t="s">
        <v>973</v>
      </c>
      <c r="B278" s="10">
        <v>41772.0</v>
      </c>
      <c r="C278" s="11" t="s">
        <v>109</v>
      </c>
      <c r="D278" s="11" t="s">
        <v>91</v>
      </c>
      <c r="E278" s="14" t="s">
        <v>52</v>
      </c>
      <c r="F278" s="11" t="s">
        <v>53</v>
      </c>
      <c r="G278" s="14" t="s">
        <v>54</v>
      </c>
      <c r="H278" s="11" t="s">
        <v>99</v>
      </c>
      <c r="I278" s="11" t="s">
        <v>974</v>
      </c>
      <c r="J278" s="11">
        <v>21.0</v>
      </c>
      <c r="K278" s="13">
        <v>42468.0</v>
      </c>
      <c r="L278" s="11">
        <f t="shared" si="21"/>
        <v>23</v>
      </c>
      <c r="M278" s="11">
        <v>641341.0</v>
      </c>
      <c r="N278" s="11" t="s">
        <v>975</v>
      </c>
      <c r="P278" s="11">
        <v>0.0</v>
      </c>
      <c r="Q278" s="15">
        <v>0.0</v>
      </c>
      <c r="R278" s="22">
        <v>1.0</v>
      </c>
      <c r="S278">
        <f t="shared" si="1"/>
        <v>2014</v>
      </c>
      <c r="T278">
        <f t="shared" si="2"/>
        <v>5</v>
      </c>
      <c r="AF278" s="18"/>
      <c r="AG278" s="19"/>
      <c r="AL278" s="18"/>
      <c r="AM278" s="19"/>
    </row>
    <row r="279">
      <c r="A279" s="4" t="s">
        <v>976</v>
      </c>
      <c r="B279" s="10">
        <v>41767.0</v>
      </c>
      <c r="C279" s="11" t="s">
        <v>74</v>
      </c>
      <c r="D279" s="11" t="s">
        <v>75</v>
      </c>
      <c r="E279" s="14" t="s">
        <v>52</v>
      </c>
      <c r="F279" s="11" t="s">
        <v>76</v>
      </c>
      <c r="G279" s="14" t="s">
        <v>54</v>
      </c>
      <c r="H279" s="11" t="s">
        <v>305</v>
      </c>
      <c r="I279" s="11" t="s">
        <v>977</v>
      </c>
      <c r="J279" s="11">
        <v>26.0</v>
      </c>
      <c r="K279" s="13"/>
      <c r="L279" s="11"/>
      <c r="M279" s="11">
        <v>572095.0</v>
      </c>
      <c r="N279" s="11" t="s">
        <v>978</v>
      </c>
      <c r="P279" s="11">
        <v>0.0</v>
      </c>
      <c r="Q279" s="15">
        <v>0.0</v>
      </c>
      <c r="R279" s="22">
        <v>1.0</v>
      </c>
      <c r="S279">
        <f t="shared" si="1"/>
        <v>2014</v>
      </c>
      <c r="T279">
        <f t="shared" si="2"/>
        <v>5</v>
      </c>
      <c r="AF279" s="18"/>
      <c r="AG279" s="19"/>
      <c r="AL279" s="18"/>
      <c r="AM279" s="19"/>
    </row>
    <row r="280">
      <c r="A280" s="4" t="s">
        <v>979</v>
      </c>
      <c r="B280" s="10">
        <v>41766.0</v>
      </c>
      <c r="C280" s="11" t="s">
        <v>125</v>
      </c>
      <c r="D280" s="11" t="s">
        <v>151</v>
      </c>
      <c r="E280" s="11" t="s">
        <v>52</v>
      </c>
      <c r="F280" s="11" t="s">
        <v>53</v>
      </c>
      <c r="G280" s="11" t="s">
        <v>54</v>
      </c>
      <c r="H280" s="11" t="s">
        <v>92</v>
      </c>
      <c r="I280" s="11" t="s">
        <v>668</v>
      </c>
      <c r="J280" s="11">
        <v>20.0</v>
      </c>
      <c r="K280" s="13">
        <v>42539.0</v>
      </c>
      <c r="L280" s="11"/>
      <c r="M280" s="11">
        <v>621086.0</v>
      </c>
      <c r="N280" s="11" t="s">
        <v>980</v>
      </c>
      <c r="P280" s="11">
        <v>0.0</v>
      </c>
      <c r="Q280" s="15">
        <v>0.0</v>
      </c>
      <c r="R280" s="22">
        <v>1.0</v>
      </c>
      <c r="S280">
        <f t="shared" si="1"/>
        <v>2014</v>
      </c>
      <c r="T280">
        <f t="shared" si="2"/>
        <v>5</v>
      </c>
      <c r="AF280" s="18"/>
      <c r="AG280" s="19"/>
      <c r="AL280" s="18"/>
      <c r="AM280" s="19"/>
    </row>
    <row r="281">
      <c r="A281" s="4" t="s">
        <v>981</v>
      </c>
      <c r="B281" s="10">
        <v>41766.0</v>
      </c>
      <c r="C281" s="11" t="s">
        <v>74</v>
      </c>
      <c r="D281" s="11" t="s">
        <v>210</v>
      </c>
      <c r="E281" s="22" t="s">
        <v>264</v>
      </c>
      <c r="F281" s="11" t="s">
        <v>53</v>
      </c>
      <c r="G281" s="14" t="s">
        <v>54</v>
      </c>
      <c r="H281" s="11" t="s">
        <v>153</v>
      </c>
      <c r="I281" s="11" t="s">
        <v>982</v>
      </c>
      <c r="J281" s="11">
        <v>22.0</v>
      </c>
      <c r="K281" s="13">
        <v>42105.0</v>
      </c>
      <c r="L281" s="11">
        <f t="shared" ref="L281:L283" si="22">ROUND(((K281-B281)/365)*12)</f>
        <v>11</v>
      </c>
      <c r="M281" s="11">
        <v>645798.0</v>
      </c>
      <c r="N281" s="11" t="s">
        <v>983</v>
      </c>
      <c r="P281" s="11">
        <v>0.0</v>
      </c>
      <c r="Q281" s="15">
        <v>0.0</v>
      </c>
      <c r="R281" s="22">
        <v>1.0</v>
      </c>
      <c r="S281">
        <f t="shared" si="1"/>
        <v>2014</v>
      </c>
      <c r="T281">
        <f t="shared" si="2"/>
        <v>5</v>
      </c>
      <c r="AF281" s="18"/>
      <c r="AG281" s="19"/>
      <c r="AL281" s="18"/>
      <c r="AM281" s="19"/>
    </row>
    <row r="282">
      <c r="A282" s="4" t="s">
        <v>984</v>
      </c>
      <c r="B282" s="10">
        <v>41760.0</v>
      </c>
      <c r="C282" s="11" t="s">
        <v>49</v>
      </c>
      <c r="D282" s="11" t="s">
        <v>124</v>
      </c>
      <c r="E282" s="11" t="s">
        <v>52</v>
      </c>
      <c r="F282" s="11" t="s">
        <v>53</v>
      </c>
      <c r="G282" s="11" t="s">
        <v>54</v>
      </c>
      <c r="H282" s="11" t="s">
        <v>112</v>
      </c>
      <c r="I282" s="11" t="s">
        <v>985</v>
      </c>
      <c r="J282" s="11">
        <v>23.0</v>
      </c>
      <c r="K282" s="13">
        <v>42228.0</v>
      </c>
      <c r="L282" s="11">
        <f t="shared" si="22"/>
        <v>15</v>
      </c>
      <c r="M282" s="11">
        <v>641744.0</v>
      </c>
      <c r="N282" s="11" t="s">
        <v>986</v>
      </c>
      <c r="O282" s="4"/>
      <c r="P282" s="11">
        <v>0.0</v>
      </c>
      <c r="Q282" s="15">
        <v>0.0</v>
      </c>
      <c r="R282" s="22">
        <v>1.0</v>
      </c>
      <c r="S282">
        <f t="shared" si="1"/>
        <v>2014</v>
      </c>
      <c r="T282">
        <f t="shared" si="2"/>
        <v>5</v>
      </c>
      <c r="AF282" s="18"/>
      <c r="AG282" s="19"/>
      <c r="AL282" s="18"/>
      <c r="AM282" s="19"/>
    </row>
    <row r="283">
      <c r="A283" s="4" t="s">
        <v>987</v>
      </c>
      <c r="B283" s="10">
        <v>41759.0</v>
      </c>
      <c r="C283" s="11" t="s">
        <v>97</v>
      </c>
      <c r="D283" s="11" t="s">
        <v>51</v>
      </c>
      <c r="E283" s="14" t="s">
        <v>52</v>
      </c>
      <c r="F283" s="11" t="s">
        <v>53</v>
      </c>
      <c r="G283" s="14" t="s">
        <v>54</v>
      </c>
      <c r="H283" s="11" t="s">
        <v>92</v>
      </c>
      <c r="I283" s="11" t="s">
        <v>518</v>
      </c>
      <c r="J283" s="11">
        <v>26.0</v>
      </c>
      <c r="K283" s="13">
        <v>42468.0</v>
      </c>
      <c r="L283" s="11">
        <f t="shared" si="22"/>
        <v>23</v>
      </c>
      <c r="M283" s="11">
        <v>456167.0</v>
      </c>
      <c r="N283" s="11">
        <v>11132.0</v>
      </c>
      <c r="O283" s="4" t="s">
        <v>102</v>
      </c>
      <c r="P283" s="11">
        <v>23.0</v>
      </c>
      <c r="Q283" s="15">
        <v>119.0</v>
      </c>
      <c r="R283" s="22">
        <v>1.0</v>
      </c>
      <c r="S283">
        <f t="shared" si="1"/>
        <v>2014</v>
      </c>
      <c r="T283">
        <f t="shared" si="2"/>
        <v>4</v>
      </c>
      <c r="AF283" s="18"/>
      <c r="AG283" s="19"/>
      <c r="AL283" s="18"/>
      <c r="AM283" s="19"/>
    </row>
    <row r="284">
      <c r="A284" s="4" t="s">
        <v>705</v>
      </c>
      <c r="B284" s="10">
        <v>41759.0</v>
      </c>
      <c r="C284" s="11" t="s">
        <v>179</v>
      </c>
      <c r="D284" s="11" t="s">
        <v>51</v>
      </c>
      <c r="E284" s="14" t="s">
        <v>52</v>
      </c>
      <c r="F284" s="11" t="s">
        <v>76</v>
      </c>
      <c r="G284" s="22" t="s">
        <v>83</v>
      </c>
      <c r="H284" s="14"/>
      <c r="I284" s="14"/>
      <c r="J284" s="11">
        <v>28.0</v>
      </c>
      <c r="K284" s="14"/>
      <c r="L284" s="14"/>
      <c r="M284" s="11">
        <v>471896.0</v>
      </c>
      <c r="N284" s="11">
        <v>6616.0</v>
      </c>
      <c r="O284" s="4" t="s">
        <v>177</v>
      </c>
      <c r="P284" s="11">
        <v>0.0</v>
      </c>
      <c r="Q284" s="15">
        <v>0.0</v>
      </c>
      <c r="R284" s="11">
        <v>0.0</v>
      </c>
      <c r="S284">
        <f t="shared" si="1"/>
        <v>2014</v>
      </c>
      <c r="T284">
        <f t="shared" si="2"/>
        <v>4</v>
      </c>
      <c r="AF284" s="18"/>
      <c r="AG284" s="19"/>
      <c r="AL284" s="18"/>
      <c r="AM284" s="19"/>
    </row>
    <row r="285">
      <c r="A285" s="4" t="s">
        <v>604</v>
      </c>
      <c r="B285" s="10">
        <v>41758.0</v>
      </c>
      <c r="C285" s="11" t="s">
        <v>138</v>
      </c>
      <c r="D285" s="11" t="s">
        <v>51</v>
      </c>
      <c r="E285" s="14" t="s">
        <v>52</v>
      </c>
      <c r="F285" s="11" t="s">
        <v>53</v>
      </c>
      <c r="G285" s="22" t="s">
        <v>83</v>
      </c>
      <c r="H285" s="14"/>
      <c r="I285" s="14"/>
      <c r="J285" s="11">
        <v>27.0</v>
      </c>
      <c r="K285" s="13">
        <v>42179.0</v>
      </c>
      <c r="L285" s="11">
        <f t="shared" ref="L285:L288" si="23">ROUND(((K285-B285)/365)*12)</f>
        <v>14</v>
      </c>
      <c r="M285" s="11">
        <v>467100.0</v>
      </c>
      <c r="N285" s="11">
        <v>1994.0</v>
      </c>
      <c r="O285" s="4" t="s">
        <v>59</v>
      </c>
      <c r="P285" s="11">
        <v>43.0</v>
      </c>
      <c r="Q285" s="15">
        <v>256.0</v>
      </c>
      <c r="R285" s="22">
        <v>1.0</v>
      </c>
      <c r="S285">
        <f t="shared" si="1"/>
        <v>2014</v>
      </c>
      <c r="T285">
        <f t="shared" si="2"/>
        <v>4</v>
      </c>
      <c r="AF285" s="18"/>
      <c r="AG285" s="19"/>
      <c r="AL285" s="18"/>
      <c r="AM285" s="19"/>
    </row>
    <row r="286">
      <c r="A286" s="4" t="s">
        <v>989</v>
      </c>
      <c r="B286" s="10">
        <v>41758.0</v>
      </c>
      <c r="C286" s="11" t="s">
        <v>114</v>
      </c>
      <c r="D286" s="11" t="s">
        <v>75</v>
      </c>
      <c r="E286" s="14" t="s">
        <v>52</v>
      </c>
      <c r="F286" s="11" t="s">
        <v>53</v>
      </c>
      <c r="G286" s="14" t="s">
        <v>54</v>
      </c>
      <c r="H286" s="11" t="s">
        <v>244</v>
      </c>
      <c r="I286" s="11" t="s">
        <v>930</v>
      </c>
      <c r="J286" s="11">
        <v>25.0</v>
      </c>
      <c r="K286" s="13">
        <v>42535.0</v>
      </c>
      <c r="L286" s="11">
        <f t="shared" si="23"/>
        <v>26</v>
      </c>
      <c r="M286" s="11">
        <v>518782.0</v>
      </c>
      <c r="N286" s="11">
        <v>10065.0</v>
      </c>
      <c r="O286" s="4" t="s">
        <v>59</v>
      </c>
      <c r="P286" s="11">
        <v>0.0</v>
      </c>
      <c r="Q286" s="15">
        <v>0.0</v>
      </c>
      <c r="R286" s="22">
        <v>1.0</v>
      </c>
      <c r="S286">
        <f t="shared" si="1"/>
        <v>2014</v>
      </c>
      <c r="T286">
        <f t="shared" si="2"/>
        <v>4</v>
      </c>
      <c r="AF286" s="18"/>
      <c r="AG286" s="19"/>
      <c r="AL286" s="18"/>
      <c r="AM286" s="19"/>
    </row>
    <row r="287">
      <c r="A287" s="4" t="s">
        <v>990</v>
      </c>
      <c r="B287" s="10">
        <v>41758.0</v>
      </c>
      <c r="C287" s="11" t="s">
        <v>270</v>
      </c>
      <c r="D287" s="11" t="s">
        <v>110</v>
      </c>
      <c r="E287" s="22" t="s">
        <v>160</v>
      </c>
      <c r="F287" s="11" t="s">
        <v>53</v>
      </c>
      <c r="G287" s="14" t="s">
        <v>54</v>
      </c>
      <c r="H287" s="11" t="s">
        <v>211</v>
      </c>
      <c r="I287" s="11" t="s">
        <v>991</v>
      </c>
      <c r="J287" s="11">
        <v>23.0</v>
      </c>
      <c r="K287" s="13">
        <v>42103.0</v>
      </c>
      <c r="L287" s="11">
        <f t="shared" si="23"/>
        <v>11</v>
      </c>
      <c r="M287" s="11">
        <v>607776.0</v>
      </c>
      <c r="N287" s="11" t="s">
        <v>992</v>
      </c>
      <c r="O287" s="4" t="s">
        <v>59</v>
      </c>
      <c r="P287" s="11">
        <v>10.0</v>
      </c>
      <c r="Q287" s="15">
        <v>34.0</v>
      </c>
      <c r="R287" s="22">
        <v>1.0</v>
      </c>
      <c r="S287">
        <f t="shared" si="1"/>
        <v>2014</v>
      </c>
      <c r="T287">
        <f t="shared" si="2"/>
        <v>4</v>
      </c>
      <c r="AF287" s="18"/>
      <c r="AG287" s="19"/>
      <c r="AL287" s="18"/>
      <c r="AM287" s="19"/>
    </row>
    <row r="288">
      <c r="A288" s="4" t="s">
        <v>993</v>
      </c>
      <c r="B288" s="10">
        <v>41754.0</v>
      </c>
      <c r="C288" s="11" t="s">
        <v>138</v>
      </c>
      <c r="D288" s="11" t="s">
        <v>124</v>
      </c>
      <c r="E288" s="14" t="s">
        <v>52</v>
      </c>
      <c r="F288" s="11" t="s">
        <v>53</v>
      </c>
      <c r="G288" s="22" t="s">
        <v>265</v>
      </c>
      <c r="H288" s="14"/>
      <c r="I288" s="14"/>
      <c r="J288" s="11">
        <v>21.0</v>
      </c>
      <c r="K288" s="13">
        <v>42188.0</v>
      </c>
      <c r="L288" s="11">
        <f t="shared" si="23"/>
        <v>14</v>
      </c>
      <c r="M288" s="11">
        <v>553883.0</v>
      </c>
      <c r="N288" s="11">
        <v>11681.0</v>
      </c>
      <c r="P288" s="11">
        <v>1.0</v>
      </c>
      <c r="Q288" s="15">
        <v>5.667</v>
      </c>
      <c r="R288" s="22">
        <v>1.0</v>
      </c>
      <c r="S288">
        <f t="shared" si="1"/>
        <v>2014</v>
      </c>
      <c r="T288">
        <f t="shared" si="2"/>
        <v>4</v>
      </c>
      <c r="AF288" s="18"/>
      <c r="AG288" s="19"/>
      <c r="AL288" s="18"/>
      <c r="AM288" s="19"/>
    </row>
    <row r="289">
      <c r="A289" s="4" t="s">
        <v>595</v>
      </c>
      <c r="B289" s="10">
        <v>41753.0</v>
      </c>
      <c r="C289" s="11" t="s">
        <v>49</v>
      </c>
      <c r="D289" s="11" t="s">
        <v>51</v>
      </c>
      <c r="E289" s="14" t="s">
        <v>52</v>
      </c>
      <c r="F289" s="11" t="s">
        <v>53</v>
      </c>
      <c r="G289" s="14" t="s">
        <v>54</v>
      </c>
      <c r="H289" s="11" t="s">
        <v>218</v>
      </c>
      <c r="I289" s="11"/>
      <c r="J289" s="11">
        <v>30.0</v>
      </c>
      <c r="K289" s="14"/>
      <c r="L289" s="14"/>
      <c r="M289" s="11">
        <v>435178.0</v>
      </c>
      <c r="N289" s="11">
        <v>4567.0</v>
      </c>
      <c r="O289" s="4" t="s">
        <v>59</v>
      </c>
      <c r="P289" s="11">
        <v>0.0</v>
      </c>
      <c r="Q289" s="15">
        <v>0.0</v>
      </c>
      <c r="R289" s="22">
        <v>0.0</v>
      </c>
      <c r="S289">
        <f t="shared" si="1"/>
        <v>2014</v>
      </c>
      <c r="T289">
        <f t="shared" si="2"/>
        <v>4</v>
      </c>
      <c r="AF289" s="18"/>
      <c r="AG289" s="19"/>
      <c r="AL289" s="18"/>
      <c r="AM289" s="19"/>
    </row>
    <row r="290">
      <c r="A290" s="4" t="s">
        <v>995</v>
      </c>
      <c r="B290" s="10">
        <v>41753.0</v>
      </c>
      <c r="C290" s="11" t="s">
        <v>239</v>
      </c>
      <c r="D290" s="11" t="s">
        <v>151</v>
      </c>
      <c r="E290" s="14" t="s">
        <v>52</v>
      </c>
      <c r="F290" s="11" t="s">
        <v>76</v>
      </c>
      <c r="G290" s="14" t="s">
        <v>54</v>
      </c>
      <c r="H290" s="11" t="s">
        <v>99</v>
      </c>
      <c r="I290" s="11" t="s">
        <v>363</v>
      </c>
      <c r="J290" s="11">
        <v>21.0</v>
      </c>
      <c r="K290" s="33">
        <v>42539.0</v>
      </c>
      <c r="L290" s="14"/>
      <c r="M290" s="11">
        <v>656971.0</v>
      </c>
      <c r="N290" s="11"/>
      <c r="P290" s="11">
        <v>0.0</v>
      </c>
      <c r="Q290" s="15">
        <v>0.0</v>
      </c>
      <c r="R290" s="22">
        <v>1.0</v>
      </c>
      <c r="S290">
        <f t="shared" si="1"/>
        <v>2014</v>
      </c>
      <c r="T290">
        <f t="shared" si="2"/>
        <v>4</v>
      </c>
      <c r="AF290" s="18"/>
      <c r="AG290" s="19"/>
      <c r="AL290" s="18"/>
      <c r="AM290" s="19"/>
    </row>
    <row r="291">
      <c r="A291" s="4" t="s">
        <v>574</v>
      </c>
      <c r="B291" s="10">
        <v>41751.0</v>
      </c>
      <c r="C291" s="11" t="s">
        <v>130</v>
      </c>
      <c r="D291" s="11" t="s">
        <v>51</v>
      </c>
      <c r="E291" s="14" t="s">
        <v>52</v>
      </c>
      <c r="F291" s="11" t="s">
        <v>76</v>
      </c>
      <c r="G291" s="14" t="s">
        <v>54</v>
      </c>
      <c r="H291" s="11" t="s">
        <v>539</v>
      </c>
      <c r="I291" s="11"/>
      <c r="J291" s="11">
        <v>25.0</v>
      </c>
      <c r="K291" s="13">
        <v>42187.0</v>
      </c>
      <c r="L291" s="11">
        <f t="shared" ref="L291:L292" si="24">ROUND(((K291-B291)/365)*12)</f>
        <v>14</v>
      </c>
      <c r="M291" s="11">
        <v>519043.0</v>
      </c>
      <c r="N291" s="11">
        <v>1890.0</v>
      </c>
      <c r="O291" s="4" t="s">
        <v>59</v>
      </c>
      <c r="P291" s="11">
        <v>45.0</v>
      </c>
      <c r="Q291" s="15">
        <v>261.333</v>
      </c>
      <c r="R291" s="22">
        <v>1.0</v>
      </c>
      <c r="S291">
        <f t="shared" si="1"/>
        <v>2014</v>
      </c>
      <c r="T291">
        <f t="shared" si="2"/>
        <v>4</v>
      </c>
      <c r="AF291" s="18"/>
      <c r="AG291" s="19"/>
      <c r="AL291" s="18"/>
      <c r="AM291" s="19"/>
    </row>
    <row r="292">
      <c r="A292" s="4" t="s">
        <v>996</v>
      </c>
      <c r="B292" s="10">
        <v>41751.0</v>
      </c>
      <c r="C292" s="11" t="s">
        <v>119</v>
      </c>
      <c r="D292" s="11" t="s">
        <v>124</v>
      </c>
      <c r="E292" s="14" t="s">
        <v>52</v>
      </c>
      <c r="F292" s="11" t="s">
        <v>76</v>
      </c>
      <c r="G292" s="22" t="s">
        <v>265</v>
      </c>
      <c r="H292" s="14"/>
      <c r="I292" s="14"/>
      <c r="J292" s="11">
        <v>22.0</v>
      </c>
      <c r="K292" s="13">
        <v>42160.0</v>
      </c>
      <c r="L292" s="11">
        <f t="shared" si="24"/>
        <v>13</v>
      </c>
      <c r="M292" s="11">
        <v>570624.0</v>
      </c>
      <c r="N292" s="11" t="s">
        <v>1002</v>
      </c>
      <c r="P292" s="11">
        <v>0.0</v>
      </c>
      <c r="Q292" s="15">
        <v>0.0</v>
      </c>
      <c r="R292" s="22">
        <v>1.0</v>
      </c>
      <c r="S292">
        <f t="shared" si="1"/>
        <v>2014</v>
      </c>
      <c r="T292">
        <f t="shared" si="2"/>
        <v>4</v>
      </c>
      <c r="AF292" s="18"/>
      <c r="AG292" s="19"/>
      <c r="AL292" s="18"/>
      <c r="AM292" s="19"/>
    </row>
    <row r="293">
      <c r="A293" s="4" t="s">
        <v>1006</v>
      </c>
      <c r="B293" s="10">
        <v>41751.0</v>
      </c>
      <c r="C293" s="11" t="s">
        <v>270</v>
      </c>
      <c r="D293" s="11" t="s">
        <v>151</v>
      </c>
      <c r="E293" s="11" t="s">
        <v>52</v>
      </c>
      <c r="F293" s="11" t="s">
        <v>76</v>
      </c>
      <c r="G293" s="11" t="s">
        <v>54</v>
      </c>
      <c r="H293" s="11" t="s">
        <v>92</v>
      </c>
      <c r="I293" s="11" t="s">
        <v>549</v>
      </c>
      <c r="J293" s="11">
        <v>19.0</v>
      </c>
      <c r="K293" s="13">
        <v>42544.0</v>
      </c>
      <c r="L293" s="11"/>
      <c r="M293" s="11">
        <v>640454.0</v>
      </c>
      <c r="N293" s="11"/>
      <c r="O293" s="4" t="s">
        <v>59</v>
      </c>
      <c r="P293" s="11">
        <v>0.0</v>
      </c>
      <c r="Q293" s="15">
        <v>0.0</v>
      </c>
      <c r="R293" s="22">
        <v>1.0</v>
      </c>
      <c r="S293">
        <f t="shared" si="1"/>
        <v>2014</v>
      </c>
      <c r="T293">
        <f t="shared" si="2"/>
        <v>4</v>
      </c>
      <c r="AF293" s="18"/>
      <c r="AG293" s="19"/>
      <c r="AL293" s="18"/>
      <c r="AM293" s="19"/>
    </row>
    <row r="294">
      <c r="A294" s="4" t="s">
        <v>1010</v>
      </c>
      <c r="B294" s="10">
        <v>41745.0</v>
      </c>
      <c r="C294" s="11" t="s">
        <v>142</v>
      </c>
      <c r="D294" s="11" t="s">
        <v>51</v>
      </c>
      <c r="E294" s="14" t="s">
        <v>52</v>
      </c>
      <c r="F294" s="11" t="s">
        <v>53</v>
      </c>
      <c r="G294" s="14" t="s">
        <v>54</v>
      </c>
      <c r="H294" s="11" t="s">
        <v>204</v>
      </c>
      <c r="I294" s="11" t="s">
        <v>1011</v>
      </c>
      <c r="J294" s="11">
        <v>28.0</v>
      </c>
      <c r="K294" s="13">
        <v>42258.0</v>
      </c>
      <c r="L294" s="11">
        <f t="shared" ref="L294:L295" si="25">ROUND(((K294-B294)/365)*12)</f>
        <v>17</v>
      </c>
      <c r="M294" s="11">
        <v>518715.0</v>
      </c>
      <c r="N294" s="11">
        <v>7947.0</v>
      </c>
      <c r="O294" s="4" t="s">
        <v>287</v>
      </c>
      <c r="P294" s="11">
        <v>63.0</v>
      </c>
      <c r="Q294" s="15">
        <v>52.0</v>
      </c>
      <c r="R294" s="22">
        <v>1.0</v>
      </c>
      <c r="S294">
        <f t="shared" si="1"/>
        <v>2014</v>
      </c>
      <c r="T294">
        <f t="shared" si="2"/>
        <v>4</v>
      </c>
      <c r="AF294" s="18"/>
      <c r="AG294" s="19"/>
      <c r="AL294" s="18"/>
      <c r="AM294" s="19"/>
    </row>
    <row r="295">
      <c r="A295" s="4" t="s">
        <v>1017</v>
      </c>
      <c r="B295" s="10">
        <v>41744.0</v>
      </c>
      <c r="C295" s="11" t="s">
        <v>108</v>
      </c>
      <c r="D295" s="11" t="s">
        <v>75</v>
      </c>
      <c r="E295" s="14" t="s">
        <v>52</v>
      </c>
      <c r="F295" s="11" t="s">
        <v>76</v>
      </c>
      <c r="G295" s="14" t="s">
        <v>54</v>
      </c>
      <c r="H295" s="11" t="s">
        <v>153</v>
      </c>
      <c r="I295" s="11" t="s">
        <v>211</v>
      </c>
      <c r="J295" s="11">
        <v>25.0</v>
      </c>
      <c r="K295" s="13">
        <v>42594.0</v>
      </c>
      <c r="L295" s="11">
        <f t="shared" si="25"/>
        <v>28</v>
      </c>
      <c r="M295" s="11">
        <v>572383.0</v>
      </c>
      <c r="N295" s="11" t="s">
        <v>1021</v>
      </c>
      <c r="P295" s="11">
        <v>0.0</v>
      </c>
      <c r="Q295" s="15">
        <v>0.0</v>
      </c>
      <c r="R295" s="22">
        <v>1.0</v>
      </c>
      <c r="S295">
        <f t="shared" si="1"/>
        <v>2014</v>
      </c>
      <c r="T295">
        <f t="shared" si="2"/>
        <v>4</v>
      </c>
      <c r="AF295" s="18"/>
      <c r="AG295" s="19"/>
      <c r="AL295" s="18"/>
      <c r="AM295" s="19"/>
    </row>
    <row r="296">
      <c r="A296" s="4" t="s">
        <v>1028</v>
      </c>
      <c r="B296" s="10">
        <v>41740.0</v>
      </c>
      <c r="C296" s="11" t="s">
        <v>114</v>
      </c>
      <c r="D296" s="11" t="s">
        <v>170</v>
      </c>
      <c r="E296" s="11" t="s">
        <v>52</v>
      </c>
      <c r="F296" s="11" t="s">
        <v>53</v>
      </c>
      <c r="G296" s="11" t="s">
        <v>54</v>
      </c>
      <c r="H296" s="11" t="s">
        <v>218</v>
      </c>
      <c r="I296" s="11" t="s">
        <v>230</v>
      </c>
      <c r="J296" s="11">
        <v>19.0</v>
      </c>
      <c r="K296" s="13"/>
      <c r="L296" s="11"/>
      <c r="M296" s="11">
        <v>657096.0</v>
      </c>
      <c r="N296" s="11"/>
      <c r="P296" s="11">
        <v>0.0</v>
      </c>
      <c r="Q296" s="15">
        <v>0.0</v>
      </c>
      <c r="R296" s="22">
        <v>1.0</v>
      </c>
      <c r="S296">
        <f t="shared" si="1"/>
        <v>2014</v>
      </c>
      <c r="T296">
        <f t="shared" si="2"/>
        <v>4</v>
      </c>
      <c r="AF296" s="18"/>
      <c r="AG296" s="19"/>
      <c r="AL296" s="18"/>
      <c r="AM296" s="19"/>
    </row>
    <row r="297">
      <c r="A297" s="4" t="s">
        <v>1036</v>
      </c>
      <c r="B297" s="10">
        <v>41739.0</v>
      </c>
      <c r="C297" s="11" t="s">
        <v>179</v>
      </c>
      <c r="D297" s="11" t="s">
        <v>151</v>
      </c>
      <c r="E297" s="14" t="s">
        <v>52</v>
      </c>
      <c r="F297" s="11" t="s">
        <v>76</v>
      </c>
      <c r="G297" s="14" t="s">
        <v>54</v>
      </c>
      <c r="H297" s="11" t="s">
        <v>344</v>
      </c>
      <c r="I297" s="11" t="s">
        <v>250</v>
      </c>
      <c r="J297" s="11">
        <v>20.0</v>
      </c>
      <c r="K297" s="13">
        <v>42177.0</v>
      </c>
      <c r="L297" s="11">
        <f t="shared" ref="L297:L299" si="26">ROUND(((K297-B297)/365)*12)</f>
        <v>14</v>
      </c>
      <c r="M297" s="11">
        <v>605138.0</v>
      </c>
      <c r="N297" s="11" t="s">
        <v>1044</v>
      </c>
      <c r="P297" s="11">
        <v>0.0</v>
      </c>
      <c r="Q297" s="15">
        <v>0.0</v>
      </c>
      <c r="R297" s="22">
        <v>1.0</v>
      </c>
      <c r="S297">
        <f t="shared" si="1"/>
        <v>2014</v>
      </c>
      <c r="T297">
        <f t="shared" si="2"/>
        <v>4</v>
      </c>
      <c r="AF297" s="18"/>
      <c r="AG297" s="19"/>
      <c r="AL297" s="18"/>
      <c r="AM297" s="19"/>
    </row>
    <row r="298">
      <c r="A298" s="4" t="s">
        <v>1051</v>
      </c>
      <c r="B298" s="10">
        <v>41738.0</v>
      </c>
      <c r="C298" s="11" t="s">
        <v>125</v>
      </c>
      <c r="D298" s="11" t="s">
        <v>75</v>
      </c>
      <c r="E298" s="14" t="s">
        <v>52</v>
      </c>
      <c r="F298" s="11" t="s">
        <v>53</v>
      </c>
      <c r="G298" s="14" t="s">
        <v>54</v>
      </c>
      <c r="H298" s="11" t="s">
        <v>157</v>
      </c>
      <c r="I298" s="11"/>
      <c r="J298" s="11">
        <v>22.0</v>
      </c>
      <c r="K298" s="13">
        <v>42473.0</v>
      </c>
      <c r="L298" s="11">
        <f t="shared" si="26"/>
        <v>24</v>
      </c>
      <c r="M298" s="11">
        <v>592791.0</v>
      </c>
      <c r="N298" s="11">
        <v>11674.0</v>
      </c>
      <c r="O298" s="4" t="s">
        <v>287</v>
      </c>
      <c r="P298" s="11">
        <v>18.0</v>
      </c>
      <c r="Q298" s="15">
        <v>104.0</v>
      </c>
      <c r="R298" s="22">
        <v>1.0</v>
      </c>
      <c r="S298">
        <f t="shared" si="1"/>
        <v>2014</v>
      </c>
      <c r="T298">
        <f t="shared" si="2"/>
        <v>4</v>
      </c>
      <c r="AF298" s="18"/>
      <c r="AG298" s="19"/>
      <c r="AL298" s="18"/>
      <c r="AM298" s="19"/>
    </row>
    <row r="299">
      <c r="A299" s="4" t="s">
        <v>1058</v>
      </c>
      <c r="B299" s="10">
        <v>41737.0</v>
      </c>
      <c r="C299" s="11" t="s">
        <v>109</v>
      </c>
      <c r="D299" s="11" t="s">
        <v>51</v>
      </c>
      <c r="E299" s="14" t="s">
        <v>52</v>
      </c>
      <c r="F299" s="11" t="s">
        <v>53</v>
      </c>
      <c r="G299" s="14" t="s">
        <v>54</v>
      </c>
      <c r="H299" s="11" t="s">
        <v>211</v>
      </c>
      <c r="I299" s="11" t="s">
        <v>1059</v>
      </c>
      <c r="J299" s="11">
        <v>29.0</v>
      </c>
      <c r="K299" s="13">
        <v>42168.0</v>
      </c>
      <c r="L299" s="11">
        <f t="shared" si="26"/>
        <v>14</v>
      </c>
      <c r="M299" s="11">
        <v>458730.0</v>
      </c>
      <c r="N299" s="11">
        <v>9926.0</v>
      </c>
      <c r="O299" s="4" t="s">
        <v>287</v>
      </c>
      <c r="P299" s="11">
        <v>36.0</v>
      </c>
      <c r="Q299" s="15">
        <v>29.333</v>
      </c>
      <c r="R299" s="22">
        <v>1.0</v>
      </c>
      <c r="S299">
        <f t="shared" si="1"/>
        <v>2014</v>
      </c>
      <c r="T299">
        <f t="shared" si="2"/>
        <v>4</v>
      </c>
      <c r="AF299" s="18"/>
      <c r="AG299" s="19"/>
      <c r="AL299" s="18"/>
      <c r="AM299" s="19"/>
    </row>
    <row r="300">
      <c r="A300" s="4" t="s">
        <v>1061</v>
      </c>
      <c r="B300" s="10">
        <v>41731.0</v>
      </c>
      <c r="C300" s="11" t="s">
        <v>74</v>
      </c>
      <c r="D300" s="11" t="s">
        <v>51</v>
      </c>
      <c r="E300" s="14" t="s">
        <v>52</v>
      </c>
      <c r="F300" s="11" t="s">
        <v>53</v>
      </c>
      <c r="G300" s="14" t="s">
        <v>54</v>
      </c>
      <c r="H300" s="11" t="s">
        <v>92</v>
      </c>
      <c r="I300" s="11" t="s">
        <v>1063</v>
      </c>
      <c r="J300" s="11">
        <v>27.0</v>
      </c>
      <c r="K300" s="14"/>
      <c r="L300" s="14"/>
      <c r="M300" s="11">
        <v>458530.0</v>
      </c>
      <c r="N300" s="11">
        <v>8422.0</v>
      </c>
      <c r="O300" s="4" t="s">
        <v>188</v>
      </c>
      <c r="P300" s="11">
        <v>0.0</v>
      </c>
      <c r="Q300" s="15">
        <v>0.0</v>
      </c>
      <c r="R300" s="22">
        <v>1.0</v>
      </c>
      <c r="S300">
        <f t="shared" si="1"/>
        <v>2014</v>
      </c>
      <c r="T300">
        <f t="shared" si="2"/>
        <v>4</v>
      </c>
      <c r="AF300" s="18"/>
      <c r="AG300" s="19"/>
      <c r="AL300" s="18"/>
      <c r="AM300" s="19"/>
    </row>
    <row r="301">
      <c r="A301" s="4" t="s">
        <v>1068</v>
      </c>
      <c r="B301" s="10">
        <v>41731.0</v>
      </c>
      <c r="C301" s="11" t="s">
        <v>81</v>
      </c>
      <c r="D301" s="11" t="s">
        <v>82</v>
      </c>
      <c r="E301" s="14" t="s">
        <v>52</v>
      </c>
      <c r="F301" s="11" t="s">
        <v>53</v>
      </c>
      <c r="G301" s="14" t="s">
        <v>54</v>
      </c>
      <c r="H301" s="11" t="s">
        <v>157</v>
      </c>
      <c r="I301" s="11" t="s">
        <v>724</v>
      </c>
      <c r="J301" s="11">
        <v>24.0</v>
      </c>
      <c r="K301" s="13">
        <v>42174.0</v>
      </c>
      <c r="L301" s="11">
        <f t="shared" ref="L301:L303" si="27">ROUND(((K301-B301)/365)*12)</f>
        <v>15</v>
      </c>
      <c r="M301" s="11">
        <v>548389.0</v>
      </c>
      <c r="N301" s="11">
        <v>13273.0</v>
      </c>
      <c r="O301" s="4" t="s">
        <v>188</v>
      </c>
      <c r="P301" s="11">
        <v>22.0</v>
      </c>
      <c r="Q301" s="15">
        <v>100.0</v>
      </c>
      <c r="R301" s="22">
        <v>1.0</v>
      </c>
      <c r="S301">
        <f t="shared" si="1"/>
        <v>2014</v>
      </c>
      <c r="T301">
        <f t="shared" si="2"/>
        <v>4</v>
      </c>
      <c r="AF301" s="18"/>
      <c r="AG301" s="19"/>
      <c r="AL301" s="18"/>
      <c r="AM301" s="19"/>
    </row>
    <row r="302">
      <c r="A302" s="4" t="s">
        <v>1083</v>
      </c>
      <c r="B302" s="10">
        <v>41730.0</v>
      </c>
      <c r="C302" s="11" t="s">
        <v>96</v>
      </c>
      <c r="D302" s="11" t="s">
        <v>51</v>
      </c>
      <c r="E302" s="14" t="s">
        <v>52</v>
      </c>
      <c r="F302" s="11" t="s">
        <v>53</v>
      </c>
      <c r="G302" s="14" t="s">
        <v>54</v>
      </c>
      <c r="H302" s="11" t="s">
        <v>92</v>
      </c>
      <c r="I302" s="11" t="s">
        <v>1084</v>
      </c>
      <c r="J302" s="11">
        <v>29.0</v>
      </c>
      <c r="K302" s="13">
        <v>42162.0</v>
      </c>
      <c r="L302" s="11">
        <f t="shared" si="27"/>
        <v>14</v>
      </c>
      <c r="M302" s="11">
        <v>456696.0</v>
      </c>
      <c r="N302" s="11">
        <v>4259.0</v>
      </c>
      <c r="O302" s="4" t="s">
        <v>59</v>
      </c>
      <c r="P302" s="11">
        <v>110.0</v>
      </c>
      <c r="Q302" s="15">
        <v>106.333</v>
      </c>
      <c r="R302" s="22">
        <v>1.0</v>
      </c>
      <c r="S302">
        <f t="shared" si="1"/>
        <v>2014</v>
      </c>
      <c r="T302">
        <f t="shared" si="2"/>
        <v>4</v>
      </c>
      <c r="AF302" s="18"/>
      <c r="AG302" s="19"/>
      <c r="AL302" s="18"/>
      <c r="AM302" s="19"/>
    </row>
    <row r="303">
      <c r="A303" s="4" t="s">
        <v>707</v>
      </c>
      <c r="B303" s="10">
        <v>41730.0</v>
      </c>
      <c r="C303" s="11" t="s">
        <v>81</v>
      </c>
      <c r="D303" s="11" t="s">
        <v>51</v>
      </c>
      <c r="E303" s="14" t="s">
        <v>52</v>
      </c>
      <c r="F303" s="11" t="s">
        <v>53</v>
      </c>
      <c r="G303" s="22" t="s">
        <v>672</v>
      </c>
      <c r="H303" s="14"/>
      <c r="I303" s="14"/>
      <c r="J303" s="11">
        <v>35.0</v>
      </c>
      <c r="K303" s="13">
        <v>42232.0</v>
      </c>
      <c r="L303" s="11">
        <f t="shared" si="27"/>
        <v>17</v>
      </c>
      <c r="M303" s="11">
        <v>493247.0</v>
      </c>
      <c r="N303" s="11">
        <v>4891.0</v>
      </c>
      <c r="O303" s="4" t="s">
        <v>59</v>
      </c>
      <c r="P303" s="11">
        <v>72.0</v>
      </c>
      <c r="Q303" s="15">
        <v>55.0</v>
      </c>
      <c r="R303" s="22">
        <v>1.0</v>
      </c>
      <c r="S303">
        <f t="shared" si="1"/>
        <v>2014</v>
      </c>
      <c r="T303">
        <f t="shared" si="2"/>
        <v>4</v>
      </c>
      <c r="AF303" s="18"/>
      <c r="AG303" s="19"/>
      <c r="AL303" s="18"/>
      <c r="AM303" s="19"/>
    </row>
    <row r="304">
      <c r="A304" s="4" t="s">
        <v>1085</v>
      </c>
      <c r="B304" s="10">
        <v>41730.0</v>
      </c>
      <c r="C304" s="11" t="s">
        <v>133</v>
      </c>
      <c r="D304" s="11" t="s">
        <v>151</v>
      </c>
      <c r="E304" s="11" t="s">
        <v>52</v>
      </c>
      <c r="F304" s="11" t="s">
        <v>76</v>
      </c>
      <c r="G304" s="11" t="s">
        <v>54</v>
      </c>
      <c r="H304" s="11" t="s">
        <v>305</v>
      </c>
      <c r="I304" s="11" t="s">
        <v>322</v>
      </c>
      <c r="J304" s="11">
        <v>21.0</v>
      </c>
      <c r="K304" s="33">
        <v>42595.0</v>
      </c>
      <c r="L304" s="11"/>
      <c r="M304" s="11">
        <v>606996.0</v>
      </c>
      <c r="N304" s="11" t="s">
        <v>1086</v>
      </c>
      <c r="O304" s="4"/>
      <c r="P304" s="11">
        <v>0.0</v>
      </c>
      <c r="Q304" s="15">
        <v>0.0</v>
      </c>
      <c r="R304" s="22">
        <v>1.0</v>
      </c>
      <c r="S304">
        <f t="shared" si="1"/>
        <v>2014</v>
      </c>
      <c r="T304">
        <f t="shared" si="2"/>
        <v>4</v>
      </c>
      <c r="AF304" s="18"/>
      <c r="AG304" s="19"/>
      <c r="AL304" s="18"/>
      <c r="AM304" s="19"/>
    </row>
    <row r="305">
      <c r="A305" s="4" t="s">
        <v>405</v>
      </c>
      <c r="B305" s="10">
        <v>41730.0</v>
      </c>
      <c r="C305" s="11" t="s">
        <v>331</v>
      </c>
      <c r="D305" s="11" t="s">
        <v>124</v>
      </c>
      <c r="E305" s="11" t="s">
        <v>52</v>
      </c>
      <c r="F305" s="11" t="s">
        <v>53</v>
      </c>
      <c r="G305" s="11" t="s">
        <v>54</v>
      </c>
      <c r="H305" s="11" t="s">
        <v>218</v>
      </c>
      <c r="I305" s="11"/>
      <c r="J305" s="11">
        <v>22.0</v>
      </c>
      <c r="K305" s="14"/>
      <c r="L305" s="14"/>
      <c r="M305" s="11">
        <v>605285.0</v>
      </c>
      <c r="N305" s="11" t="s">
        <v>406</v>
      </c>
      <c r="O305" s="4"/>
      <c r="P305" s="11">
        <v>0.0</v>
      </c>
      <c r="Q305" s="15">
        <v>0.0</v>
      </c>
      <c r="R305" s="22">
        <v>0.0</v>
      </c>
      <c r="S305">
        <f t="shared" si="1"/>
        <v>2014</v>
      </c>
      <c r="T305">
        <f t="shared" si="2"/>
        <v>4</v>
      </c>
      <c r="AF305" s="18"/>
      <c r="AG305" s="19"/>
      <c r="AL305" s="18"/>
      <c r="AM305" s="19"/>
    </row>
    <row r="306">
      <c r="A306" s="4" t="s">
        <v>1088</v>
      </c>
      <c r="B306" s="10">
        <v>41730.0</v>
      </c>
      <c r="C306" s="11" t="s">
        <v>123</v>
      </c>
      <c r="D306" s="11" t="s">
        <v>82</v>
      </c>
      <c r="E306" s="14" t="s">
        <v>52</v>
      </c>
      <c r="F306" s="11" t="s">
        <v>76</v>
      </c>
      <c r="G306" s="14" t="s">
        <v>54</v>
      </c>
      <c r="H306" s="11" t="s">
        <v>449</v>
      </c>
      <c r="I306" s="11" t="s">
        <v>477</v>
      </c>
      <c r="J306" s="11">
        <v>23.0</v>
      </c>
      <c r="K306" s="13">
        <v>42231.0</v>
      </c>
      <c r="L306" s="11">
        <f>ROUND(((K306-B306)/365)*12)</f>
        <v>16</v>
      </c>
      <c r="M306" s="11">
        <v>605534.0</v>
      </c>
      <c r="N306" s="11" t="s">
        <v>1090</v>
      </c>
      <c r="P306" s="11">
        <v>0.0</v>
      </c>
      <c r="Q306" s="15">
        <v>0.0</v>
      </c>
      <c r="R306" s="22">
        <v>1.0</v>
      </c>
      <c r="S306">
        <f t="shared" si="1"/>
        <v>2014</v>
      </c>
      <c r="T306">
        <f t="shared" si="2"/>
        <v>4</v>
      </c>
      <c r="AF306" s="18"/>
      <c r="AG306" s="19"/>
      <c r="AL306" s="18"/>
      <c r="AM306" s="19"/>
    </row>
    <row r="307">
      <c r="A307" s="4" t="s">
        <v>1091</v>
      </c>
      <c r="B307" s="10">
        <v>41730.0</v>
      </c>
      <c r="C307" s="11" t="s">
        <v>270</v>
      </c>
      <c r="D307" s="11" t="s">
        <v>151</v>
      </c>
      <c r="E307" s="11" t="s">
        <v>52</v>
      </c>
      <c r="F307" s="11" t="s">
        <v>53</v>
      </c>
      <c r="G307" s="11" t="s">
        <v>54</v>
      </c>
      <c r="H307" s="11" t="s">
        <v>204</v>
      </c>
      <c r="I307" s="11" t="s">
        <v>1092</v>
      </c>
      <c r="J307" s="11">
        <v>21.0</v>
      </c>
      <c r="K307" s="33">
        <v>42540.0</v>
      </c>
      <c r="L307" s="14"/>
      <c r="M307" s="11">
        <v>629976.0</v>
      </c>
      <c r="N307" s="11" t="s">
        <v>1093</v>
      </c>
      <c r="P307" s="11">
        <v>0.0</v>
      </c>
      <c r="Q307" s="15">
        <v>0.0</v>
      </c>
      <c r="R307" s="22">
        <v>1.0</v>
      </c>
      <c r="S307">
        <f t="shared" si="1"/>
        <v>2014</v>
      </c>
      <c r="T307">
        <f t="shared" si="2"/>
        <v>4</v>
      </c>
      <c r="AF307" s="18"/>
      <c r="AG307" s="19"/>
      <c r="AL307" s="18"/>
      <c r="AM307" s="19"/>
    </row>
    <row r="308">
      <c r="A308" s="4" t="s">
        <v>1098</v>
      </c>
      <c r="B308" s="10">
        <v>41730.0</v>
      </c>
      <c r="C308" s="11" t="s">
        <v>179</v>
      </c>
      <c r="D308" s="11" t="s">
        <v>110</v>
      </c>
      <c r="E308" s="14" t="s">
        <v>52</v>
      </c>
      <c r="F308" s="11" t="s">
        <v>53</v>
      </c>
      <c r="G308" s="14" t="s">
        <v>54</v>
      </c>
      <c r="H308" s="11" t="s">
        <v>211</v>
      </c>
      <c r="I308" s="11"/>
      <c r="J308" s="11">
        <v>23.0</v>
      </c>
      <c r="K308" s="14"/>
      <c r="L308" s="14"/>
      <c r="M308" s="11">
        <v>571931.0</v>
      </c>
      <c r="N308" s="11" t="s">
        <v>1101</v>
      </c>
      <c r="P308" s="11">
        <v>0.0</v>
      </c>
      <c r="Q308" s="15">
        <v>0.0</v>
      </c>
      <c r="R308" s="11">
        <v>0.0</v>
      </c>
      <c r="S308">
        <f t="shared" si="1"/>
        <v>2014</v>
      </c>
      <c r="T308">
        <f t="shared" si="2"/>
        <v>4</v>
      </c>
      <c r="AF308" s="18"/>
      <c r="AG308" s="19"/>
      <c r="AL308" s="18"/>
      <c r="AM308" s="19"/>
    </row>
    <row r="309">
      <c r="A309" s="4" t="s">
        <v>1102</v>
      </c>
      <c r="B309" s="10">
        <v>41729.0</v>
      </c>
      <c r="C309" s="11" t="s">
        <v>156</v>
      </c>
      <c r="D309" s="11" t="s">
        <v>151</v>
      </c>
      <c r="E309" s="11" t="s">
        <v>52</v>
      </c>
      <c r="F309" s="11" t="s">
        <v>53</v>
      </c>
      <c r="G309" s="11" t="s">
        <v>54</v>
      </c>
      <c r="H309" s="11" t="s">
        <v>250</v>
      </c>
      <c r="I309" s="11" t="s">
        <v>1104</v>
      </c>
      <c r="J309" s="11">
        <v>21.0</v>
      </c>
      <c r="K309" s="33">
        <v>42548.0</v>
      </c>
      <c r="L309" s="11"/>
      <c r="M309" s="11">
        <v>670322.0</v>
      </c>
      <c r="N309" s="11" t="s">
        <v>1105</v>
      </c>
      <c r="O309" s="4"/>
      <c r="P309" s="11">
        <v>0.0</v>
      </c>
      <c r="Q309" s="15">
        <v>0.0</v>
      </c>
      <c r="R309" s="22">
        <v>1.0</v>
      </c>
      <c r="S309">
        <f t="shared" si="1"/>
        <v>2014</v>
      </c>
      <c r="T309">
        <f t="shared" si="2"/>
        <v>3</v>
      </c>
      <c r="AF309" s="18"/>
      <c r="AG309" s="19"/>
      <c r="AL309" s="18"/>
      <c r="AM309" s="19"/>
    </row>
    <row r="310">
      <c r="A310" s="4" t="s">
        <v>1106</v>
      </c>
      <c r="B310" s="10">
        <v>41727.0</v>
      </c>
      <c r="C310" s="11" t="s">
        <v>159</v>
      </c>
      <c r="D310" s="11" t="s">
        <v>51</v>
      </c>
      <c r="E310" s="14" t="s">
        <v>52</v>
      </c>
      <c r="F310" s="11" t="s">
        <v>53</v>
      </c>
      <c r="G310" s="22" t="s">
        <v>265</v>
      </c>
      <c r="H310" s="14"/>
      <c r="I310" s="14"/>
      <c r="J310" s="11">
        <v>23.0</v>
      </c>
      <c r="K310" s="13">
        <v>42180.0</v>
      </c>
      <c r="L310" s="11">
        <f t="shared" ref="L310:L312" si="28">ROUND(((K310-B310)/365)*12)</f>
        <v>15</v>
      </c>
      <c r="M310" s="11">
        <v>541652.0</v>
      </c>
      <c r="N310" s="11">
        <v>5766.0</v>
      </c>
      <c r="O310" s="4" t="s">
        <v>59</v>
      </c>
      <c r="P310" s="11">
        <v>72.0</v>
      </c>
      <c r="Q310" s="15">
        <v>67.333</v>
      </c>
      <c r="R310" s="22">
        <v>1.0</v>
      </c>
      <c r="S310">
        <f t="shared" si="1"/>
        <v>2014</v>
      </c>
      <c r="T310">
        <f t="shared" si="2"/>
        <v>3</v>
      </c>
      <c r="AF310" s="18"/>
      <c r="AG310" s="19"/>
      <c r="AL310" s="18"/>
      <c r="AM310" s="19"/>
    </row>
    <row r="311">
      <c r="A311" s="4" t="s">
        <v>1107</v>
      </c>
      <c r="B311" s="10">
        <v>41724.0</v>
      </c>
      <c r="C311" s="11" t="s">
        <v>179</v>
      </c>
      <c r="D311" s="11" t="s">
        <v>124</v>
      </c>
      <c r="E311" s="14" t="s">
        <v>52</v>
      </c>
      <c r="F311" s="11" t="s">
        <v>53</v>
      </c>
      <c r="G311" s="14" t="s">
        <v>54</v>
      </c>
      <c r="H311" s="11" t="s">
        <v>344</v>
      </c>
      <c r="I311" s="11" t="s">
        <v>1108</v>
      </c>
      <c r="J311" s="11">
        <v>22.0</v>
      </c>
      <c r="K311" s="13">
        <v>42143.0</v>
      </c>
      <c r="L311" s="11">
        <f t="shared" si="28"/>
        <v>14</v>
      </c>
      <c r="M311" s="11">
        <v>592712.0</v>
      </c>
      <c r="N311" s="11" t="s">
        <v>1109</v>
      </c>
      <c r="P311" s="11">
        <v>0.0</v>
      </c>
      <c r="Q311" s="15">
        <v>0.0</v>
      </c>
      <c r="R311" s="22">
        <v>1.0</v>
      </c>
      <c r="S311">
        <f t="shared" si="1"/>
        <v>2014</v>
      </c>
      <c r="T311">
        <f t="shared" si="2"/>
        <v>3</v>
      </c>
      <c r="AF311" s="18"/>
      <c r="AG311" s="19"/>
      <c r="AL311" s="18"/>
      <c r="AM311" s="19"/>
    </row>
    <row r="312">
      <c r="A312" s="4" t="s">
        <v>1110</v>
      </c>
      <c r="B312" s="10">
        <v>41723.0</v>
      </c>
      <c r="C312" s="11" t="s">
        <v>96</v>
      </c>
      <c r="D312" s="11" t="s">
        <v>51</v>
      </c>
      <c r="E312" s="14" t="s">
        <v>52</v>
      </c>
      <c r="F312" s="11" t="s">
        <v>76</v>
      </c>
      <c r="G312" s="14" t="s">
        <v>54</v>
      </c>
      <c r="H312" s="11" t="s">
        <v>153</v>
      </c>
      <c r="I312" s="11" t="s">
        <v>1111</v>
      </c>
      <c r="J312" s="11">
        <v>24.0</v>
      </c>
      <c r="K312" s="13">
        <v>42189.0</v>
      </c>
      <c r="L312" s="11">
        <f t="shared" si="28"/>
        <v>15</v>
      </c>
      <c r="M312" s="11">
        <v>571578.0</v>
      </c>
      <c r="N312" s="11">
        <v>9323.0</v>
      </c>
      <c r="O312" s="4" t="s">
        <v>59</v>
      </c>
      <c r="P312" s="11">
        <v>52.0</v>
      </c>
      <c r="Q312" s="15">
        <v>240.667</v>
      </c>
      <c r="R312" s="22">
        <v>1.0</v>
      </c>
      <c r="S312">
        <f t="shared" si="1"/>
        <v>2014</v>
      </c>
      <c r="T312">
        <f t="shared" si="2"/>
        <v>3</v>
      </c>
      <c r="AF312" s="18"/>
      <c r="AG312" s="19"/>
      <c r="AL312" s="18"/>
      <c r="AM312" s="19"/>
    </row>
    <row r="313">
      <c r="A313" s="4" t="s">
        <v>460</v>
      </c>
      <c r="B313" s="10">
        <v>41722.0</v>
      </c>
      <c r="C313" s="11" t="s">
        <v>97</v>
      </c>
      <c r="D313" s="11" t="s">
        <v>51</v>
      </c>
      <c r="E313" s="14" t="s">
        <v>52</v>
      </c>
      <c r="F313" s="11" t="s">
        <v>53</v>
      </c>
      <c r="G313" s="14" t="s">
        <v>54</v>
      </c>
      <c r="H313" s="11" t="s">
        <v>322</v>
      </c>
      <c r="I313" s="11"/>
      <c r="J313" s="11">
        <v>25.0</v>
      </c>
      <c r="K313" s="14"/>
      <c r="L313" s="14"/>
      <c r="M313" s="11">
        <v>519105.0</v>
      </c>
      <c r="N313" s="11">
        <v>4913.0</v>
      </c>
      <c r="O313" s="4" t="s">
        <v>59</v>
      </c>
      <c r="P313" s="11">
        <v>0.0</v>
      </c>
      <c r="Q313" s="15">
        <v>0.0</v>
      </c>
      <c r="R313" s="22">
        <v>1.0</v>
      </c>
      <c r="S313">
        <f t="shared" si="1"/>
        <v>2014</v>
      </c>
      <c r="T313">
        <f t="shared" si="2"/>
        <v>3</v>
      </c>
      <c r="AF313" s="18"/>
      <c r="AG313" s="19"/>
      <c r="AL313" s="18"/>
      <c r="AM313" s="19"/>
    </row>
    <row r="314">
      <c r="A314" s="4" t="s">
        <v>212</v>
      </c>
      <c r="B314" s="10">
        <v>41719.0</v>
      </c>
      <c r="C314" s="11" t="s">
        <v>142</v>
      </c>
      <c r="D314" s="11" t="s">
        <v>51</v>
      </c>
      <c r="E314" s="14" t="s">
        <v>52</v>
      </c>
      <c r="F314" s="11" t="s">
        <v>53</v>
      </c>
      <c r="G314" s="14" t="s">
        <v>54</v>
      </c>
      <c r="H314" s="11" t="s">
        <v>322</v>
      </c>
      <c r="I314" s="11" t="s">
        <v>778</v>
      </c>
      <c r="J314" s="11">
        <v>27.0</v>
      </c>
      <c r="K314" s="13">
        <v>42196.0</v>
      </c>
      <c r="L314" s="11">
        <f t="shared" ref="L314:L315" si="29">ROUND(((K314-B314)/365)*12)</f>
        <v>16</v>
      </c>
      <c r="M314" s="11">
        <v>545404.0</v>
      </c>
      <c r="N314" s="11">
        <v>8851.0</v>
      </c>
      <c r="O314" s="4" t="s">
        <v>188</v>
      </c>
      <c r="P314" s="11">
        <v>2.0</v>
      </c>
      <c r="Q314" s="15">
        <v>8.0</v>
      </c>
      <c r="R314" s="22">
        <v>1.0</v>
      </c>
      <c r="S314">
        <f t="shared" si="1"/>
        <v>2014</v>
      </c>
      <c r="T314">
        <f t="shared" si="2"/>
        <v>3</v>
      </c>
      <c r="AF314" s="18"/>
      <c r="AG314" s="19"/>
      <c r="AL314" s="18"/>
      <c r="AM314" s="19"/>
    </row>
    <row r="315">
      <c r="A315" s="4" t="s">
        <v>1113</v>
      </c>
      <c r="B315" s="10">
        <v>41717.0</v>
      </c>
      <c r="C315" s="11" t="s">
        <v>125</v>
      </c>
      <c r="D315" s="11" t="s">
        <v>124</v>
      </c>
      <c r="E315" s="14" t="s">
        <v>52</v>
      </c>
      <c r="F315" s="11" t="s">
        <v>53</v>
      </c>
      <c r="G315" s="14" t="s">
        <v>54</v>
      </c>
      <c r="H315" s="11" t="s">
        <v>449</v>
      </c>
      <c r="I315" s="11"/>
      <c r="J315" s="11">
        <v>21.0</v>
      </c>
      <c r="K315" s="13">
        <v>42195.0</v>
      </c>
      <c r="L315" s="11">
        <f t="shared" si="29"/>
        <v>16</v>
      </c>
      <c r="M315" s="11">
        <v>605280.0</v>
      </c>
      <c r="N315" s="11" t="s">
        <v>1114</v>
      </c>
      <c r="P315" s="11">
        <v>0.0</v>
      </c>
      <c r="Q315" s="15">
        <v>0.0</v>
      </c>
      <c r="R315" s="22">
        <v>1.0</v>
      </c>
      <c r="S315">
        <f t="shared" si="1"/>
        <v>2014</v>
      </c>
      <c r="T315">
        <f t="shared" si="2"/>
        <v>3</v>
      </c>
      <c r="AF315" s="18"/>
      <c r="AG315" s="19"/>
      <c r="AL315" s="18"/>
      <c r="AM315" s="19"/>
    </row>
    <row r="316">
      <c r="A316" s="4" t="s">
        <v>1115</v>
      </c>
      <c r="B316" s="10">
        <v>41717.0</v>
      </c>
      <c r="C316" s="11" t="s">
        <v>49</v>
      </c>
      <c r="D316" s="11" t="s">
        <v>151</v>
      </c>
      <c r="E316" s="14" t="s">
        <v>52</v>
      </c>
      <c r="F316" s="11" t="s">
        <v>53</v>
      </c>
      <c r="G316" s="14" t="s">
        <v>54</v>
      </c>
      <c r="H316" s="11" t="s">
        <v>157</v>
      </c>
      <c r="I316" s="11" t="s">
        <v>1116</v>
      </c>
      <c r="J316" s="11">
        <v>23.0</v>
      </c>
      <c r="K316" s="14"/>
      <c r="L316" s="14"/>
      <c r="M316" s="11">
        <v>641451.0</v>
      </c>
      <c r="N316" s="11"/>
      <c r="P316" s="11">
        <v>0.0</v>
      </c>
      <c r="Q316" s="15">
        <v>0.0</v>
      </c>
      <c r="R316" s="11">
        <v>0.0</v>
      </c>
      <c r="S316">
        <f t="shared" si="1"/>
        <v>2014</v>
      </c>
      <c r="T316">
        <f t="shared" si="2"/>
        <v>3</v>
      </c>
      <c r="AF316" s="18"/>
      <c r="AG316" s="19"/>
      <c r="AL316" s="18"/>
      <c r="AM316" s="19"/>
    </row>
    <row r="317">
      <c r="A317" s="4" t="s">
        <v>615</v>
      </c>
      <c r="B317" s="10">
        <v>41716.0</v>
      </c>
      <c r="C317" s="11" t="s">
        <v>142</v>
      </c>
      <c r="D317" s="11" t="s">
        <v>51</v>
      </c>
      <c r="E317" s="14" t="s">
        <v>52</v>
      </c>
      <c r="F317" s="11" t="s">
        <v>53</v>
      </c>
      <c r="G317" s="14" t="s">
        <v>54</v>
      </c>
      <c r="H317" s="11" t="s">
        <v>92</v>
      </c>
      <c r="I317" s="11" t="s">
        <v>1117</v>
      </c>
      <c r="J317" s="11">
        <v>28.0</v>
      </c>
      <c r="K317" s="13">
        <v>42205.0</v>
      </c>
      <c r="L317" s="11">
        <f t="shared" ref="L317:L321" si="30">ROUND(((K317-B317)/365)*12)</f>
        <v>16</v>
      </c>
      <c r="M317" s="11">
        <v>450665.0</v>
      </c>
      <c r="N317" s="11">
        <v>9417.0</v>
      </c>
      <c r="O317" s="4" t="s">
        <v>59</v>
      </c>
      <c r="P317" s="11">
        <v>21.0</v>
      </c>
      <c r="Q317" s="15">
        <v>82.667</v>
      </c>
      <c r="R317" s="22">
        <v>1.0</v>
      </c>
      <c r="S317">
        <f t="shared" si="1"/>
        <v>2014</v>
      </c>
      <c r="T317">
        <f t="shared" si="2"/>
        <v>3</v>
      </c>
      <c r="AF317" s="18"/>
      <c r="AG317" s="19"/>
      <c r="AL317" s="18"/>
      <c r="AM317" s="19"/>
    </row>
    <row r="318">
      <c r="A318" s="4" t="s">
        <v>1118</v>
      </c>
      <c r="B318" s="10">
        <v>41716.0</v>
      </c>
      <c r="C318" s="11" t="s">
        <v>229</v>
      </c>
      <c r="D318" s="11" t="s">
        <v>51</v>
      </c>
      <c r="E318" s="14" t="s">
        <v>52</v>
      </c>
      <c r="F318" s="11" t="s">
        <v>53</v>
      </c>
      <c r="G318" s="14" t="s">
        <v>54</v>
      </c>
      <c r="H318" s="11" t="s">
        <v>341</v>
      </c>
      <c r="I318" s="11" t="s">
        <v>204</v>
      </c>
      <c r="J318" s="11">
        <v>30.0</v>
      </c>
      <c r="K318" s="13">
        <v>42131.0</v>
      </c>
      <c r="L318" s="11">
        <f t="shared" si="30"/>
        <v>14</v>
      </c>
      <c r="M318" s="11">
        <v>460024.0</v>
      </c>
      <c r="N318" s="11">
        <v>6943.0</v>
      </c>
      <c r="O318" s="4" t="s">
        <v>188</v>
      </c>
      <c r="P318" s="11">
        <v>89.0</v>
      </c>
      <c r="Q318" s="15">
        <v>88.0</v>
      </c>
      <c r="R318" s="22">
        <v>1.0</v>
      </c>
      <c r="S318">
        <f t="shared" si="1"/>
        <v>2014</v>
      </c>
      <c r="T318">
        <f t="shared" si="2"/>
        <v>3</v>
      </c>
      <c r="AF318" s="18"/>
      <c r="AG318" s="19"/>
      <c r="AL318" s="18"/>
      <c r="AM318" s="19"/>
    </row>
    <row r="319">
      <c r="A319" s="4" t="s">
        <v>1120</v>
      </c>
      <c r="B319" s="10">
        <v>41710.0</v>
      </c>
      <c r="C319" s="11" t="s">
        <v>123</v>
      </c>
      <c r="D319" s="11" t="s">
        <v>82</v>
      </c>
      <c r="E319" s="22" t="s">
        <v>834</v>
      </c>
      <c r="F319" s="11" t="s">
        <v>53</v>
      </c>
      <c r="G319" s="11" t="s">
        <v>83</v>
      </c>
      <c r="H319" s="14"/>
      <c r="I319" s="14"/>
      <c r="J319" s="11">
        <v>21.0</v>
      </c>
      <c r="K319" s="13">
        <v>42103.0</v>
      </c>
      <c r="L319" s="11">
        <f t="shared" si="30"/>
        <v>13</v>
      </c>
      <c r="M319" s="11">
        <v>593934.0</v>
      </c>
      <c r="N319" s="11">
        <v>12164.0</v>
      </c>
      <c r="O319" s="4" t="s">
        <v>287</v>
      </c>
      <c r="P319" s="11">
        <v>196.0</v>
      </c>
      <c r="Q319" s="15">
        <v>830.0</v>
      </c>
      <c r="R319" s="22">
        <v>1.0</v>
      </c>
      <c r="S319">
        <f t="shared" si="1"/>
        <v>2014</v>
      </c>
      <c r="T319">
        <f t="shared" si="2"/>
        <v>3</v>
      </c>
      <c r="AF319" s="18"/>
      <c r="AG319" s="19"/>
      <c r="AL319" s="18"/>
      <c r="AM319" s="19"/>
    </row>
    <row r="320">
      <c r="A320" s="4" t="s">
        <v>1121</v>
      </c>
      <c r="B320" s="10">
        <v>41704.0</v>
      </c>
      <c r="C320" s="11" t="s">
        <v>259</v>
      </c>
      <c r="D320" s="11" t="s">
        <v>151</v>
      </c>
      <c r="E320" s="11" t="s">
        <v>52</v>
      </c>
      <c r="F320" s="11" t="s">
        <v>53</v>
      </c>
      <c r="G320" s="11" t="s">
        <v>54</v>
      </c>
      <c r="H320" s="11" t="s">
        <v>157</v>
      </c>
      <c r="I320" s="11" t="s">
        <v>1122</v>
      </c>
      <c r="J320" s="11">
        <v>21.0</v>
      </c>
      <c r="K320" s="13">
        <v>42201.0</v>
      </c>
      <c r="L320" s="11">
        <f t="shared" si="30"/>
        <v>16</v>
      </c>
      <c r="M320" s="11">
        <v>596111.0</v>
      </c>
      <c r="N320" s="11" t="s">
        <v>1123</v>
      </c>
      <c r="P320" s="11">
        <v>0.0</v>
      </c>
      <c r="Q320" s="15">
        <v>0.0</v>
      </c>
      <c r="R320" s="22">
        <v>1.0</v>
      </c>
      <c r="S320">
        <f t="shared" si="1"/>
        <v>2014</v>
      </c>
      <c r="T320">
        <f t="shared" si="2"/>
        <v>3</v>
      </c>
      <c r="AF320" s="18"/>
      <c r="AG320" s="19"/>
      <c r="AL320" s="18"/>
      <c r="AM320" s="19"/>
    </row>
    <row r="321">
      <c r="A321" s="4" t="s">
        <v>1124</v>
      </c>
      <c r="B321" s="10">
        <v>41699.0</v>
      </c>
      <c r="C321" s="11" t="s">
        <v>209</v>
      </c>
      <c r="D321" s="11" t="s">
        <v>91</v>
      </c>
      <c r="E321" s="14" t="s">
        <v>52</v>
      </c>
      <c r="F321" s="11" t="s">
        <v>53</v>
      </c>
      <c r="G321" s="14" t="s">
        <v>54</v>
      </c>
      <c r="H321" s="11" t="s">
        <v>77</v>
      </c>
      <c r="I321" s="11" t="s">
        <v>1125</v>
      </c>
      <c r="J321" s="11">
        <v>21.0</v>
      </c>
      <c r="K321" s="13">
        <v>42177.0</v>
      </c>
      <c r="L321" s="11">
        <f t="shared" si="30"/>
        <v>16</v>
      </c>
      <c r="M321" s="11">
        <v>641392.0</v>
      </c>
      <c r="N321" s="11" t="s">
        <v>1126</v>
      </c>
      <c r="P321" s="11">
        <v>0.0</v>
      </c>
      <c r="Q321" s="15">
        <v>0.0</v>
      </c>
      <c r="R321" s="22">
        <v>1.0</v>
      </c>
      <c r="S321">
        <f t="shared" si="1"/>
        <v>2014</v>
      </c>
      <c r="T321">
        <f t="shared" si="2"/>
        <v>3</v>
      </c>
      <c r="AF321" s="18"/>
      <c r="AG321" s="19"/>
      <c r="AL321" s="18"/>
      <c r="AM321" s="19"/>
    </row>
    <row r="322">
      <c r="A322" s="4" t="s">
        <v>1127</v>
      </c>
      <c r="B322" s="10">
        <v>41699.0</v>
      </c>
      <c r="C322" s="11" t="s">
        <v>119</v>
      </c>
      <c r="D322" s="11" t="s">
        <v>151</v>
      </c>
      <c r="E322" s="11" t="s">
        <v>52</v>
      </c>
      <c r="F322" s="11" t="s">
        <v>76</v>
      </c>
      <c r="G322" s="11" t="s">
        <v>54</v>
      </c>
      <c r="H322" s="11" t="s">
        <v>260</v>
      </c>
      <c r="I322" s="11" t="s">
        <v>260</v>
      </c>
      <c r="J322" s="11">
        <v>19.0</v>
      </c>
      <c r="K322" s="13">
        <v>42562.0</v>
      </c>
      <c r="L322" s="11"/>
      <c r="M322" s="11">
        <v>641900.0</v>
      </c>
      <c r="N322" s="11" t="s">
        <v>1128</v>
      </c>
      <c r="O322" s="4"/>
      <c r="P322" s="11">
        <v>0.0</v>
      </c>
      <c r="Q322" s="15">
        <v>0.0</v>
      </c>
      <c r="R322" s="22">
        <v>1.0</v>
      </c>
      <c r="S322">
        <f t="shared" si="1"/>
        <v>2014</v>
      </c>
      <c r="T322">
        <f t="shared" si="2"/>
        <v>3</v>
      </c>
      <c r="AF322" s="18"/>
      <c r="AG322" s="19"/>
      <c r="AL322" s="18"/>
      <c r="AM322" s="19"/>
    </row>
    <row r="323">
      <c r="A323" s="4" t="s">
        <v>1129</v>
      </c>
      <c r="B323" s="10">
        <v>41699.0</v>
      </c>
      <c r="C323" s="11" t="s">
        <v>97</v>
      </c>
      <c r="D323" s="11" t="s">
        <v>124</v>
      </c>
      <c r="E323" s="11" t="s">
        <v>52</v>
      </c>
      <c r="F323" s="11" t="s">
        <v>53</v>
      </c>
      <c r="G323" s="11" t="s">
        <v>54</v>
      </c>
      <c r="H323" s="11" t="s">
        <v>344</v>
      </c>
      <c r="I323" s="11" t="s">
        <v>1130</v>
      </c>
      <c r="J323" s="11">
        <v>22.0</v>
      </c>
      <c r="K323" s="13"/>
      <c r="L323" s="11"/>
      <c r="M323" s="11">
        <v>623478.0</v>
      </c>
      <c r="N323" s="11" t="s">
        <v>1131</v>
      </c>
      <c r="P323" s="11">
        <v>0.0</v>
      </c>
      <c r="Q323" s="15">
        <v>0.0</v>
      </c>
      <c r="R323" s="22">
        <v>1.0</v>
      </c>
      <c r="S323">
        <f t="shared" si="1"/>
        <v>2014</v>
      </c>
      <c r="T323">
        <f t="shared" si="2"/>
        <v>3</v>
      </c>
      <c r="AF323" s="18"/>
      <c r="AG323" s="19"/>
      <c r="AL323" s="18"/>
      <c r="AM323" s="19"/>
    </row>
    <row r="324">
      <c r="A324" s="4" t="s">
        <v>1132</v>
      </c>
      <c r="B324" s="10">
        <v>41699.0</v>
      </c>
      <c r="C324" s="11" t="s">
        <v>350</v>
      </c>
      <c r="D324" s="11" t="s">
        <v>75</v>
      </c>
      <c r="E324" s="14" t="s">
        <v>52</v>
      </c>
      <c r="F324" s="11" t="s">
        <v>53</v>
      </c>
      <c r="G324" s="14" t="s">
        <v>54</v>
      </c>
      <c r="H324" s="11" t="s">
        <v>157</v>
      </c>
      <c r="I324" s="11" t="s">
        <v>724</v>
      </c>
      <c r="J324" s="11">
        <v>25.0</v>
      </c>
      <c r="K324" s="13">
        <v>42106.0</v>
      </c>
      <c r="L324" s="11">
        <f t="shared" ref="L324:L326" si="31">ROUND(((K324-B324)/365)*12)</f>
        <v>13</v>
      </c>
      <c r="M324" s="11">
        <v>518954.0</v>
      </c>
      <c r="N324" s="11" t="s">
        <v>1134</v>
      </c>
      <c r="P324" s="11">
        <v>0.0</v>
      </c>
      <c r="Q324" s="15">
        <v>0.0</v>
      </c>
      <c r="R324" s="22">
        <v>1.0</v>
      </c>
      <c r="S324">
        <f t="shared" si="1"/>
        <v>2014</v>
      </c>
      <c r="T324">
        <f t="shared" si="2"/>
        <v>3</v>
      </c>
      <c r="AF324" s="18"/>
      <c r="AG324" s="19"/>
      <c r="AL324" s="18"/>
      <c r="AM324" s="19"/>
    </row>
    <row r="325">
      <c r="A325" s="4" t="s">
        <v>340</v>
      </c>
      <c r="B325" s="10">
        <v>41688.0</v>
      </c>
      <c r="C325" s="11" t="s">
        <v>49</v>
      </c>
      <c r="D325" s="11" t="s">
        <v>51</v>
      </c>
      <c r="E325" s="14" t="s">
        <v>52</v>
      </c>
      <c r="F325" s="11" t="s">
        <v>76</v>
      </c>
      <c r="G325" s="14" t="s">
        <v>54</v>
      </c>
      <c r="H325" s="11" t="s">
        <v>305</v>
      </c>
      <c r="I325" s="11" t="s">
        <v>873</v>
      </c>
      <c r="J325" s="11">
        <v>29.0</v>
      </c>
      <c r="K325" s="13">
        <v>42467.0</v>
      </c>
      <c r="L325" s="11">
        <f t="shared" si="31"/>
        <v>26</v>
      </c>
      <c r="M325" s="11">
        <v>458537.0</v>
      </c>
      <c r="N325" s="11">
        <v>1984.0</v>
      </c>
      <c r="O325" s="4" t="s">
        <v>59</v>
      </c>
      <c r="P325" s="11">
        <v>9.0</v>
      </c>
      <c r="Q325" s="15">
        <v>8.667</v>
      </c>
      <c r="R325" s="22">
        <v>1.0</v>
      </c>
      <c r="S325">
        <f t="shared" si="1"/>
        <v>2014</v>
      </c>
      <c r="T325">
        <f t="shared" si="2"/>
        <v>2</v>
      </c>
      <c r="AF325" s="18"/>
      <c r="AG325" s="19"/>
      <c r="AL325" s="18"/>
      <c r="AM325" s="19"/>
    </row>
    <row r="326">
      <c r="A326" s="4" t="s">
        <v>1135</v>
      </c>
      <c r="B326" s="10">
        <v>41674.0</v>
      </c>
      <c r="C326" s="11" t="s">
        <v>711</v>
      </c>
      <c r="D326" s="11" t="s">
        <v>210</v>
      </c>
      <c r="E326" s="11" t="s">
        <v>52</v>
      </c>
      <c r="F326" s="11" t="s">
        <v>76</v>
      </c>
      <c r="G326" s="11" t="s">
        <v>54</v>
      </c>
      <c r="H326" s="11" t="s">
        <v>157</v>
      </c>
      <c r="I326" s="11" t="s">
        <v>286</v>
      </c>
      <c r="J326" s="11">
        <v>23.0</v>
      </c>
      <c r="K326" s="13">
        <v>42106.0</v>
      </c>
      <c r="L326" s="11">
        <f t="shared" si="31"/>
        <v>14</v>
      </c>
      <c r="M326" s="11">
        <v>621394.0</v>
      </c>
      <c r="N326" s="11" t="s">
        <v>1136</v>
      </c>
      <c r="O326" s="4" t="s">
        <v>59</v>
      </c>
      <c r="P326" s="11">
        <v>0.0</v>
      </c>
      <c r="Q326" s="15">
        <v>0.0</v>
      </c>
      <c r="R326" s="22">
        <v>1.0</v>
      </c>
      <c r="S326">
        <f t="shared" si="1"/>
        <v>2014</v>
      </c>
      <c r="T326">
        <f t="shared" si="2"/>
        <v>2</v>
      </c>
      <c r="AF326" s="18"/>
      <c r="AG326" s="19"/>
      <c r="AL326" s="18"/>
      <c r="AM326" s="19"/>
    </row>
    <row r="327">
      <c r="A327" s="48" t="s">
        <v>1137</v>
      </c>
      <c r="B327" s="10">
        <v>41673.0</v>
      </c>
      <c r="C327" s="11" t="s">
        <v>103</v>
      </c>
      <c r="D327" s="11" t="s">
        <v>151</v>
      </c>
      <c r="E327" s="11" t="s">
        <v>52</v>
      </c>
      <c r="F327" s="11" t="s">
        <v>76</v>
      </c>
      <c r="G327" s="11" t="s">
        <v>54</v>
      </c>
      <c r="H327" s="11" t="s">
        <v>92</v>
      </c>
      <c r="I327" s="11" t="s">
        <v>549</v>
      </c>
      <c r="J327" s="11">
        <v>20.0</v>
      </c>
      <c r="K327" s="13">
        <v>42555.0</v>
      </c>
      <c r="L327" s="11"/>
      <c r="M327" s="11">
        <v>608344.0</v>
      </c>
      <c r="N327" s="11" t="s">
        <v>1138</v>
      </c>
      <c r="P327" s="11">
        <v>0.0</v>
      </c>
      <c r="Q327" s="15">
        <v>0.0</v>
      </c>
      <c r="R327" s="22">
        <v>1.0</v>
      </c>
      <c r="S327">
        <f t="shared" si="1"/>
        <v>2014</v>
      </c>
      <c r="T327">
        <f t="shared" si="2"/>
        <v>2</v>
      </c>
      <c r="AF327" s="18"/>
      <c r="AG327" s="19"/>
      <c r="AL327" s="18"/>
      <c r="AM327" s="19"/>
    </row>
    <row r="328">
      <c r="A328" s="4" t="s">
        <v>1139</v>
      </c>
      <c r="B328" s="10">
        <v>41671.0</v>
      </c>
      <c r="C328" s="11" t="s">
        <v>159</v>
      </c>
      <c r="D328" s="11" t="s">
        <v>110</v>
      </c>
      <c r="E328" s="11" t="s">
        <v>52</v>
      </c>
      <c r="F328" s="11" t="s">
        <v>76</v>
      </c>
      <c r="G328" s="11" t="s">
        <v>54</v>
      </c>
      <c r="H328" s="11" t="s">
        <v>260</v>
      </c>
      <c r="I328" s="11" t="s">
        <v>1140</v>
      </c>
      <c r="J328" s="11">
        <v>23.0</v>
      </c>
      <c r="K328" s="13">
        <v>42103.0</v>
      </c>
      <c r="L328" s="11">
        <f>ROUND(((K328-B328)/365)*12)</f>
        <v>14</v>
      </c>
      <c r="M328" s="11">
        <v>608707.0</v>
      </c>
      <c r="N328" s="11" t="s">
        <v>1141</v>
      </c>
      <c r="P328" s="11">
        <v>0.0</v>
      </c>
      <c r="Q328" s="15">
        <v>0.0</v>
      </c>
      <c r="R328" s="22">
        <v>1.0</v>
      </c>
      <c r="S328">
        <f t="shared" si="1"/>
        <v>2014</v>
      </c>
      <c r="T328">
        <f t="shared" si="2"/>
        <v>2</v>
      </c>
      <c r="AF328" s="18"/>
      <c r="AG328" s="19"/>
      <c r="AL328" s="18"/>
      <c r="AM328" s="19"/>
    </row>
    <row r="329">
      <c r="A329" s="4" t="s">
        <v>1143</v>
      </c>
      <c r="B329" s="10">
        <v>41640.0</v>
      </c>
      <c r="C329" s="11" t="s">
        <v>96</v>
      </c>
      <c r="D329" s="11" t="s">
        <v>124</v>
      </c>
      <c r="E329" s="11" t="s">
        <v>52</v>
      </c>
      <c r="F329" s="11" t="s">
        <v>53</v>
      </c>
      <c r="G329" s="11" t="s">
        <v>83</v>
      </c>
      <c r="H329" s="11"/>
      <c r="I329" s="11"/>
      <c r="J329" s="11">
        <v>20.0</v>
      </c>
      <c r="K329" s="13">
        <v>42180.0</v>
      </c>
      <c r="L329" s="14"/>
      <c r="M329" s="11">
        <v>612791.0</v>
      </c>
      <c r="N329" s="11" t="s">
        <v>1144</v>
      </c>
      <c r="P329" s="11">
        <v>0.0</v>
      </c>
      <c r="Q329" s="15">
        <v>0.0</v>
      </c>
      <c r="R329" s="22">
        <v>1.0</v>
      </c>
      <c r="S329">
        <f t="shared" si="1"/>
        <v>2014</v>
      </c>
      <c r="T329">
        <f t="shared" si="2"/>
        <v>1</v>
      </c>
      <c r="AF329" s="18"/>
      <c r="AG329" s="19"/>
      <c r="AL329" s="18"/>
      <c r="AM329" s="19"/>
    </row>
    <row r="330">
      <c r="A330" s="4" t="s">
        <v>1145</v>
      </c>
      <c r="B330" s="10">
        <v>41640.0</v>
      </c>
      <c r="C330" s="11" t="s">
        <v>350</v>
      </c>
      <c r="D330" s="11" t="s">
        <v>91</v>
      </c>
      <c r="E330" s="11" t="s">
        <v>52</v>
      </c>
      <c r="F330" s="11" t="s">
        <v>53</v>
      </c>
      <c r="G330" s="11" t="s">
        <v>1146</v>
      </c>
      <c r="H330" s="11"/>
      <c r="I330" s="11"/>
      <c r="J330" s="11">
        <v>17.0</v>
      </c>
      <c r="K330" s="13">
        <v>42175.0</v>
      </c>
      <c r="L330" s="14"/>
      <c r="M330" s="11">
        <v>650400.0</v>
      </c>
      <c r="N330" s="11" t="s">
        <v>1147</v>
      </c>
      <c r="P330" s="11">
        <v>0.0</v>
      </c>
      <c r="Q330" s="15">
        <v>0.0</v>
      </c>
      <c r="R330" s="22">
        <v>1.0</v>
      </c>
      <c r="S330">
        <f t="shared" si="1"/>
        <v>2014</v>
      </c>
      <c r="T330">
        <f t="shared" si="2"/>
        <v>1</v>
      </c>
      <c r="AF330" s="18"/>
      <c r="AG330" s="19"/>
      <c r="AL330" s="18"/>
      <c r="AM330" s="19"/>
    </row>
    <row r="331">
      <c r="A331" s="4" t="s">
        <v>1148</v>
      </c>
      <c r="B331" s="10">
        <v>41640.0</v>
      </c>
      <c r="C331" s="11" t="s">
        <v>350</v>
      </c>
      <c r="D331" s="11" t="s">
        <v>91</v>
      </c>
      <c r="E331" s="14" t="s">
        <v>52</v>
      </c>
      <c r="F331" s="11" t="s">
        <v>76</v>
      </c>
      <c r="G331" s="14" t="s">
        <v>54</v>
      </c>
      <c r="H331" s="11" t="s">
        <v>157</v>
      </c>
      <c r="I331" s="11"/>
      <c r="J331" s="11">
        <v>20.0</v>
      </c>
      <c r="K331" s="14"/>
      <c r="L331" s="14"/>
      <c r="M331" s="11">
        <v>621342.0</v>
      </c>
      <c r="N331" s="11" t="s">
        <v>1149</v>
      </c>
      <c r="P331" s="11">
        <v>0.0</v>
      </c>
      <c r="Q331" s="15">
        <v>0.0</v>
      </c>
      <c r="R331" s="22">
        <v>0.0</v>
      </c>
      <c r="S331">
        <f t="shared" si="1"/>
        <v>2014</v>
      </c>
      <c r="T331">
        <f t="shared" si="2"/>
        <v>1</v>
      </c>
      <c r="AF331" s="18"/>
      <c r="AG331" s="19"/>
      <c r="AL331" s="18"/>
      <c r="AM331" s="19"/>
    </row>
    <row r="332">
      <c r="A332" s="4" t="s">
        <v>1150</v>
      </c>
      <c r="B332" s="10">
        <v>41640.0</v>
      </c>
      <c r="C332" s="11" t="s">
        <v>350</v>
      </c>
      <c r="D332" s="11" t="s">
        <v>110</v>
      </c>
      <c r="E332" s="11" t="s">
        <v>52</v>
      </c>
      <c r="F332" s="11" t="s">
        <v>53</v>
      </c>
      <c r="G332" s="11" t="s">
        <v>54</v>
      </c>
      <c r="H332" s="11" t="s">
        <v>92</v>
      </c>
      <c r="I332" s="11"/>
      <c r="J332" s="11">
        <v>22.0</v>
      </c>
      <c r="K332" s="14"/>
      <c r="L332" s="14"/>
      <c r="M332" s="11">
        <v>592666.0</v>
      </c>
      <c r="N332" s="11" t="s">
        <v>1151</v>
      </c>
      <c r="P332" s="11">
        <v>0.0</v>
      </c>
      <c r="Q332" s="15">
        <v>0.0</v>
      </c>
      <c r="R332" s="22">
        <v>1.0</v>
      </c>
      <c r="S332">
        <f t="shared" si="1"/>
        <v>2014</v>
      </c>
      <c r="T332">
        <f t="shared" si="2"/>
        <v>1</v>
      </c>
      <c r="AF332" s="18"/>
      <c r="AG332" s="19"/>
      <c r="AL332" s="18"/>
      <c r="AM332" s="19"/>
    </row>
    <row r="333">
      <c r="A333" s="4" t="s">
        <v>1152</v>
      </c>
      <c r="B333" s="10">
        <v>41640.0</v>
      </c>
      <c r="C333" s="11" t="s">
        <v>259</v>
      </c>
      <c r="D333" s="11" t="s">
        <v>151</v>
      </c>
      <c r="E333" s="11" t="s">
        <v>834</v>
      </c>
      <c r="F333" s="11" t="s">
        <v>53</v>
      </c>
      <c r="G333" s="11" t="s">
        <v>54</v>
      </c>
      <c r="H333" s="11" t="s">
        <v>153</v>
      </c>
      <c r="I333" s="11" t="s">
        <v>363</v>
      </c>
      <c r="J333" s="11">
        <v>20.0</v>
      </c>
      <c r="K333" s="13">
        <v>42564.0</v>
      </c>
      <c r="L333" s="14"/>
      <c r="M333" s="11">
        <v>621545.0</v>
      </c>
      <c r="N333" s="11" t="s">
        <v>1153</v>
      </c>
      <c r="P333" s="11">
        <v>0.0</v>
      </c>
      <c r="Q333" s="15">
        <v>0.0</v>
      </c>
      <c r="R333" s="22">
        <v>1.0</v>
      </c>
      <c r="S333">
        <f t="shared" si="1"/>
        <v>2014</v>
      </c>
      <c r="T333">
        <f t="shared" si="2"/>
        <v>1</v>
      </c>
      <c r="AF333" s="18"/>
      <c r="AG333" s="19"/>
      <c r="AL333" s="18"/>
      <c r="AM333" s="19"/>
    </row>
    <row r="334">
      <c r="A334" s="4" t="s">
        <v>1154</v>
      </c>
      <c r="B334" s="10">
        <v>41640.0</v>
      </c>
      <c r="C334" s="11" t="s">
        <v>119</v>
      </c>
      <c r="D334" s="11" t="s">
        <v>151</v>
      </c>
      <c r="E334" s="14" t="s">
        <v>52</v>
      </c>
      <c r="F334" s="11" t="s">
        <v>53</v>
      </c>
      <c r="G334" s="14" t="s">
        <v>54</v>
      </c>
      <c r="H334" s="11" t="s">
        <v>112</v>
      </c>
      <c r="I334" s="11" t="s">
        <v>113</v>
      </c>
      <c r="J334" s="11">
        <v>20.0</v>
      </c>
      <c r="K334" s="13">
        <v>42173.0</v>
      </c>
      <c r="L334" s="14"/>
      <c r="M334" s="11">
        <v>656661.0</v>
      </c>
      <c r="N334" s="11" t="s">
        <v>1155</v>
      </c>
      <c r="P334" s="11">
        <v>0.0</v>
      </c>
      <c r="Q334" s="15">
        <v>0.0</v>
      </c>
      <c r="R334" s="22">
        <v>1.0</v>
      </c>
      <c r="S334">
        <f t="shared" si="1"/>
        <v>2014</v>
      </c>
      <c r="T334">
        <f t="shared" si="2"/>
        <v>1</v>
      </c>
      <c r="AF334" s="18"/>
      <c r="AG334" s="19"/>
      <c r="AL334" s="18"/>
      <c r="AM334" s="19"/>
    </row>
    <row r="335">
      <c r="A335" s="4" t="s">
        <v>1156</v>
      </c>
      <c r="B335" s="10">
        <v>41640.0</v>
      </c>
      <c r="C335" s="11" t="s">
        <v>159</v>
      </c>
      <c r="D335" s="11" t="s">
        <v>82</v>
      </c>
      <c r="E335" s="11" t="s">
        <v>52</v>
      </c>
      <c r="F335" s="11" t="s">
        <v>76</v>
      </c>
      <c r="G335" s="11" t="s">
        <v>54</v>
      </c>
      <c r="H335" s="11" t="s">
        <v>416</v>
      </c>
      <c r="I335" s="11" t="s">
        <v>197</v>
      </c>
      <c r="J335" s="11">
        <v>23.0</v>
      </c>
      <c r="K335" s="13">
        <v>42191.0</v>
      </c>
      <c r="L335" s="14"/>
      <c r="M335" s="11">
        <v>607412.0</v>
      </c>
      <c r="N335" s="11" t="s">
        <v>1157</v>
      </c>
      <c r="P335" s="11">
        <v>0.0</v>
      </c>
      <c r="Q335" s="15">
        <v>0.0</v>
      </c>
      <c r="R335" s="22">
        <v>1.0</v>
      </c>
      <c r="S335">
        <f t="shared" si="1"/>
        <v>2014</v>
      </c>
      <c r="T335">
        <f t="shared" si="2"/>
        <v>1</v>
      </c>
      <c r="AF335" s="18"/>
      <c r="AG335" s="19"/>
      <c r="AL335" s="18"/>
      <c r="AM335" s="19"/>
    </row>
    <row r="336">
      <c r="A336" s="4" t="s">
        <v>1158</v>
      </c>
      <c r="B336" s="10">
        <v>41640.0</v>
      </c>
      <c r="C336" s="11" t="s">
        <v>239</v>
      </c>
      <c r="D336" s="11" t="s">
        <v>82</v>
      </c>
      <c r="E336" s="11" t="s">
        <v>52</v>
      </c>
      <c r="F336" s="11" t="s">
        <v>53</v>
      </c>
      <c r="G336" s="11" t="s">
        <v>54</v>
      </c>
      <c r="H336" s="11" t="s">
        <v>302</v>
      </c>
      <c r="I336" s="11" t="s">
        <v>1159</v>
      </c>
      <c r="J336" s="11">
        <v>26.0</v>
      </c>
      <c r="K336" s="13">
        <v>42119.0</v>
      </c>
      <c r="L336" s="14"/>
      <c r="M336" s="11">
        <v>606969.0</v>
      </c>
      <c r="N336" s="11" t="s">
        <v>1160</v>
      </c>
      <c r="P336" s="11">
        <v>0.0</v>
      </c>
      <c r="Q336" s="15">
        <v>0.0</v>
      </c>
      <c r="R336" s="11">
        <v>0.0</v>
      </c>
      <c r="S336">
        <f t="shared" si="1"/>
        <v>2014</v>
      </c>
      <c r="T336">
        <f t="shared" si="2"/>
        <v>1</v>
      </c>
      <c r="AF336" s="18"/>
      <c r="AG336" s="19"/>
      <c r="AL336" s="18"/>
      <c r="AM336" s="19"/>
    </row>
    <row r="337">
      <c r="A337" s="4" t="s">
        <v>1162</v>
      </c>
      <c r="B337" s="10">
        <v>41640.0</v>
      </c>
      <c r="C337" s="11" t="s">
        <v>239</v>
      </c>
      <c r="D337" s="11" t="s">
        <v>210</v>
      </c>
      <c r="E337" s="11" t="s">
        <v>52</v>
      </c>
      <c r="F337" s="11" t="s">
        <v>76</v>
      </c>
      <c r="G337" s="11" t="s">
        <v>54</v>
      </c>
      <c r="H337" s="11" t="s">
        <v>279</v>
      </c>
      <c r="I337" s="11" t="s">
        <v>1163</v>
      </c>
      <c r="J337" s="11">
        <v>21.0</v>
      </c>
      <c r="K337" s="13">
        <v>42471.0</v>
      </c>
      <c r="L337" s="14"/>
      <c r="M337" s="11">
        <v>643394.0</v>
      </c>
      <c r="N337" s="11" t="s">
        <v>1164</v>
      </c>
      <c r="P337" s="11">
        <v>0.0</v>
      </c>
      <c r="Q337" s="15">
        <v>0.0</v>
      </c>
      <c r="R337" s="22">
        <v>1.0</v>
      </c>
      <c r="S337">
        <f t="shared" si="1"/>
        <v>2014</v>
      </c>
      <c r="T337">
        <f t="shared" si="2"/>
        <v>1</v>
      </c>
      <c r="AF337" s="18"/>
      <c r="AG337" s="19"/>
      <c r="AL337" s="18"/>
      <c r="AM337" s="19"/>
    </row>
    <row r="338">
      <c r="A338" s="4" t="s">
        <v>1165</v>
      </c>
      <c r="B338" s="10">
        <v>41640.0</v>
      </c>
      <c r="C338" s="11" t="s">
        <v>108</v>
      </c>
      <c r="D338" s="11" t="s">
        <v>91</v>
      </c>
      <c r="E338" s="11" t="s">
        <v>52</v>
      </c>
      <c r="F338" s="11" t="s">
        <v>76</v>
      </c>
      <c r="G338" s="11" t="s">
        <v>83</v>
      </c>
      <c r="H338" s="11"/>
      <c r="I338" s="11"/>
      <c r="J338" s="11">
        <v>17.0</v>
      </c>
      <c r="K338" s="13"/>
      <c r="L338" s="14"/>
      <c r="M338" s="11">
        <v>658656.0</v>
      </c>
      <c r="N338" s="11" t="s">
        <v>1166</v>
      </c>
      <c r="P338" s="11">
        <v>0.0</v>
      </c>
      <c r="Q338" s="15">
        <v>0.0</v>
      </c>
      <c r="R338" s="22">
        <v>1.0</v>
      </c>
      <c r="S338">
        <f t="shared" si="1"/>
        <v>2014</v>
      </c>
      <c r="T338">
        <f t="shared" si="2"/>
        <v>1</v>
      </c>
      <c r="AF338" s="18"/>
      <c r="AG338" s="19"/>
      <c r="AL338" s="18"/>
      <c r="AM338" s="19"/>
    </row>
    <row r="339">
      <c r="A339" s="4" t="s">
        <v>1167</v>
      </c>
      <c r="B339" s="10">
        <v>41640.0</v>
      </c>
      <c r="C339" s="11" t="s">
        <v>108</v>
      </c>
      <c r="D339" s="11" t="s">
        <v>91</v>
      </c>
      <c r="E339" s="11" t="s">
        <v>52</v>
      </c>
      <c r="F339" s="11" t="s">
        <v>53</v>
      </c>
      <c r="G339" s="11" t="s">
        <v>83</v>
      </c>
      <c r="H339" s="11"/>
      <c r="I339" s="11"/>
      <c r="J339" s="11">
        <v>20.0</v>
      </c>
      <c r="K339" s="13">
        <v>42538.0</v>
      </c>
      <c r="L339" s="14"/>
      <c r="M339" s="11">
        <v>622163.0</v>
      </c>
      <c r="N339" s="11" t="s">
        <v>1168</v>
      </c>
      <c r="P339" s="11">
        <v>0.0</v>
      </c>
      <c r="Q339" s="15">
        <v>0.0</v>
      </c>
      <c r="R339" s="22">
        <v>1.0</v>
      </c>
      <c r="S339">
        <f t="shared" si="1"/>
        <v>2014</v>
      </c>
      <c r="T339">
        <f t="shared" si="2"/>
        <v>1</v>
      </c>
      <c r="AF339" s="18"/>
      <c r="AG339" s="19"/>
      <c r="AL339" s="18"/>
      <c r="AM339" s="19"/>
    </row>
    <row r="340">
      <c r="A340" s="4" t="s">
        <v>1169</v>
      </c>
      <c r="B340" s="10">
        <v>41640.0</v>
      </c>
      <c r="C340" s="11" t="s">
        <v>81</v>
      </c>
      <c r="D340" s="11" t="s">
        <v>75</v>
      </c>
      <c r="E340" s="11" t="s">
        <v>52</v>
      </c>
      <c r="F340" s="11" t="s">
        <v>53</v>
      </c>
      <c r="G340" s="11" t="s">
        <v>54</v>
      </c>
      <c r="H340" s="11" t="s">
        <v>157</v>
      </c>
      <c r="I340" s="11" t="s">
        <v>1170</v>
      </c>
      <c r="J340" s="11">
        <v>27.0</v>
      </c>
      <c r="K340" s="13">
        <v>41760.0</v>
      </c>
      <c r="L340" s="14"/>
      <c r="M340" s="11">
        <v>572017.0</v>
      </c>
      <c r="N340" s="11">
        <v>10710.0</v>
      </c>
      <c r="P340" s="11">
        <v>0.0</v>
      </c>
      <c r="Q340" s="15">
        <v>0.0</v>
      </c>
      <c r="R340" s="22">
        <v>1.0</v>
      </c>
      <c r="S340">
        <f t="shared" si="1"/>
        <v>2014</v>
      </c>
      <c r="T340">
        <f t="shared" si="2"/>
        <v>1</v>
      </c>
      <c r="AF340" s="18"/>
      <c r="AG340" s="19"/>
      <c r="AL340" s="18"/>
      <c r="AM340" s="19"/>
    </row>
    <row r="341">
      <c r="A341" s="4" t="s">
        <v>443</v>
      </c>
      <c r="B341" s="10">
        <v>41640.0</v>
      </c>
      <c r="C341" s="11" t="s">
        <v>81</v>
      </c>
      <c r="D341" s="11" t="s">
        <v>82</v>
      </c>
      <c r="E341" s="11" t="s">
        <v>52</v>
      </c>
      <c r="F341" s="11" t="s">
        <v>76</v>
      </c>
      <c r="G341" s="11" t="s">
        <v>54</v>
      </c>
      <c r="H341" s="11" t="s">
        <v>92</v>
      </c>
      <c r="I341" s="11" t="s">
        <v>1171</v>
      </c>
      <c r="J341" s="11">
        <v>26.0</v>
      </c>
      <c r="K341" s="13"/>
      <c r="L341" s="11"/>
      <c r="M341" s="11">
        <v>608578.0</v>
      </c>
      <c r="N341" s="11" t="s">
        <v>1172</v>
      </c>
      <c r="O341" s="4"/>
      <c r="P341" s="11">
        <v>0.0</v>
      </c>
      <c r="Q341" s="15">
        <v>0.0</v>
      </c>
      <c r="R341" s="22">
        <v>1.0</v>
      </c>
      <c r="S341">
        <f t="shared" si="1"/>
        <v>2014</v>
      </c>
      <c r="T341">
        <f t="shared" si="2"/>
        <v>1</v>
      </c>
      <c r="U341" s="4"/>
      <c r="V341" s="4"/>
      <c r="W341" s="4"/>
      <c r="X341" s="4"/>
      <c r="Y341" s="4"/>
      <c r="Z341" s="4"/>
      <c r="AA341" s="4"/>
      <c r="AB341" s="4"/>
      <c r="AC341" s="4"/>
      <c r="AD341" s="4"/>
      <c r="AE341" s="4"/>
      <c r="AF341" s="54"/>
      <c r="AG341" s="55"/>
      <c r="AH341" s="4"/>
      <c r="AI341" s="4"/>
      <c r="AJ341" s="4"/>
      <c r="AK341" s="4"/>
      <c r="AL341" s="54"/>
      <c r="AM341" s="55"/>
      <c r="AN341" s="4"/>
      <c r="AO341" s="4"/>
    </row>
    <row r="342">
      <c r="A342" s="4" t="s">
        <v>1173</v>
      </c>
      <c r="B342" s="10">
        <v>41640.0</v>
      </c>
      <c r="C342" s="11" t="s">
        <v>123</v>
      </c>
      <c r="D342" s="11" t="s">
        <v>91</v>
      </c>
      <c r="E342" s="14" t="s">
        <v>52</v>
      </c>
      <c r="F342" s="11" t="s">
        <v>53</v>
      </c>
      <c r="G342" s="14" t="s">
        <v>54</v>
      </c>
      <c r="H342" s="11" t="s">
        <v>92</v>
      </c>
      <c r="I342" s="11" t="s">
        <v>1174</v>
      </c>
      <c r="J342" s="11">
        <v>23.0</v>
      </c>
      <c r="K342" s="13">
        <v>42179.0</v>
      </c>
      <c r="L342" s="14"/>
      <c r="M342" s="11">
        <v>642111.0</v>
      </c>
      <c r="N342" s="11" t="s">
        <v>1175</v>
      </c>
      <c r="P342" s="11">
        <v>0.0</v>
      </c>
      <c r="Q342" s="15">
        <v>0.0</v>
      </c>
      <c r="R342" s="22">
        <v>1.0</v>
      </c>
      <c r="S342">
        <f t="shared" si="1"/>
        <v>2014</v>
      </c>
      <c r="T342">
        <f t="shared" si="2"/>
        <v>1</v>
      </c>
      <c r="AF342" s="18"/>
      <c r="AG342" s="19"/>
      <c r="AL342" s="18"/>
      <c r="AM342" s="19"/>
    </row>
    <row r="343">
      <c r="A343" s="4" t="s">
        <v>1176</v>
      </c>
      <c r="B343" s="10">
        <v>41640.0</v>
      </c>
      <c r="C343" s="11" t="s">
        <v>97</v>
      </c>
      <c r="D343" s="11" t="s">
        <v>82</v>
      </c>
      <c r="E343" s="11" t="s">
        <v>52</v>
      </c>
      <c r="F343" s="11" t="s">
        <v>53</v>
      </c>
      <c r="G343" s="11" t="s">
        <v>54</v>
      </c>
      <c r="H343" s="11" t="s">
        <v>412</v>
      </c>
      <c r="I343" s="11" t="s">
        <v>1177</v>
      </c>
      <c r="J343" s="11">
        <v>25.0</v>
      </c>
      <c r="K343" s="14"/>
      <c r="L343" s="14"/>
      <c r="M343" s="11">
        <v>595340.0</v>
      </c>
      <c r="N343" s="11" t="s">
        <v>1178</v>
      </c>
      <c r="O343" s="4"/>
      <c r="P343" s="11">
        <v>0.0</v>
      </c>
      <c r="Q343" s="15">
        <v>0.0</v>
      </c>
      <c r="R343" s="22">
        <v>0.0</v>
      </c>
      <c r="S343">
        <f t="shared" si="1"/>
        <v>2014</v>
      </c>
      <c r="T343">
        <f t="shared" si="2"/>
        <v>1</v>
      </c>
      <c r="AF343" s="18"/>
      <c r="AG343" s="19"/>
      <c r="AL343" s="18"/>
      <c r="AM343" s="19"/>
    </row>
    <row r="344">
      <c r="A344" s="4" t="s">
        <v>1179</v>
      </c>
      <c r="B344" s="10">
        <v>41640.0</v>
      </c>
      <c r="C344" s="11" t="s">
        <v>125</v>
      </c>
      <c r="D344" s="11" t="s">
        <v>170</v>
      </c>
      <c r="E344" s="11" t="s">
        <v>52</v>
      </c>
      <c r="F344" s="11" t="s">
        <v>53</v>
      </c>
      <c r="G344" s="11" t="s">
        <v>83</v>
      </c>
      <c r="H344" s="11"/>
      <c r="I344" s="11"/>
      <c r="J344" s="11">
        <v>19.0</v>
      </c>
      <c r="K344" s="33">
        <v>42545.0</v>
      </c>
      <c r="L344" s="14"/>
      <c r="M344" s="11">
        <v>642619.0</v>
      </c>
      <c r="N344" s="11" t="s">
        <v>1181</v>
      </c>
      <c r="O344" s="4"/>
      <c r="P344" s="11">
        <v>0.0</v>
      </c>
      <c r="Q344" s="15">
        <v>0.0</v>
      </c>
      <c r="R344" s="22">
        <v>1.0</v>
      </c>
      <c r="S344">
        <f t="shared" si="1"/>
        <v>2014</v>
      </c>
      <c r="T344">
        <f t="shared" si="2"/>
        <v>1</v>
      </c>
      <c r="AF344" s="18"/>
      <c r="AG344" s="19"/>
      <c r="AL344" s="18"/>
      <c r="AM344" s="19"/>
    </row>
    <row r="345">
      <c r="A345" s="4" t="s">
        <v>1182</v>
      </c>
      <c r="B345" s="10">
        <v>41640.0</v>
      </c>
      <c r="C345" s="11" t="s">
        <v>90</v>
      </c>
      <c r="D345" s="11" t="s">
        <v>151</v>
      </c>
      <c r="E345" s="11" t="s">
        <v>52</v>
      </c>
      <c r="F345" s="11" t="s">
        <v>53</v>
      </c>
      <c r="G345" s="11" t="s">
        <v>54</v>
      </c>
      <c r="H345" s="11" t="s">
        <v>305</v>
      </c>
      <c r="I345" s="11" t="s">
        <v>1183</v>
      </c>
      <c r="J345" s="11">
        <v>21.0</v>
      </c>
      <c r="K345" s="13">
        <v>42219.0</v>
      </c>
      <c r="L345" s="11"/>
      <c r="M345" s="11">
        <v>605521.0</v>
      </c>
      <c r="N345" s="11" t="s">
        <v>1184</v>
      </c>
      <c r="O345" s="4"/>
      <c r="P345" s="11">
        <v>0.0</v>
      </c>
      <c r="Q345" s="15">
        <v>0.0</v>
      </c>
      <c r="R345" s="22">
        <v>1.0</v>
      </c>
      <c r="S345">
        <f t="shared" si="1"/>
        <v>2014</v>
      </c>
      <c r="T345">
        <f t="shared" si="2"/>
        <v>1</v>
      </c>
      <c r="AF345" s="18"/>
      <c r="AG345" s="19"/>
      <c r="AL345" s="18"/>
      <c r="AM345" s="19"/>
    </row>
    <row r="346">
      <c r="A346" s="4" t="s">
        <v>489</v>
      </c>
      <c r="B346" s="10">
        <v>41640.0</v>
      </c>
      <c r="C346" s="11" t="s">
        <v>270</v>
      </c>
      <c r="D346" s="11" t="s">
        <v>75</v>
      </c>
      <c r="E346" s="11" t="s">
        <v>160</v>
      </c>
      <c r="F346" s="11" t="s">
        <v>53</v>
      </c>
      <c r="G346" s="11" t="s">
        <v>265</v>
      </c>
      <c r="H346" s="11"/>
      <c r="I346" s="11"/>
      <c r="J346" s="11">
        <v>29.0</v>
      </c>
      <c r="K346" s="13"/>
      <c r="L346" s="11"/>
      <c r="M346" s="11">
        <v>464268.0</v>
      </c>
      <c r="N346" s="11" t="s">
        <v>1185</v>
      </c>
      <c r="O346" s="4"/>
      <c r="P346" s="11">
        <v>0.0</v>
      </c>
      <c r="Q346" s="15">
        <v>0.0</v>
      </c>
      <c r="R346" s="22">
        <v>1.0</v>
      </c>
      <c r="S346">
        <f t="shared" si="1"/>
        <v>2014</v>
      </c>
      <c r="T346">
        <f t="shared" si="2"/>
        <v>1</v>
      </c>
      <c r="AF346" s="18"/>
      <c r="AG346" s="19"/>
      <c r="AL346" s="18"/>
      <c r="AM346" s="19"/>
    </row>
    <row r="347">
      <c r="A347" s="4" t="s">
        <v>1186</v>
      </c>
      <c r="B347" s="10">
        <v>41640.0</v>
      </c>
      <c r="C347" s="11" t="s">
        <v>156</v>
      </c>
      <c r="D347" s="11" t="s">
        <v>110</v>
      </c>
      <c r="E347" s="11" t="s">
        <v>52</v>
      </c>
      <c r="F347" s="11" t="s">
        <v>76</v>
      </c>
      <c r="G347" s="11" t="s">
        <v>54</v>
      </c>
      <c r="H347" s="11" t="s">
        <v>305</v>
      </c>
      <c r="I347" s="11" t="s">
        <v>1187</v>
      </c>
      <c r="J347" s="11">
        <v>25.0</v>
      </c>
      <c r="K347" s="13">
        <v>42128.0</v>
      </c>
      <c r="L347" s="11"/>
      <c r="M347" s="11">
        <v>607647.0</v>
      </c>
      <c r="N347" s="11" t="s">
        <v>1188</v>
      </c>
      <c r="P347" s="11">
        <v>0.0</v>
      </c>
      <c r="Q347" s="15">
        <v>0.0</v>
      </c>
      <c r="R347" s="11">
        <v>0.0</v>
      </c>
      <c r="S347">
        <f t="shared" si="1"/>
        <v>2014</v>
      </c>
      <c r="T347">
        <f t="shared" si="2"/>
        <v>1</v>
      </c>
      <c r="AF347" s="18"/>
      <c r="AG347" s="19"/>
      <c r="AL347" s="18"/>
      <c r="AM347" s="19"/>
    </row>
    <row r="348">
      <c r="A348" s="4" t="s">
        <v>1189</v>
      </c>
      <c r="B348" s="10">
        <v>41579.0</v>
      </c>
      <c r="C348" s="11" t="s">
        <v>169</v>
      </c>
      <c r="D348" s="11" t="s">
        <v>82</v>
      </c>
      <c r="E348" s="11" t="s">
        <v>52</v>
      </c>
      <c r="F348" s="11" t="s">
        <v>53</v>
      </c>
      <c r="G348" s="11" t="s">
        <v>54</v>
      </c>
      <c r="H348" s="11" t="s">
        <v>92</v>
      </c>
      <c r="I348" s="11" t="s">
        <v>1190</v>
      </c>
      <c r="J348" s="11">
        <v>24.0</v>
      </c>
      <c r="K348" s="13">
        <v>42103.0</v>
      </c>
      <c r="L348" s="11">
        <f>ROUND(((K348-B348)/365)*12)</f>
        <v>17</v>
      </c>
      <c r="M348" s="11">
        <v>607414.0</v>
      </c>
      <c r="N348" s="11" t="s">
        <v>1191</v>
      </c>
      <c r="P348" s="11">
        <v>0.0</v>
      </c>
      <c r="Q348" s="15">
        <v>0.0</v>
      </c>
      <c r="R348" s="22">
        <v>1.0</v>
      </c>
      <c r="S348">
        <f t="shared" si="1"/>
        <v>2013</v>
      </c>
      <c r="T348">
        <f t="shared" si="2"/>
        <v>11</v>
      </c>
      <c r="AF348" s="18"/>
      <c r="AG348" s="19"/>
      <c r="AL348" s="18"/>
      <c r="AM348" s="19"/>
    </row>
    <row r="349">
      <c r="A349" s="4" t="s">
        <v>1192</v>
      </c>
      <c r="B349" s="10">
        <v>41579.0</v>
      </c>
      <c r="C349" s="11" t="s">
        <v>81</v>
      </c>
      <c r="D349" s="11" t="s">
        <v>170</v>
      </c>
      <c r="E349" s="11" t="s">
        <v>52</v>
      </c>
      <c r="F349" s="11" t="s">
        <v>53</v>
      </c>
      <c r="G349" s="11" t="s">
        <v>54</v>
      </c>
      <c r="H349" s="11" t="s">
        <v>92</v>
      </c>
      <c r="I349" s="11" t="s">
        <v>1193</v>
      </c>
      <c r="J349" s="11">
        <v>18.0</v>
      </c>
      <c r="K349" s="13">
        <v>42556.0</v>
      </c>
      <c r="L349" s="11"/>
      <c r="M349" s="11">
        <v>669952.0</v>
      </c>
      <c r="N349" s="11" t="s">
        <v>1195</v>
      </c>
      <c r="O349" s="4"/>
      <c r="P349" s="11">
        <v>0.0</v>
      </c>
      <c r="Q349" s="15">
        <v>0.0</v>
      </c>
      <c r="R349" s="22">
        <v>1.0</v>
      </c>
      <c r="S349">
        <f t="shared" si="1"/>
        <v>2013</v>
      </c>
      <c r="T349">
        <f t="shared" si="2"/>
        <v>11</v>
      </c>
      <c r="U349" s="4"/>
      <c r="V349" s="4"/>
      <c r="W349" s="4"/>
      <c r="X349" s="4"/>
      <c r="Y349" s="4"/>
      <c r="Z349" s="4"/>
      <c r="AA349" s="4"/>
      <c r="AB349" s="4"/>
      <c r="AC349" s="4"/>
      <c r="AD349" s="4"/>
      <c r="AE349" s="4"/>
      <c r="AF349" s="54"/>
      <c r="AG349" s="55"/>
      <c r="AH349" s="4"/>
      <c r="AI349" s="4"/>
      <c r="AJ349" s="4"/>
      <c r="AK349" s="4"/>
      <c r="AL349" s="54"/>
      <c r="AM349" s="19"/>
    </row>
    <row r="350">
      <c r="A350" s="4" t="s">
        <v>1197</v>
      </c>
      <c r="B350" s="10">
        <v>41569.0</v>
      </c>
      <c r="C350" s="11" t="s">
        <v>109</v>
      </c>
      <c r="D350" s="11" t="s">
        <v>51</v>
      </c>
      <c r="E350" s="14" t="s">
        <v>52</v>
      </c>
      <c r="F350" s="11" t="s">
        <v>53</v>
      </c>
      <c r="G350" s="14" t="s">
        <v>54</v>
      </c>
      <c r="H350" s="11" t="s">
        <v>154</v>
      </c>
      <c r="I350" s="11" t="s">
        <v>211</v>
      </c>
      <c r="J350" s="11">
        <v>24.0</v>
      </c>
      <c r="K350" s="13">
        <v>42103.0</v>
      </c>
      <c r="L350" s="11">
        <f>ROUND(((K350-B350)/365)*12)</f>
        <v>18</v>
      </c>
      <c r="M350" s="11">
        <v>518774.0</v>
      </c>
      <c r="N350" s="11">
        <v>11713.0</v>
      </c>
      <c r="O350" s="4" t="s">
        <v>59</v>
      </c>
      <c r="P350" s="11">
        <v>46.0</v>
      </c>
      <c r="Q350" s="15">
        <v>282.0</v>
      </c>
      <c r="R350" s="22">
        <v>1.0</v>
      </c>
      <c r="S350">
        <f t="shared" si="1"/>
        <v>2013</v>
      </c>
      <c r="T350">
        <f t="shared" si="2"/>
        <v>10</v>
      </c>
      <c r="U350" s="4"/>
      <c r="V350" s="4"/>
      <c r="W350" s="4"/>
      <c r="X350" s="4"/>
      <c r="Y350" s="4"/>
      <c r="Z350" s="4"/>
      <c r="AA350" s="4"/>
      <c r="AB350" s="4"/>
      <c r="AC350" s="4"/>
      <c r="AD350" s="4">
        <v>26.0</v>
      </c>
      <c r="AE350" s="4">
        <v>26.0</v>
      </c>
      <c r="AF350" s="54">
        <v>178.333</v>
      </c>
      <c r="AG350" s="55">
        <v>0.232</v>
      </c>
      <c r="AH350" s="4">
        <v>64.0</v>
      </c>
      <c r="AI350" s="4">
        <v>53.0</v>
      </c>
      <c r="AJ350" s="4">
        <v>16.0</v>
      </c>
      <c r="AK350" s="4">
        <v>16.0</v>
      </c>
      <c r="AL350" s="54">
        <v>105.333</v>
      </c>
      <c r="AM350" s="19"/>
    </row>
    <row r="351">
      <c r="A351" s="4" t="s">
        <v>1198</v>
      </c>
      <c r="B351" s="10">
        <v>41565.0</v>
      </c>
      <c r="C351" s="11" t="s">
        <v>382</v>
      </c>
      <c r="D351" s="11" t="s">
        <v>170</v>
      </c>
      <c r="E351" s="11" t="s">
        <v>834</v>
      </c>
      <c r="F351" s="11" t="s">
        <v>53</v>
      </c>
      <c r="G351" s="11" t="s">
        <v>54</v>
      </c>
      <c r="H351" s="11" t="s">
        <v>92</v>
      </c>
      <c r="I351" s="11"/>
      <c r="J351" s="11">
        <v>18.0</v>
      </c>
      <c r="K351" s="13">
        <v>42177.0</v>
      </c>
      <c r="L351" s="14"/>
      <c r="M351" s="11">
        <v>663527.0</v>
      </c>
      <c r="N351" s="11" t="s">
        <v>1199</v>
      </c>
      <c r="O351" s="4"/>
      <c r="P351" s="11">
        <v>0.0</v>
      </c>
      <c r="Q351" s="15">
        <v>0.0</v>
      </c>
      <c r="R351" s="22">
        <v>1.0</v>
      </c>
      <c r="S351">
        <f t="shared" si="1"/>
        <v>2013</v>
      </c>
      <c r="T351">
        <f t="shared" si="2"/>
        <v>10</v>
      </c>
      <c r="AF351" s="18"/>
      <c r="AG351" s="19"/>
      <c r="AL351" s="18"/>
      <c r="AM351" s="19"/>
    </row>
    <row r="352">
      <c r="A352" s="4" t="s">
        <v>1200</v>
      </c>
      <c r="B352" s="10">
        <v>41555.0</v>
      </c>
      <c r="C352" s="11" t="s">
        <v>97</v>
      </c>
      <c r="D352" s="11" t="s">
        <v>151</v>
      </c>
      <c r="E352" s="11" t="s">
        <v>52</v>
      </c>
      <c r="F352" s="11" t="s">
        <v>53</v>
      </c>
      <c r="G352" s="11" t="s">
        <v>54</v>
      </c>
      <c r="H352" s="11" t="s">
        <v>250</v>
      </c>
      <c r="I352" s="11" t="s">
        <v>698</v>
      </c>
      <c r="J352" s="11">
        <v>20.0</v>
      </c>
      <c r="K352" s="13">
        <v>42177.0</v>
      </c>
      <c r="L352" s="14"/>
      <c r="M352" s="11">
        <v>664955.0</v>
      </c>
      <c r="N352" s="11" t="s">
        <v>1201</v>
      </c>
      <c r="O352" s="4"/>
      <c r="P352" s="11">
        <v>0.0</v>
      </c>
      <c r="Q352" s="15">
        <v>0.0</v>
      </c>
      <c r="R352" s="22">
        <v>1.0</v>
      </c>
      <c r="S352">
        <f t="shared" si="1"/>
        <v>2013</v>
      </c>
      <c r="T352">
        <f t="shared" si="2"/>
        <v>10</v>
      </c>
      <c r="AF352" s="18"/>
      <c r="AG352" s="19"/>
      <c r="AL352" s="18"/>
      <c r="AM352" s="19"/>
    </row>
    <row r="353">
      <c r="A353" s="4" t="s">
        <v>1202</v>
      </c>
      <c r="B353" s="10">
        <v>41551.0</v>
      </c>
      <c r="C353" s="11" t="s">
        <v>103</v>
      </c>
      <c r="D353" s="11" t="s">
        <v>210</v>
      </c>
      <c r="E353" s="22" t="s">
        <v>264</v>
      </c>
      <c r="F353" s="11" t="s">
        <v>53</v>
      </c>
      <c r="G353" s="14" t="s">
        <v>54</v>
      </c>
      <c r="H353" s="11" t="s">
        <v>92</v>
      </c>
      <c r="I353" s="11" t="s">
        <v>139</v>
      </c>
      <c r="J353" s="11">
        <v>21.0</v>
      </c>
      <c r="K353" s="13">
        <v>41766.0</v>
      </c>
      <c r="L353" s="11">
        <f t="shared" ref="L353:L361" si="32">ROUND(((K353-B353)/365)*12)</f>
        <v>7</v>
      </c>
      <c r="M353" s="11">
        <v>595284.0</v>
      </c>
      <c r="N353" s="11" t="s">
        <v>1203</v>
      </c>
      <c r="P353" s="11">
        <v>0.0</v>
      </c>
      <c r="Q353" s="15">
        <v>0.0</v>
      </c>
      <c r="R353" s="22">
        <v>1.0</v>
      </c>
      <c r="S353">
        <f t="shared" si="1"/>
        <v>2013</v>
      </c>
      <c r="T353">
        <f t="shared" si="2"/>
        <v>10</v>
      </c>
      <c r="AF353" s="18"/>
      <c r="AG353" s="19"/>
      <c r="AL353" s="18"/>
      <c r="AM353" s="19"/>
    </row>
    <row r="354">
      <c r="A354" s="4" t="s">
        <v>1204</v>
      </c>
      <c r="B354" s="10">
        <v>41548.0</v>
      </c>
      <c r="C354" s="11" t="s">
        <v>229</v>
      </c>
      <c r="D354" s="11" t="s">
        <v>124</v>
      </c>
      <c r="E354" s="11" t="s">
        <v>52</v>
      </c>
      <c r="F354" s="11" t="s">
        <v>76</v>
      </c>
      <c r="G354" s="11" t="s">
        <v>54</v>
      </c>
      <c r="H354" s="11" t="s">
        <v>126</v>
      </c>
      <c r="I354" s="11"/>
      <c r="J354" s="11">
        <v>19.0</v>
      </c>
      <c r="K354" s="13">
        <v>42106.0</v>
      </c>
      <c r="L354" s="11">
        <f t="shared" si="32"/>
        <v>18</v>
      </c>
      <c r="M354" s="11">
        <v>621331.0</v>
      </c>
      <c r="N354" s="11" t="s">
        <v>1205</v>
      </c>
      <c r="O354" s="4"/>
      <c r="P354" s="11">
        <v>0.0</v>
      </c>
      <c r="Q354" s="15">
        <v>0.0</v>
      </c>
      <c r="R354" s="22">
        <v>1.0</v>
      </c>
      <c r="S354">
        <f t="shared" si="1"/>
        <v>2013</v>
      </c>
      <c r="T354">
        <f t="shared" si="2"/>
        <v>10</v>
      </c>
      <c r="AF354" s="18"/>
      <c r="AG354" s="19"/>
      <c r="AL354" s="18"/>
      <c r="AM354" s="19"/>
    </row>
    <row r="355">
      <c r="A355" s="4" t="s">
        <v>1207</v>
      </c>
      <c r="B355" s="10">
        <v>41548.0</v>
      </c>
      <c r="C355" s="11" t="s">
        <v>331</v>
      </c>
      <c r="D355" s="11" t="s">
        <v>82</v>
      </c>
      <c r="E355" s="11" t="s">
        <v>52</v>
      </c>
      <c r="F355" s="11" t="s">
        <v>76</v>
      </c>
      <c r="G355" s="11" t="s">
        <v>299</v>
      </c>
      <c r="H355" s="11"/>
      <c r="I355" s="11"/>
      <c r="J355" s="11">
        <v>24.0</v>
      </c>
      <c r="K355" s="33">
        <v>42174.0</v>
      </c>
      <c r="L355" s="11">
        <f t="shared" si="32"/>
        <v>21</v>
      </c>
      <c r="M355" s="11">
        <v>612272.0</v>
      </c>
      <c r="N355" s="11">
        <v>14077.0</v>
      </c>
      <c r="O355" s="4"/>
      <c r="P355" s="11">
        <v>7.0</v>
      </c>
      <c r="Q355" s="15">
        <v>5.667</v>
      </c>
      <c r="R355" s="22">
        <v>1.0</v>
      </c>
      <c r="S355">
        <f t="shared" si="1"/>
        <v>2013</v>
      </c>
      <c r="T355">
        <f t="shared" si="2"/>
        <v>10</v>
      </c>
      <c r="AF355" s="18"/>
      <c r="AG355" s="19"/>
      <c r="AL355" s="18"/>
      <c r="AM355" s="19"/>
    </row>
    <row r="356">
      <c r="A356" s="4" t="s">
        <v>1208</v>
      </c>
      <c r="B356" s="10">
        <v>41541.0</v>
      </c>
      <c r="C356" s="11" t="s">
        <v>96</v>
      </c>
      <c r="D356" s="11" t="s">
        <v>51</v>
      </c>
      <c r="E356" s="14" t="s">
        <v>52</v>
      </c>
      <c r="F356" s="11" t="s">
        <v>76</v>
      </c>
      <c r="G356" s="14" t="s">
        <v>54</v>
      </c>
      <c r="H356" s="11" t="s">
        <v>344</v>
      </c>
      <c r="I356" s="11" t="s">
        <v>1209</v>
      </c>
      <c r="J356" s="11">
        <v>28.0</v>
      </c>
      <c r="K356" s="13">
        <v>42239.0</v>
      </c>
      <c r="L356" s="11">
        <f t="shared" si="32"/>
        <v>23</v>
      </c>
      <c r="M356" s="11">
        <v>519186.0</v>
      </c>
      <c r="N356" s="11">
        <v>8887.0</v>
      </c>
      <c r="O356" s="4" t="s">
        <v>59</v>
      </c>
      <c r="P356" s="11">
        <v>26.0</v>
      </c>
      <c r="Q356" s="15">
        <v>19.667</v>
      </c>
      <c r="R356" s="22">
        <v>1.0</v>
      </c>
      <c r="S356">
        <f t="shared" si="1"/>
        <v>2013</v>
      </c>
      <c r="T356">
        <f t="shared" si="2"/>
        <v>9</v>
      </c>
      <c r="AF356" s="18"/>
      <c r="AG356" s="19"/>
      <c r="AL356" s="18"/>
      <c r="AM356" s="19"/>
    </row>
    <row r="357">
      <c r="A357" s="4" t="s">
        <v>1210</v>
      </c>
      <c r="B357" s="10">
        <v>41534.0</v>
      </c>
      <c r="C357" s="11" t="s">
        <v>382</v>
      </c>
      <c r="D357" s="11" t="s">
        <v>51</v>
      </c>
      <c r="E357" s="14" t="s">
        <v>52</v>
      </c>
      <c r="F357" s="11" t="s">
        <v>53</v>
      </c>
      <c r="G357" s="22" t="s">
        <v>265</v>
      </c>
      <c r="H357" s="14"/>
      <c r="I357" s="14"/>
      <c r="J357" s="11">
        <v>38.0</v>
      </c>
      <c r="K357" s="13">
        <v>42100.0</v>
      </c>
      <c r="L357" s="11">
        <f t="shared" si="32"/>
        <v>19</v>
      </c>
      <c r="M357" s="11">
        <v>429783.0</v>
      </c>
      <c r="N357" s="11">
        <v>177.0</v>
      </c>
      <c r="O357" s="4" t="s">
        <v>59</v>
      </c>
      <c r="P357" s="11">
        <v>45.0</v>
      </c>
      <c r="Q357" s="15">
        <v>39.333</v>
      </c>
      <c r="R357" s="22">
        <v>0.0</v>
      </c>
      <c r="S357">
        <f t="shared" si="1"/>
        <v>2013</v>
      </c>
      <c r="T357">
        <f t="shared" si="2"/>
        <v>9</v>
      </c>
      <c r="AF357" s="18"/>
      <c r="AG357" s="19"/>
      <c r="AL357" s="18"/>
      <c r="AM357" s="19"/>
    </row>
    <row r="358">
      <c r="A358" s="4" t="s">
        <v>1211</v>
      </c>
      <c r="B358" s="10">
        <v>41534.0</v>
      </c>
      <c r="C358" s="11" t="s">
        <v>123</v>
      </c>
      <c r="D358" s="11" t="s">
        <v>91</v>
      </c>
      <c r="E358" s="14" t="s">
        <v>52</v>
      </c>
      <c r="F358" s="11" t="s">
        <v>53</v>
      </c>
      <c r="G358" s="14" t="s">
        <v>54</v>
      </c>
      <c r="H358" s="11" t="s">
        <v>126</v>
      </c>
      <c r="I358" s="11" t="s">
        <v>1122</v>
      </c>
      <c r="J358" s="11">
        <v>22.0</v>
      </c>
      <c r="K358" s="13">
        <v>42104.0</v>
      </c>
      <c r="L358" s="11">
        <f t="shared" si="32"/>
        <v>19</v>
      </c>
      <c r="M358" s="11">
        <v>608638.0</v>
      </c>
      <c r="N358" s="11">
        <v>13767.0</v>
      </c>
      <c r="P358" s="11">
        <v>25.0</v>
      </c>
      <c r="Q358" s="15">
        <v>23.0</v>
      </c>
      <c r="R358" s="22">
        <v>1.0</v>
      </c>
      <c r="S358">
        <f t="shared" si="1"/>
        <v>2013</v>
      </c>
      <c r="T358">
        <f t="shared" si="2"/>
        <v>9</v>
      </c>
      <c r="AF358" s="18"/>
      <c r="AG358" s="19"/>
      <c r="AL358" s="18"/>
      <c r="AM358" s="19"/>
    </row>
    <row r="359">
      <c r="A359" s="4" t="s">
        <v>1212</v>
      </c>
      <c r="B359" s="10">
        <v>41528.0</v>
      </c>
      <c r="C359" s="11" t="s">
        <v>382</v>
      </c>
      <c r="D359" s="11" t="s">
        <v>82</v>
      </c>
      <c r="E359" s="14" t="s">
        <v>52</v>
      </c>
      <c r="F359" s="11" t="s">
        <v>53</v>
      </c>
      <c r="G359" s="14" t="s">
        <v>54</v>
      </c>
      <c r="H359" s="11" t="s">
        <v>344</v>
      </c>
      <c r="I359" s="11" t="s">
        <v>1214</v>
      </c>
      <c r="J359" s="11">
        <v>24.0</v>
      </c>
      <c r="K359" s="13">
        <v>41820.0</v>
      </c>
      <c r="L359" s="11">
        <f t="shared" si="32"/>
        <v>10</v>
      </c>
      <c r="M359" s="11">
        <v>592573.0</v>
      </c>
      <c r="N359" s="11" t="s">
        <v>1215</v>
      </c>
      <c r="P359" s="11">
        <v>0.0</v>
      </c>
      <c r="Q359" s="15">
        <v>0.0</v>
      </c>
      <c r="R359" s="11">
        <v>0.0</v>
      </c>
      <c r="S359">
        <f t="shared" si="1"/>
        <v>2013</v>
      </c>
      <c r="T359">
        <f t="shared" si="2"/>
        <v>9</v>
      </c>
      <c r="AF359" s="18"/>
      <c r="AG359" s="19"/>
      <c r="AL359" s="18"/>
      <c r="AM359" s="19"/>
    </row>
    <row r="360">
      <c r="A360" s="4" t="s">
        <v>1216</v>
      </c>
      <c r="B360" s="10">
        <v>41528.0</v>
      </c>
      <c r="C360" s="11" t="s">
        <v>229</v>
      </c>
      <c r="D360" s="11" t="s">
        <v>82</v>
      </c>
      <c r="E360" s="11" t="s">
        <v>52</v>
      </c>
      <c r="F360" s="11" t="s">
        <v>53</v>
      </c>
      <c r="G360" s="11" t="s">
        <v>54</v>
      </c>
      <c r="H360" s="11" t="s">
        <v>92</v>
      </c>
      <c r="I360" s="11"/>
      <c r="J360" s="11">
        <v>22.0</v>
      </c>
      <c r="K360" s="13">
        <v>42216.0</v>
      </c>
      <c r="L360" s="11">
        <f t="shared" si="32"/>
        <v>23</v>
      </c>
      <c r="M360" s="11">
        <v>572044.0</v>
      </c>
      <c r="N360" s="11">
        <v>10387.0</v>
      </c>
      <c r="P360" s="11">
        <v>13.0</v>
      </c>
      <c r="Q360" s="15">
        <v>12.667</v>
      </c>
      <c r="R360" s="22">
        <v>1.0</v>
      </c>
      <c r="S360">
        <f t="shared" si="1"/>
        <v>2013</v>
      </c>
      <c r="T360">
        <f t="shared" si="2"/>
        <v>9</v>
      </c>
      <c r="AF360" s="18"/>
      <c r="AG360" s="19"/>
      <c r="AL360" s="18"/>
      <c r="AM360" s="19"/>
    </row>
    <row r="361">
      <c r="A361" s="4" t="s">
        <v>1217</v>
      </c>
      <c r="B361" s="10">
        <v>41518.0</v>
      </c>
      <c r="C361" s="11" t="s">
        <v>133</v>
      </c>
      <c r="D361" s="11" t="s">
        <v>91</v>
      </c>
      <c r="E361" s="14" t="s">
        <v>52</v>
      </c>
      <c r="F361" s="11" t="s">
        <v>53</v>
      </c>
      <c r="G361" s="14" t="s">
        <v>54</v>
      </c>
      <c r="H361" s="11" t="s">
        <v>92</v>
      </c>
      <c r="I361" s="11"/>
      <c r="J361" s="11">
        <v>18.0</v>
      </c>
      <c r="K361" s="13">
        <v>41830.0</v>
      </c>
      <c r="L361" s="11">
        <f t="shared" si="32"/>
        <v>10</v>
      </c>
      <c r="M361" s="11">
        <v>642100.0</v>
      </c>
      <c r="N361" s="11" t="s">
        <v>1218</v>
      </c>
      <c r="P361" s="11">
        <v>0.0</v>
      </c>
      <c r="Q361" s="15">
        <v>0.0</v>
      </c>
      <c r="R361" s="22">
        <v>1.0</v>
      </c>
      <c r="S361">
        <f t="shared" si="1"/>
        <v>2013</v>
      </c>
      <c r="T361">
        <f t="shared" si="2"/>
        <v>9</v>
      </c>
      <c r="AF361" s="18"/>
      <c r="AG361" s="19"/>
      <c r="AL361" s="18"/>
      <c r="AM361" s="19"/>
    </row>
    <row r="362">
      <c r="A362" s="4" t="s">
        <v>493</v>
      </c>
      <c r="B362" s="10">
        <v>41514.0</v>
      </c>
      <c r="C362" s="11" t="s">
        <v>109</v>
      </c>
      <c r="D362" s="11" t="s">
        <v>51</v>
      </c>
      <c r="E362" s="14" t="s">
        <v>52</v>
      </c>
      <c r="F362" s="11" t="s">
        <v>53</v>
      </c>
      <c r="G362" s="14" t="s">
        <v>54</v>
      </c>
      <c r="H362" s="11" t="s">
        <v>218</v>
      </c>
      <c r="I362" s="11" t="s">
        <v>796</v>
      </c>
      <c r="J362" s="11">
        <v>27.0</v>
      </c>
      <c r="K362" s="14"/>
      <c r="L362" s="14"/>
      <c r="M362" s="11">
        <v>458550.0</v>
      </c>
      <c r="N362" s="11">
        <v>1989.0</v>
      </c>
      <c r="O362" s="4" t="s">
        <v>287</v>
      </c>
      <c r="P362" s="11">
        <v>0.0</v>
      </c>
      <c r="Q362" s="32">
        <v>0.0</v>
      </c>
      <c r="R362" s="22">
        <v>0.0</v>
      </c>
      <c r="S362">
        <f t="shared" si="1"/>
        <v>2013</v>
      </c>
      <c r="T362">
        <f t="shared" si="2"/>
        <v>8</v>
      </c>
      <c r="U362" s="20">
        <v>41687.0</v>
      </c>
      <c r="V362" s="20">
        <v>41800.0</v>
      </c>
      <c r="X362" s="20">
        <v>41824.0</v>
      </c>
      <c r="Y362" s="20">
        <v>41832.0</v>
      </c>
      <c r="Z362" s="20">
        <v>41857.0</v>
      </c>
      <c r="AA362" s="4" t="s">
        <v>741</v>
      </c>
      <c r="AF362" s="18"/>
      <c r="AG362" s="19"/>
      <c r="AL362" s="18"/>
      <c r="AM362" s="19"/>
    </row>
    <row r="363">
      <c r="A363" s="4" t="s">
        <v>1219</v>
      </c>
      <c r="B363" s="10">
        <v>41487.0</v>
      </c>
      <c r="C363" s="11" t="s">
        <v>142</v>
      </c>
      <c r="D363" s="11" t="s">
        <v>91</v>
      </c>
      <c r="E363" s="11" t="s">
        <v>52</v>
      </c>
      <c r="F363" s="11" t="s">
        <v>76</v>
      </c>
      <c r="G363" s="11" t="s">
        <v>83</v>
      </c>
      <c r="H363" s="11"/>
      <c r="I363" s="11"/>
      <c r="J363" s="11">
        <v>18.0</v>
      </c>
      <c r="K363" s="14"/>
      <c r="L363" s="14"/>
      <c r="M363" s="11">
        <v>623909.0</v>
      </c>
      <c r="N363" s="11" t="s">
        <v>1220</v>
      </c>
      <c r="P363" s="11">
        <v>0.0</v>
      </c>
      <c r="Q363" s="15">
        <v>0.0</v>
      </c>
      <c r="R363" s="11">
        <v>0.0</v>
      </c>
      <c r="S363">
        <f t="shared" si="1"/>
        <v>2013</v>
      </c>
      <c r="T363">
        <f t="shared" si="2"/>
        <v>8</v>
      </c>
      <c r="AF363" s="18"/>
      <c r="AG363" s="19"/>
      <c r="AL363" s="18"/>
      <c r="AM363" s="19"/>
    </row>
    <row r="364">
      <c r="A364" s="4" t="s">
        <v>1221</v>
      </c>
      <c r="B364" s="10">
        <v>41487.0</v>
      </c>
      <c r="C364" s="11" t="s">
        <v>209</v>
      </c>
      <c r="D364" s="11" t="s">
        <v>82</v>
      </c>
      <c r="E364" s="14" t="s">
        <v>52</v>
      </c>
      <c r="F364" s="11" t="s">
        <v>76</v>
      </c>
      <c r="G364" s="14" t="s">
        <v>54</v>
      </c>
      <c r="H364" s="11" t="s">
        <v>322</v>
      </c>
      <c r="I364" s="11" t="s">
        <v>1222</v>
      </c>
      <c r="J364" s="11">
        <v>27.0</v>
      </c>
      <c r="K364" s="14"/>
      <c r="L364" s="14"/>
      <c r="M364" s="11">
        <v>543463.0</v>
      </c>
      <c r="N364" s="11" t="s">
        <v>1223</v>
      </c>
      <c r="P364" s="11">
        <v>0.0</v>
      </c>
      <c r="Q364" s="15">
        <v>0.0</v>
      </c>
      <c r="R364" s="11">
        <v>0.0</v>
      </c>
      <c r="S364">
        <f t="shared" si="1"/>
        <v>2013</v>
      </c>
      <c r="T364">
        <f t="shared" si="2"/>
        <v>8</v>
      </c>
      <c r="AF364" s="18"/>
      <c r="AG364" s="19"/>
      <c r="AL364" s="18"/>
      <c r="AM364" s="19"/>
    </row>
    <row r="365">
      <c r="A365" s="4" t="s">
        <v>1224</v>
      </c>
      <c r="B365" s="10">
        <v>41487.0</v>
      </c>
      <c r="C365" s="11" t="s">
        <v>209</v>
      </c>
      <c r="D365" s="11" t="s">
        <v>82</v>
      </c>
      <c r="E365" s="14" t="s">
        <v>52</v>
      </c>
      <c r="F365" s="11" t="s">
        <v>53</v>
      </c>
      <c r="G365" s="14" t="s">
        <v>54</v>
      </c>
      <c r="H365" s="11" t="s">
        <v>218</v>
      </c>
      <c r="I365" s="11"/>
      <c r="J365" s="11">
        <v>23.0</v>
      </c>
      <c r="K365" s="13">
        <v>42103.0</v>
      </c>
      <c r="L365" s="11">
        <f t="shared" ref="L365:L368" si="33">ROUND(((K365-B365)/365)*12)</f>
        <v>20</v>
      </c>
      <c r="M365" s="11">
        <v>542989.0</v>
      </c>
      <c r="N365" s="11" t="s">
        <v>1226</v>
      </c>
      <c r="P365" s="11">
        <v>0.0</v>
      </c>
      <c r="Q365" s="15">
        <v>0.0</v>
      </c>
      <c r="R365" s="22">
        <v>1.0</v>
      </c>
      <c r="S365">
        <f t="shared" si="1"/>
        <v>2013</v>
      </c>
      <c r="T365">
        <f t="shared" si="2"/>
        <v>8</v>
      </c>
      <c r="AF365" s="18"/>
      <c r="AG365" s="19"/>
      <c r="AL365" s="18"/>
      <c r="AM365" s="19"/>
    </row>
    <row r="366">
      <c r="A366" s="4" t="s">
        <v>1228</v>
      </c>
      <c r="B366" s="10">
        <v>41487.0</v>
      </c>
      <c r="C366" s="11" t="s">
        <v>259</v>
      </c>
      <c r="D366" s="11" t="s">
        <v>124</v>
      </c>
      <c r="E366" s="11" t="s">
        <v>52</v>
      </c>
      <c r="F366" s="11" t="s">
        <v>53</v>
      </c>
      <c r="G366" s="11" t="s">
        <v>54</v>
      </c>
      <c r="H366" s="11" t="s">
        <v>92</v>
      </c>
      <c r="I366" s="11" t="s">
        <v>1229</v>
      </c>
      <c r="J366" s="11">
        <v>21.0</v>
      </c>
      <c r="K366" s="13">
        <v>41836.0</v>
      </c>
      <c r="L366" s="11">
        <f t="shared" si="33"/>
        <v>11</v>
      </c>
      <c r="M366" s="11">
        <v>592165.0</v>
      </c>
      <c r="N366" s="11" t="s">
        <v>1230</v>
      </c>
      <c r="P366" s="11">
        <v>0.0</v>
      </c>
      <c r="Q366" s="15">
        <v>0.0</v>
      </c>
      <c r="R366" s="22">
        <v>1.0</v>
      </c>
      <c r="S366">
        <f t="shared" si="1"/>
        <v>2013</v>
      </c>
      <c r="T366">
        <f t="shared" si="2"/>
        <v>8</v>
      </c>
      <c r="AF366" s="18"/>
      <c r="AG366" s="19"/>
      <c r="AL366" s="18"/>
      <c r="AM366" s="19"/>
    </row>
    <row r="367">
      <c r="A367" s="4" t="s">
        <v>1231</v>
      </c>
      <c r="B367" s="10">
        <v>41487.0</v>
      </c>
      <c r="C367" s="11" t="s">
        <v>159</v>
      </c>
      <c r="D367" s="11" t="s">
        <v>75</v>
      </c>
      <c r="E367" s="11" t="s">
        <v>52</v>
      </c>
      <c r="F367" s="11" t="s">
        <v>76</v>
      </c>
      <c r="G367" s="11" t="s">
        <v>54</v>
      </c>
      <c r="H367" s="11" t="s">
        <v>344</v>
      </c>
      <c r="I367" s="11" t="s">
        <v>1232</v>
      </c>
      <c r="J367" s="11">
        <v>31.0</v>
      </c>
      <c r="K367" s="13">
        <v>42117.0</v>
      </c>
      <c r="L367" s="11">
        <f t="shared" si="33"/>
        <v>21</v>
      </c>
      <c r="M367" s="11">
        <v>435619.0</v>
      </c>
      <c r="N367" s="11">
        <v>5909.0</v>
      </c>
      <c r="P367" s="11">
        <v>0.0</v>
      </c>
      <c r="Q367" s="15">
        <v>0.0</v>
      </c>
      <c r="R367" s="11">
        <v>0.0</v>
      </c>
      <c r="S367">
        <f t="shared" si="1"/>
        <v>2013</v>
      </c>
      <c r="T367">
        <f t="shared" si="2"/>
        <v>8</v>
      </c>
      <c r="AF367" s="18"/>
      <c r="AG367" s="19"/>
      <c r="AL367" s="18"/>
      <c r="AM367" s="19"/>
    </row>
    <row r="368">
      <c r="A368" s="4" t="s">
        <v>1233</v>
      </c>
      <c r="B368" s="10">
        <v>41487.0</v>
      </c>
      <c r="C368" s="11" t="s">
        <v>108</v>
      </c>
      <c r="D368" s="11" t="s">
        <v>91</v>
      </c>
      <c r="E368" s="11" t="s">
        <v>52</v>
      </c>
      <c r="F368" s="11" t="s">
        <v>53</v>
      </c>
      <c r="G368" s="11" t="s">
        <v>54</v>
      </c>
      <c r="H368" s="11" t="s">
        <v>260</v>
      </c>
      <c r="I368" s="11" t="s">
        <v>1234</v>
      </c>
      <c r="J368" s="11">
        <v>22.0</v>
      </c>
      <c r="K368" s="13">
        <v>41837.0</v>
      </c>
      <c r="L368" s="11">
        <f t="shared" si="33"/>
        <v>12</v>
      </c>
      <c r="M368" s="11">
        <v>596211.0</v>
      </c>
      <c r="N368" s="11" t="s">
        <v>1235</v>
      </c>
      <c r="P368" s="11">
        <v>0.0</v>
      </c>
      <c r="Q368" s="15">
        <v>0.0</v>
      </c>
      <c r="R368" s="22">
        <v>1.0</v>
      </c>
      <c r="S368">
        <f t="shared" si="1"/>
        <v>2013</v>
      </c>
      <c r="T368">
        <f t="shared" si="2"/>
        <v>8</v>
      </c>
      <c r="AF368" s="18"/>
      <c r="AG368" s="19"/>
      <c r="AL368" s="18"/>
      <c r="AM368" s="19"/>
    </row>
    <row r="369">
      <c r="A369" s="4" t="s">
        <v>1237</v>
      </c>
      <c r="B369" s="10">
        <v>41487.0</v>
      </c>
      <c r="C369" s="11" t="s">
        <v>123</v>
      </c>
      <c r="D369" s="11" t="s">
        <v>82</v>
      </c>
      <c r="E369" s="14" t="s">
        <v>52</v>
      </c>
      <c r="F369" s="11" t="s">
        <v>53</v>
      </c>
      <c r="G369" s="22" t="s">
        <v>1238</v>
      </c>
      <c r="H369" s="14"/>
      <c r="I369" s="14"/>
      <c r="J369" s="11">
        <v>24.0</v>
      </c>
      <c r="K369" s="14"/>
      <c r="L369" s="14"/>
      <c r="M369" s="11">
        <v>521232.0</v>
      </c>
      <c r="N369" s="11" t="s">
        <v>1239</v>
      </c>
      <c r="P369" s="11">
        <v>0.0</v>
      </c>
      <c r="Q369" s="15">
        <v>0.0</v>
      </c>
      <c r="R369" s="11">
        <v>0.0</v>
      </c>
      <c r="S369">
        <f t="shared" si="1"/>
        <v>2013</v>
      </c>
      <c r="T369">
        <f t="shared" si="2"/>
        <v>8</v>
      </c>
      <c r="AF369" s="18"/>
      <c r="AG369" s="19"/>
      <c r="AL369" s="18"/>
      <c r="AM369" s="19"/>
    </row>
    <row r="370">
      <c r="A370" s="4" t="s">
        <v>1240</v>
      </c>
      <c r="B370" s="10">
        <v>41486.0</v>
      </c>
      <c r="C370" s="11" t="s">
        <v>229</v>
      </c>
      <c r="D370" s="11" t="s">
        <v>124</v>
      </c>
      <c r="E370" s="11" t="s">
        <v>52</v>
      </c>
      <c r="F370" s="11" t="s">
        <v>53</v>
      </c>
      <c r="G370" s="11" t="s">
        <v>54</v>
      </c>
      <c r="H370" s="11" t="s">
        <v>204</v>
      </c>
      <c r="I370" s="11" t="s">
        <v>204</v>
      </c>
      <c r="J370" s="11">
        <v>21.0</v>
      </c>
      <c r="K370" s="13">
        <v>41843.0</v>
      </c>
      <c r="L370" s="11">
        <f t="shared" ref="L370:L383" si="34">ROUND(((K370-B370)/365)*12)</f>
        <v>12</v>
      </c>
      <c r="M370" s="11">
        <v>621219.0</v>
      </c>
      <c r="N370" s="11">
        <v>13834.0</v>
      </c>
      <c r="O370" s="4"/>
      <c r="P370" s="11">
        <v>3.0</v>
      </c>
      <c r="Q370" s="15">
        <v>3.333</v>
      </c>
      <c r="R370" s="22">
        <v>1.0</v>
      </c>
      <c r="S370">
        <f t="shared" si="1"/>
        <v>2013</v>
      </c>
      <c r="T370">
        <f t="shared" si="2"/>
        <v>7</v>
      </c>
      <c r="U370" s="4"/>
      <c r="V370" s="4"/>
      <c r="W370" s="4"/>
      <c r="X370" s="4"/>
      <c r="Y370" s="4"/>
      <c r="Z370" s="4"/>
      <c r="AA370" s="4"/>
      <c r="AB370" s="4"/>
      <c r="AC370" s="4"/>
      <c r="AD370" s="4"/>
      <c r="AE370" s="4"/>
      <c r="AF370" s="54"/>
      <c r="AG370" s="55"/>
      <c r="AH370" s="4"/>
      <c r="AI370" s="4"/>
      <c r="AJ370" s="4"/>
      <c r="AK370" s="4"/>
      <c r="AL370" s="54"/>
      <c r="AM370" s="55"/>
      <c r="AN370" s="4"/>
      <c r="AO370" s="4"/>
    </row>
    <row r="371">
      <c r="A371" s="4" t="s">
        <v>1241</v>
      </c>
      <c r="B371" s="10">
        <v>41485.0</v>
      </c>
      <c r="C371" s="11" t="s">
        <v>49</v>
      </c>
      <c r="D371" s="11" t="s">
        <v>51</v>
      </c>
      <c r="E371" s="14" t="s">
        <v>52</v>
      </c>
      <c r="F371" s="11" t="s">
        <v>53</v>
      </c>
      <c r="G371" s="14" t="s">
        <v>54</v>
      </c>
      <c r="H371" s="11" t="s">
        <v>153</v>
      </c>
      <c r="I371" s="11"/>
      <c r="J371" s="11">
        <v>34.0</v>
      </c>
      <c r="K371" s="13">
        <v>42104.0</v>
      </c>
      <c r="L371" s="11">
        <f t="shared" si="34"/>
        <v>20</v>
      </c>
      <c r="M371" s="11">
        <v>150302.0</v>
      </c>
      <c r="N371" s="11">
        <v>105.0</v>
      </c>
      <c r="O371" s="4" t="s">
        <v>224</v>
      </c>
      <c r="P371" s="11">
        <v>9.0</v>
      </c>
      <c r="Q371" s="15">
        <v>47.333</v>
      </c>
      <c r="R371" s="11">
        <v>0.0</v>
      </c>
      <c r="S371">
        <f t="shared" si="1"/>
        <v>2013</v>
      </c>
      <c r="T371">
        <f t="shared" si="2"/>
        <v>7</v>
      </c>
      <c r="U371" s="4"/>
      <c r="V371" s="4"/>
      <c r="W371" s="4"/>
      <c r="X371" s="4"/>
      <c r="Y371" s="4"/>
      <c r="Z371" s="4"/>
      <c r="AA371" s="4"/>
      <c r="AB371" s="4"/>
      <c r="AC371" s="4"/>
      <c r="AD371" s="4">
        <v>20.0</v>
      </c>
      <c r="AE371" s="4">
        <v>20.0</v>
      </c>
      <c r="AF371" s="54">
        <v>117.667</v>
      </c>
      <c r="AG371" s="55">
        <v>0.008</v>
      </c>
      <c r="AH371" s="4">
        <v>115.0</v>
      </c>
      <c r="AI371" s="4">
        <v>153.0</v>
      </c>
      <c r="AJ371" s="4">
        <v>9.0</v>
      </c>
      <c r="AK371" s="4">
        <v>9.0</v>
      </c>
      <c r="AL371" s="54">
        <v>47.333</v>
      </c>
      <c r="AM371" s="55">
        <v>0.106</v>
      </c>
      <c r="AN371" s="4">
        <v>167.0</v>
      </c>
      <c r="AO371" s="4">
        <v>134.0</v>
      </c>
    </row>
    <row r="372">
      <c r="A372" s="4" t="s">
        <v>1242</v>
      </c>
      <c r="B372" s="10">
        <v>41485.0</v>
      </c>
      <c r="C372" s="11" t="s">
        <v>711</v>
      </c>
      <c r="D372" s="11" t="s">
        <v>124</v>
      </c>
      <c r="E372" s="14" t="s">
        <v>52</v>
      </c>
      <c r="F372" s="11" t="s">
        <v>53</v>
      </c>
      <c r="G372" s="22" t="s">
        <v>582</v>
      </c>
      <c r="H372" s="14"/>
      <c r="I372" s="14"/>
      <c r="J372" s="11">
        <v>18.0</v>
      </c>
      <c r="K372" s="13">
        <v>41852.0</v>
      </c>
      <c r="L372" s="11">
        <f t="shared" si="34"/>
        <v>12</v>
      </c>
      <c r="M372" s="11">
        <v>532077.0</v>
      </c>
      <c r="N372" s="11">
        <v>13764.0</v>
      </c>
      <c r="P372" s="11">
        <v>140.0</v>
      </c>
      <c r="Q372" s="15">
        <v>143.667</v>
      </c>
      <c r="R372" s="22">
        <v>1.0</v>
      </c>
      <c r="S372">
        <f t="shared" si="1"/>
        <v>2013</v>
      </c>
      <c r="T372">
        <f t="shared" si="2"/>
        <v>7</v>
      </c>
      <c r="AF372" s="18"/>
      <c r="AG372" s="19"/>
      <c r="AL372" s="18"/>
      <c r="AM372" s="19"/>
    </row>
    <row r="373">
      <c r="A373" s="4" t="s">
        <v>1244</v>
      </c>
      <c r="B373" s="10">
        <v>41479.0</v>
      </c>
      <c r="C373" s="11" t="s">
        <v>130</v>
      </c>
      <c r="D373" s="11" t="s">
        <v>124</v>
      </c>
      <c r="E373" s="14" t="s">
        <v>52</v>
      </c>
      <c r="F373" s="11" t="s">
        <v>53</v>
      </c>
      <c r="G373" s="14" t="s">
        <v>54</v>
      </c>
      <c r="H373" s="11" t="s">
        <v>230</v>
      </c>
      <c r="I373" s="11"/>
      <c r="J373" s="11">
        <v>20.0</v>
      </c>
      <c r="K373" s="13">
        <v>42142.0</v>
      </c>
      <c r="L373" s="11">
        <f t="shared" si="34"/>
        <v>22</v>
      </c>
      <c r="M373" s="11">
        <v>605260.0</v>
      </c>
      <c r="N373" s="11" t="s">
        <v>1245</v>
      </c>
      <c r="P373" s="11">
        <v>0.0</v>
      </c>
      <c r="Q373" s="15">
        <v>0.0</v>
      </c>
      <c r="R373" s="22">
        <v>1.0</v>
      </c>
      <c r="S373">
        <f t="shared" si="1"/>
        <v>2013</v>
      </c>
      <c r="T373">
        <f t="shared" si="2"/>
        <v>7</v>
      </c>
      <c r="AF373" s="18"/>
      <c r="AG373" s="19"/>
      <c r="AL373" s="18"/>
      <c r="AM373" s="19"/>
    </row>
    <row r="374">
      <c r="A374" s="4" t="s">
        <v>1246</v>
      </c>
      <c r="B374" s="10">
        <v>41475.0</v>
      </c>
      <c r="C374" s="11" t="s">
        <v>159</v>
      </c>
      <c r="D374" s="11" t="s">
        <v>91</v>
      </c>
      <c r="E374" s="14" t="s">
        <v>52</v>
      </c>
      <c r="F374" s="11" t="s">
        <v>53</v>
      </c>
      <c r="G374" s="11" t="s">
        <v>83</v>
      </c>
      <c r="H374" s="14"/>
      <c r="I374" s="14"/>
      <c r="J374" s="11">
        <v>19.0</v>
      </c>
      <c r="K374" s="13">
        <v>42175.0</v>
      </c>
      <c r="L374" s="11">
        <f t="shared" si="34"/>
        <v>23</v>
      </c>
      <c r="M374" s="11">
        <v>600944.0</v>
      </c>
      <c r="N374" s="11">
        <v>17418.0</v>
      </c>
      <c r="P374" s="11">
        <v>3.0</v>
      </c>
      <c r="Q374" s="15">
        <v>7.0</v>
      </c>
      <c r="R374" s="22">
        <v>1.0</v>
      </c>
      <c r="S374">
        <f t="shared" si="1"/>
        <v>2013</v>
      </c>
      <c r="T374">
        <f t="shared" si="2"/>
        <v>7</v>
      </c>
      <c r="AF374" s="18"/>
      <c r="AG374" s="19"/>
      <c r="AL374" s="18"/>
      <c r="AM374" s="19"/>
    </row>
    <row r="375">
      <c r="A375" s="4" t="s">
        <v>1247</v>
      </c>
      <c r="B375" s="10">
        <v>41473.0</v>
      </c>
      <c r="C375" s="11" t="s">
        <v>350</v>
      </c>
      <c r="D375" s="11" t="s">
        <v>110</v>
      </c>
      <c r="E375" s="22" t="s">
        <v>1248</v>
      </c>
      <c r="F375" s="11" t="s">
        <v>53</v>
      </c>
      <c r="G375" s="14" t="s">
        <v>54</v>
      </c>
      <c r="H375" s="11" t="s">
        <v>112</v>
      </c>
      <c r="I375" s="11" t="s">
        <v>416</v>
      </c>
      <c r="J375" s="11">
        <v>22.0</v>
      </c>
      <c r="K375" s="13">
        <v>41732.0</v>
      </c>
      <c r="L375" s="11">
        <f t="shared" si="34"/>
        <v>9</v>
      </c>
      <c r="M375" s="11">
        <v>572738.0</v>
      </c>
      <c r="N375" s="11" t="s">
        <v>1249</v>
      </c>
      <c r="P375" s="11">
        <v>0.0</v>
      </c>
      <c r="Q375" s="15">
        <v>0.0</v>
      </c>
      <c r="R375" s="22">
        <v>1.0</v>
      </c>
      <c r="S375">
        <f t="shared" si="1"/>
        <v>2013</v>
      </c>
      <c r="T375">
        <f t="shared" si="2"/>
        <v>7</v>
      </c>
      <c r="AF375" s="18"/>
      <c r="AG375" s="19"/>
      <c r="AL375" s="18"/>
      <c r="AM375" s="19"/>
    </row>
    <row r="376">
      <c r="A376" s="4" t="s">
        <v>1250</v>
      </c>
      <c r="B376" s="10">
        <v>41466.0</v>
      </c>
      <c r="C376" s="11" t="s">
        <v>229</v>
      </c>
      <c r="D376" s="11" t="s">
        <v>91</v>
      </c>
      <c r="E376" s="11" t="s">
        <v>52</v>
      </c>
      <c r="F376" s="11" t="s">
        <v>76</v>
      </c>
      <c r="G376" s="11" t="s">
        <v>54</v>
      </c>
      <c r="H376" s="11" t="s">
        <v>1251</v>
      </c>
      <c r="I376" s="11" t="s">
        <v>1252</v>
      </c>
      <c r="J376" s="11">
        <v>21.0</v>
      </c>
      <c r="K376" s="13">
        <v>41842.0</v>
      </c>
      <c r="L376" s="11">
        <f t="shared" si="34"/>
        <v>12</v>
      </c>
      <c r="M376" s="11">
        <v>621381.0</v>
      </c>
      <c r="N376" s="11">
        <v>13799.0</v>
      </c>
      <c r="O376" s="4" t="s">
        <v>1253</v>
      </c>
      <c r="P376" s="11">
        <v>21.0</v>
      </c>
      <c r="Q376" s="15">
        <v>22.0</v>
      </c>
      <c r="R376" s="22">
        <v>1.0</v>
      </c>
      <c r="S376">
        <f t="shared" si="1"/>
        <v>2013</v>
      </c>
      <c r="T376">
        <f t="shared" si="2"/>
        <v>7</v>
      </c>
      <c r="AF376" s="18"/>
      <c r="AG376" s="19"/>
      <c r="AL376" s="18"/>
      <c r="AM376" s="19"/>
    </row>
    <row r="377">
      <c r="A377" s="4" t="s">
        <v>1254</v>
      </c>
      <c r="B377" s="10">
        <v>41465.0</v>
      </c>
      <c r="C377" s="11" t="s">
        <v>125</v>
      </c>
      <c r="D377" s="11" t="s">
        <v>75</v>
      </c>
      <c r="E377" s="14" t="s">
        <v>52</v>
      </c>
      <c r="F377" s="11" t="s">
        <v>53</v>
      </c>
      <c r="G377" s="14" t="s">
        <v>54</v>
      </c>
      <c r="H377" s="11" t="s">
        <v>449</v>
      </c>
      <c r="I377" s="11" t="s">
        <v>1256</v>
      </c>
      <c r="J377" s="11">
        <v>25.0</v>
      </c>
      <c r="K377" s="13">
        <v>42470.0</v>
      </c>
      <c r="L377" s="11">
        <f t="shared" si="34"/>
        <v>33</v>
      </c>
      <c r="M377" s="11">
        <v>519015.0</v>
      </c>
      <c r="N377" s="11">
        <v>5009.0</v>
      </c>
      <c r="P377" s="11">
        <v>0.0</v>
      </c>
      <c r="Q377" s="15">
        <v>0.0</v>
      </c>
      <c r="R377" s="22">
        <v>1.0</v>
      </c>
      <c r="S377">
        <f t="shared" si="1"/>
        <v>2013</v>
      </c>
      <c r="T377">
        <f t="shared" si="2"/>
        <v>7</v>
      </c>
      <c r="AF377" s="18"/>
      <c r="AG377" s="19"/>
      <c r="AL377" s="18"/>
      <c r="AM377" s="19"/>
    </row>
    <row r="378">
      <c r="A378" s="4" t="s">
        <v>1257</v>
      </c>
      <c r="B378" s="10">
        <v>41456.0</v>
      </c>
      <c r="C378" s="11" t="s">
        <v>350</v>
      </c>
      <c r="D378" s="11" t="s">
        <v>110</v>
      </c>
      <c r="E378" s="22" t="s">
        <v>1248</v>
      </c>
      <c r="F378" s="11" t="s">
        <v>53</v>
      </c>
      <c r="G378" s="14" t="s">
        <v>54</v>
      </c>
      <c r="H378" s="11" t="s">
        <v>305</v>
      </c>
      <c r="I378" s="11" t="s">
        <v>1258</v>
      </c>
      <c r="J378" s="11">
        <v>23.0</v>
      </c>
      <c r="K378" s="13">
        <v>41732.0</v>
      </c>
      <c r="L378" s="11">
        <f t="shared" si="34"/>
        <v>9</v>
      </c>
      <c r="M378" s="11">
        <v>623502.0</v>
      </c>
      <c r="N378" s="11" t="s">
        <v>1259</v>
      </c>
      <c r="P378" s="11">
        <v>0.0</v>
      </c>
      <c r="Q378" s="15">
        <v>0.0</v>
      </c>
      <c r="R378" s="11">
        <v>0.0</v>
      </c>
      <c r="S378">
        <f t="shared" si="1"/>
        <v>2013</v>
      </c>
      <c r="T378">
        <f t="shared" si="2"/>
        <v>7</v>
      </c>
      <c r="AF378" s="18"/>
      <c r="AG378" s="19"/>
      <c r="AL378" s="18"/>
      <c r="AM378" s="19"/>
    </row>
    <row r="379">
      <c r="A379" s="4" t="s">
        <v>1260</v>
      </c>
      <c r="B379" s="10">
        <v>41456.0</v>
      </c>
      <c r="C379" s="11" t="s">
        <v>239</v>
      </c>
      <c r="D379" s="11" t="s">
        <v>75</v>
      </c>
      <c r="E379" s="22" t="s">
        <v>1261</v>
      </c>
      <c r="F379" s="11" t="s">
        <v>53</v>
      </c>
      <c r="G379" s="14" t="s">
        <v>54</v>
      </c>
      <c r="H379" s="11" t="s">
        <v>204</v>
      </c>
      <c r="I379" s="11" t="s">
        <v>204</v>
      </c>
      <c r="J379" s="11">
        <v>27.0</v>
      </c>
      <c r="K379" s="13">
        <v>41743.0</v>
      </c>
      <c r="L379" s="11">
        <f t="shared" si="34"/>
        <v>9</v>
      </c>
      <c r="M379" s="11">
        <v>543784.0</v>
      </c>
      <c r="N379" s="11" t="s">
        <v>1262</v>
      </c>
      <c r="P379" s="11">
        <v>0.0</v>
      </c>
      <c r="Q379" s="15">
        <v>0.0</v>
      </c>
      <c r="R379" s="11">
        <v>0.0</v>
      </c>
      <c r="S379">
        <f t="shared" si="1"/>
        <v>2013</v>
      </c>
      <c r="T379">
        <f t="shared" si="2"/>
        <v>7</v>
      </c>
      <c r="AF379" s="18"/>
      <c r="AG379" s="19"/>
      <c r="AL379" s="18"/>
      <c r="AM379" s="19"/>
    </row>
    <row r="380">
      <c r="A380" s="4" t="s">
        <v>1264</v>
      </c>
      <c r="B380" s="10">
        <v>41456.0</v>
      </c>
      <c r="C380" s="11" t="s">
        <v>97</v>
      </c>
      <c r="D380" s="11" t="s">
        <v>151</v>
      </c>
      <c r="E380" s="14" t="s">
        <v>52</v>
      </c>
      <c r="F380" s="11" t="s">
        <v>76</v>
      </c>
      <c r="G380" s="14" t="s">
        <v>54</v>
      </c>
      <c r="H380" s="11" t="s">
        <v>218</v>
      </c>
      <c r="I380" s="11" t="s">
        <v>218</v>
      </c>
      <c r="J380" s="11">
        <v>21.0</v>
      </c>
      <c r="K380" s="13">
        <v>41813.0</v>
      </c>
      <c r="L380" s="11">
        <f t="shared" si="34"/>
        <v>12</v>
      </c>
      <c r="M380" s="11">
        <v>592614.0</v>
      </c>
      <c r="N380" s="11">
        <v>15627.0</v>
      </c>
      <c r="P380" s="11">
        <v>7.0</v>
      </c>
      <c r="Q380" s="15">
        <v>24.333</v>
      </c>
      <c r="R380" s="22">
        <v>1.0</v>
      </c>
      <c r="S380">
        <f t="shared" si="1"/>
        <v>2013</v>
      </c>
      <c r="T380">
        <f t="shared" si="2"/>
        <v>7</v>
      </c>
      <c r="AF380" s="18"/>
      <c r="AG380" s="19"/>
      <c r="AL380" s="18"/>
      <c r="AM380" s="19"/>
    </row>
    <row r="381">
      <c r="A381" s="4" t="s">
        <v>1265</v>
      </c>
      <c r="B381" s="10">
        <v>41456.0</v>
      </c>
      <c r="C381" s="11" t="s">
        <v>103</v>
      </c>
      <c r="D381" s="11" t="s">
        <v>124</v>
      </c>
      <c r="E381" s="14" t="s">
        <v>52</v>
      </c>
      <c r="F381" s="11" t="s">
        <v>76</v>
      </c>
      <c r="G381" s="22" t="s">
        <v>265</v>
      </c>
      <c r="H381" s="14"/>
      <c r="I381" s="14"/>
      <c r="J381" s="11">
        <v>19.0</v>
      </c>
      <c r="K381" s="13">
        <v>41835.0</v>
      </c>
      <c r="L381" s="11">
        <f t="shared" si="34"/>
        <v>12</v>
      </c>
      <c r="M381" s="11">
        <v>606279.0</v>
      </c>
      <c r="N381" s="11" t="s">
        <v>1266</v>
      </c>
      <c r="P381" s="11">
        <v>0.0</v>
      </c>
      <c r="Q381" s="15">
        <v>0.0</v>
      </c>
      <c r="R381" s="11">
        <v>0.0</v>
      </c>
      <c r="S381">
        <f t="shared" si="1"/>
        <v>2013</v>
      </c>
      <c r="T381">
        <f t="shared" si="2"/>
        <v>7</v>
      </c>
      <c r="AF381" s="18"/>
      <c r="AG381" s="19"/>
      <c r="AL381" s="18"/>
      <c r="AM381" s="19"/>
    </row>
    <row r="382">
      <c r="A382" s="4" t="s">
        <v>1267</v>
      </c>
      <c r="B382" s="10">
        <v>41455.0</v>
      </c>
      <c r="C382" s="11" t="s">
        <v>133</v>
      </c>
      <c r="D382" s="11" t="s">
        <v>124</v>
      </c>
      <c r="E382" s="14" t="s">
        <v>52</v>
      </c>
      <c r="F382" s="11" t="s">
        <v>53</v>
      </c>
      <c r="G382" s="14" t="s">
        <v>54</v>
      </c>
      <c r="H382" s="11" t="s">
        <v>260</v>
      </c>
      <c r="I382" s="11"/>
      <c r="J382" s="11">
        <v>20.0</v>
      </c>
      <c r="K382" s="13">
        <v>41829.0</v>
      </c>
      <c r="L382" s="11">
        <f t="shared" si="34"/>
        <v>12</v>
      </c>
      <c r="M382" s="11">
        <v>592329.0</v>
      </c>
      <c r="N382" s="11">
        <v>12143.0</v>
      </c>
      <c r="P382" s="11">
        <v>21.0</v>
      </c>
      <c r="Q382" s="15">
        <v>29.667</v>
      </c>
      <c r="R382" s="22">
        <v>1.0</v>
      </c>
      <c r="S382">
        <f t="shared" si="1"/>
        <v>2013</v>
      </c>
      <c r="T382">
        <f t="shared" si="2"/>
        <v>6</v>
      </c>
      <c r="AF382" s="18"/>
      <c r="AG382" s="19"/>
      <c r="AL382" s="18"/>
      <c r="AM382" s="19"/>
    </row>
    <row r="383">
      <c r="A383" s="4" t="s">
        <v>1268</v>
      </c>
      <c r="B383" s="10">
        <v>41452.0</v>
      </c>
      <c r="C383" s="11" t="s">
        <v>209</v>
      </c>
      <c r="D383" s="11" t="s">
        <v>51</v>
      </c>
      <c r="E383" s="14" t="s">
        <v>52</v>
      </c>
      <c r="F383" s="11" t="s">
        <v>53</v>
      </c>
      <c r="G383" s="14" t="s">
        <v>54</v>
      </c>
      <c r="H383" s="11" t="s">
        <v>218</v>
      </c>
      <c r="I383" s="11"/>
      <c r="J383" s="11">
        <v>20.0</v>
      </c>
      <c r="K383" s="13">
        <v>42467.0</v>
      </c>
      <c r="L383" s="11">
        <f t="shared" si="34"/>
        <v>33</v>
      </c>
      <c r="M383" s="11">
        <v>605164.0</v>
      </c>
      <c r="N383" s="11">
        <v>12917.0</v>
      </c>
      <c r="O383" s="4" t="s">
        <v>59</v>
      </c>
      <c r="P383" s="11">
        <v>36.0</v>
      </c>
      <c r="Q383" s="15">
        <v>109.667</v>
      </c>
      <c r="R383" s="22">
        <v>1.0</v>
      </c>
      <c r="S383">
        <f t="shared" si="1"/>
        <v>2013</v>
      </c>
      <c r="T383">
        <f t="shared" si="2"/>
        <v>6</v>
      </c>
      <c r="AF383" s="18"/>
      <c r="AG383" s="19"/>
      <c r="AL383" s="18"/>
      <c r="AM383" s="19"/>
    </row>
    <row r="384">
      <c r="A384" s="4" t="s">
        <v>1269</v>
      </c>
      <c r="B384" s="10">
        <v>41452.0</v>
      </c>
      <c r="C384" s="11" t="s">
        <v>97</v>
      </c>
      <c r="D384" s="11" t="s">
        <v>151</v>
      </c>
      <c r="E384" s="11" t="s">
        <v>52</v>
      </c>
      <c r="F384" s="11" t="s">
        <v>53</v>
      </c>
      <c r="G384" s="11" t="s">
        <v>54</v>
      </c>
      <c r="H384" s="11" t="s">
        <v>197</v>
      </c>
      <c r="I384" s="11" t="s">
        <v>449</v>
      </c>
      <c r="J384" s="11">
        <v>20.0</v>
      </c>
      <c r="K384" s="13">
        <v>42179.0</v>
      </c>
      <c r="L384" s="11"/>
      <c r="M384" s="11">
        <v>664942.0</v>
      </c>
      <c r="N384" s="11" t="s">
        <v>1270</v>
      </c>
      <c r="P384" s="11">
        <v>0.0</v>
      </c>
      <c r="Q384" s="15">
        <v>0.0</v>
      </c>
      <c r="R384" s="22">
        <v>1.0</v>
      </c>
      <c r="S384">
        <f t="shared" si="1"/>
        <v>2013</v>
      </c>
      <c r="T384">
        <f t="shared" si="2"/>
        <v>6</v>
      </c>
      <c r="AF384" s="18"/>
      <c r="AG384" s="19"/>
      <c r="AL384" s="18"/>
      <c r="AM384" s="19"/>
    </row>
    <row r="385">
      <c r="A385" s="4" t="s">
        <v>194</v>
      </c>
      <c r="B385" s="10">
        <v>41451.0</v>
      </c>
      <c r="C385" s="11" t="s">
        <v>331</v>
      </c>
      <c r="D385" s="11" t="s">
        <v>82</v>
      </c>
      <c r="E385" s="22" t="s">
        <v>160</v>
      </c>
      <c r="F385" s="11" t="s">
        <v>53</v>
      </c>
      <c r="G385" s="11" t="s">
        <v>83</v>
      </c>
      <c r="H385" s="14"/>
      <c r="I385" s="14"/>
      <c r="J385" s="11">
        <v>26.0</v>
      </c>
      <c r="K385" s="13">
        <v>41732.0</v>
      </c>
      <c r="L385" s="11">
        <f>ROUND(((K385-B385)/365)*12)</f>
        <v>9</v>
      </c>
      <c r="M385" s="11">
        <v>492728.0</v>
      </c>
      <c r="N385" s="11" t="s">
        <v>1273</v>
      </c>
      <c r="P385" s="11">
        <v>0.0</v>
      </c>
      <c r="Q385" s="15">
        <v>0.0</v>
      </c>
      <c r="R385" s="22">
        <v>1.0</v>
      </c>
      <c r="S385">
        <f t="shared" si="1"/>
        <v>2013</v>
      </c>
      <c r="T385">
        <f t="shared" si="2"/>
        <v>6</v>
      </c>
      <c r="AF385" s="18"/>
      <c r="AG385" s="19"/>
      <c r="AL385" s="18"/>
      <c r="AM385" s="19"/>
    </row>
    <row r="386">
      <c r="A386" s="4" t="s">
        <v>1274</v>
      </c>
      <c r="B386" s="10">
        <v>41445.0</v>
      </c>
      <c r="C386" s="11" t="s">
        <v>97</v>
      </c>
      <c r="D386" s="11" t="s">
        <v>51</v>
      </c>
      <c r="E386" s="14" t="s">
        <v>52</v>
      </c>
      <c r="F386" s="11" t="s">
        <v>76</v>
      </c>
      <c r="G386" s="22" t="s">
        <v>83</v>
      </c>
      <c r="H386" s="14"/>
      <c r="I386" s="14"/>
      <c r="J386" s="11">
        <v>26.0</v>
      </c>
      <c r="K386" s="14"/>
      <c r="L386" s="14"/>
      <c r="M386" s="11">
        <v>467099.0</v>
      </c>
      <c r="N386" s="11">
        <v>8432.0</v>
      </c>
      <c r="O386" s="4" t="s">
        <v>59</v>
      </c>
      <c r="P386" s="11">
        <v>0.0</v>
      </c>
      <c r="Q386" s="32">
        <v>0.0</v>
      </c>
      <c r="R386" s="22">
        <v>1.0</v>
      </c>
      <c r="S386">
        <f t="shared" si="1"/>
        <v>2013</v>
      </c>
      <c r="T386">
        <f t="shared" si="2"/>
        <v>6</v>
      </c>
      <c r="AF386" s="18"/>
      <c r="AG386" s="19"/>
      <c r="AL386" s="18"/>
      <c r="AM386" s="19"/>
    </row>
    <row r="387">
      <c r="A387" s="4" t="s">
        <v>360</v>
      </c>
      <c r="B387" s="10">
        <v>41443.0</v>
      </c>
      <c r="C387" s="11" t="s">
        <v>96</v>
      </c>
      <c r="D387" s="11" t="s">
        <v>51</v>
      </c>
      <c r="E387" s="14" t="s">
        <v>52</v>
      </c>
      <c r="F387" s="11" t="s">
        <v>53</v>
      </c>
      <c r="G387" s="14" t="s">
        <v>54</v>
      </c>
      <c r="H387" s="11" t="s">
        <v>416</v>
      </c>
      <c r="I387" s="11" t="s">
        <v>1275</v>
      </c>
      <c r="J387" s="11">
        <v>26.0</v>
      </c>
      <c r="K387" s="13">
        <v>41885.0</v>
      </c>
      <c r="L387" s="11">
        <f>ROUND(((K387-B387)/365)*12)</f>
        <v>15</v>
      </c>
      <c r="M387" s="11">
        <v>543339.0</v>
      </c>
      <c r="N387" s="11">
        <v>7146.0</v>
      </c>
      <c r="O387" s="4" t="s">
        <v>59</v>
      </c>
      <c r="P387" s="11">
        <v>137.0</v>
      </c>
      <c r="Q387" s="15">
        <v>130.667</v>
      </c>
      <c r="R387" s="22">
        <v>1.0</v>
      </c>
      <c r="S387">
        <f t="shared" si="1"/>
        <v>2013</v>
      </c>
      <c r="T387">
        <f t="shared" si="2"/>
        <v>6</v>
      </c>
      <c r="AF387" s="18"/>
      <c r="AG387" s="19"/>
      <c r="AL387" s="18"/>
      <c r="AM387" s="19"/>
    </row>
    <row r="388">
      <c r="A388" s="4" t="s">
        <v>769</v>
      </c>
      <c r="B388" s="10">
        <v>41437.0</v>
      </c>
      <c r="C388" s="11" t="s">
        <v>270</v>
      </c>
      <c r="D388" s="11" t="s">
        <v>75</v>
      </c>
      <c r="E388" s="14" t="s">
        <v>52</v>
      </c>
      <c r="F388" s="11" t="s">
        <v>53</v>
      </c>
      <c r="G388" s="14" t="s">
        <v>54</v>
      </c>
      <c r="H388" s="11" t="s">
        <v>279</v>
      </c>
      <c r="I388" s="11"/>
      <c r="J388" s="11">
        <v>33.0</v>
      </c>
      <c r="K388" s="13"/>
      <c r="L388" s="11"/>
      <c r="M388" s="11">
        <v>400076.0</v>
      </c>
      <c r="N388" s="11">
        <v>1613.0</v>
      </c>
      <c r="P388" s="11">
        <v>0.0</v>
      </c>
      <c r="Q388" s="15">
        <v>0.0</v>
      </c>
      <c r="R388" s="11">
        <v>0.0</v>
      </c>
      <c r="S388">
        <f t="shared" si="1"/>
        <v>2013</v>
      </c>
      <c r="T388">
        <f t="shared" si="2"/>
        <v>6</v>
      </c>
      <c r="AF388" s="18"/>
      <c r="AG388" s="19"/>
      <c r="AL388" s="18"/>
      <c r="AM388" s="19"/>
    </row>
    <row r="389">
      <c r="A389" s="4" t="s">
        <v>1276</v>
      </c>
      <c r="B389" s="10">
        <v>41436.0</v>
      </c>
      <c r="C389" s="11" t="s">
        <v>350</v>
      </c>
      <c r="D389" s="11" t="s">
        <v>51</v>
      </c>
      <c r="E389" s="14" t="s">
        <v>52</v>
      </c>
      <c r="F389" s="11" t="s">
        <v>53</v>
      </c>
      <c r="G389" s="22" t="s">
        <v>735</v>
      </c>
      <c r="H389" s="14"/>
      <c r="I389" s="14"/>
      <c r="J389" s="11">
        <v>32.0</v>
      </c>
      <c r="K389" s="13">
        <v>41857.0</v>
      </c>
      <c r="L389" s="11">
        <f t="shared" ref="L389:L392" si="35">ROUND(((K389-B389)/365)*12)</f>
        <v>14</v>
      </c>
      <c r="M389" s="11">
        <v>493117.0</v>
      </c>
      <c r="N389" s="11">
        <v>14443.0</v>
      </c>
      <c r="O389" s="4" t="s">
        <v>59</v>
      </c>
      <c r="P389" s="11">
        <v>17.0</v>
      </c>
      <c r="Q389" s="15">
        <v>14.667</v>
      </c>
      <c r="R389" s="11">
        <v>0.0</v>
      </c>
      <c r="S389">
        <f t="shared" si="1"/>
        <v>2013</v>
      </c>
      <c r="T389">
        <f t="shared" si="2"/>
        <v>6</v>
      </c>
      <c r="AF389" s="18"/>
      <c r="AG389" s="19"/>
      <c r="AL389" s="18"/>
      <c r="AM389" s="19"/>
    </row>
    <row r="390">
      <c r="A390" s="4" t="s">
        <v>1278</v>
      </c>
      <c r="B390" s="10">
        <v>41436.0</v>
      </c>
      <c r="C390" s="11" t="s">
        <v>109</v>
      </c>
      <c r="D390" s="11" t="s">
        <v>110</v>
      </c>
      <c r="E390" s="14" t="s">
        <v>52</v>
      </c>
      <c r="F390" s="11" t="s">
        <v>53</v>
      </c>
      <c r="G390" s="22" t="s">
        <v>83</v>
      </c>
      <c r="H390" s="14"/>
      <c r="I390" s="14"/>
      <c r="J390" s="11">
        <v>23.0</v>
      </c>
      <c r="K390" s="13">
        <v>42470.0</v>
      </c>
      <c r="L390" s="11">
        <f t="shared" si="35"/>
        <v>34</v>
      </c>
      <c r="M390" s="11">
        <v>606716.0</v>
      </c>
      <c r="N390" s="11" t="s">
        <v>1280</v>
      </c>
      <c r="P390" s="11">
        <v>0.0</v>
      </c>
      <c r="Q390" s="15">
        <v>0.0</v>
      </c>
      <c r="R390" s="22">
        <v>1.0</v>
      </c>
      <c r="S390">
        <f t="shared" si="1"/>
        <v>2013</v>
      </c>
      <c r="T390">
        <f t="shared" si="2"/>
        <v>6</v>
      </c>
      <c r="AF390" s="18"/>
      <c r="AG390" s="19"/>
      <c r="AL390" s="18"/>
      <c r="AM390" s="19"/>
    </row>
    <row r="391">
      <c r="A391" s="4" t="s">
        <v>1281</v>
      </c>
      <c r="B391" s="10">
        <v>41432.0</v>
      </c>
      <c r="C391" s="11" t="s">
        <v>81</v>
      </c>
      <c r="D391" s="11" t="s">
        <v>82</v>
      </c>
      <c r="E391" s="14" t="s">
        <v>52</v>
      </c>
      <c r="F391" s="11" t="s">
        <v>76</v>
      </c>
      <c r="G391" s="14" t="s">
        <v>54</v>
      </c>
      <c r="H391" s="11" t="s">
        <v>244</v>
      </c>
      <c r="I391" s="11"/>
      <c r="J391" s="11">
        <v>27.0</v>
      </c>
      <c r="K391" s="13">
        <v>41822.0</v>
      </c>
      <c r="L391" s="11">
        <f t="shared" si="35"/>
        <v>13</v>
      </c>
      <c r="M391" s="11">
        <v>455092.0</v>
      </c>
      <c r="N391" s="11">
        <v>7489.0</v>
      </c>
      <c r="P391" s="11">
        <v>7.0</v>
      </c>
      <c r="Q391" s="15">
        <v>4.333</v>
      </c>
      <c r="R391" s="11">
        <v>0.0</v>
      </c>
      <c r="S391">
        <f t="shared" si="1"/>
        <v>2013</v>
      </c>
      <c r="T391">
        <f t="shared" si="2"/>
        <v>6</v>
      </c>
      <c r="AF391" s="18"/>
      <c r="AG391" s="19"/>
      <c r="AL391" s="18"/>
      <c r="AM391" s="19"/>
    </row>
    <row r="392">
      <c r="A392" s="4" t="s">
        <v>1282</v>
      </c>
      <c r="B392" s="10">
        <v>41428.0</v>
      </c>
      <c r="C392" s="11" t="s">
        <v>179</v>
      </c>
      <c r="D392" s="11" t="s">
        <v>75</v>
      </c>
      <c r="E392" s="14" t="s">
        <v>52</v>
      </c>
      <c r="F392" s="11" t="s">
        <v>53</v>
      </c>
      <c r="G392" s="14" t="s">
        <v>54</v>
      </c>
      <c r="H392" s="11" t="s">
        <v>92</v>
      </c>
      <c r="I392" s="11"/>
      <c r="J392" s="11">
        <v>27.0</v>
      </c>
      <c r="K392" s="13">
        <v>42104.0</v>
      </c>
      <c r="L392" s="11">
        <f t="shared" si="35"/>
        <v>22</v>
      </c>
      <c r="M392" s="11">
        <v>444446.0</v>
      </c>
      <c r="N392" s="11">
        <v>6883.0</v>
      </c>
      <c r="P392" s="11">
        <v>15.0</v>
      </c>
      <c r="Q392" s="15">
        <v>15.667</v>
      </c>
      <c r="R392" s="11">
        <v>0.0</v>
      </c>
      <c r="S392">
        <f t="shared" si="1"/>
        <v>2013</v>
      </c>
      <c r="T392">
        <f t="shared" si="2"/>
        <v>6</v>
      </c>
      <c r="AF392" s="18"/>
      <c r="AG392" s="19"/>
      <c r="AL392" s="18"/>
      <c r="AM392" s="19"/>
    </row>
    <row r="393">
      <c r="A393" s="4" t="s">
        <v>1283</v>
      </c>
      <c r="B393" s="10">
        <v>41426.0</v>
      </c>
      <c r="C393" s="11" t="s">
        <v>229</v>
      </c>
      <c r="D393" s="11" t="s">
        <v>124</v>
      </c>
      <c r="E393" s="11" t="s">
        <v>52</v>
      </c>
      <c r="F393" s="11" t="s">
        <v>53</v>
      </c>
      <c r="G393" s="11" t="s">
        <v>54</v>
      </c>
      <c r="H393" s="11" t="s">
        <v>157</v>
      </c>
      <c r="I393" s="11"/>
      <c r="J393" s="11">
        <v>21.0</v>
      </c>
      <c r="K393" s="13"/>
      <c r="L393" s="11"/>
      <c r="M393" s="11">
        <v>595893.0</v>
      </c>
      <c r="N393" s="11" t="s">
        <v>1284</v>
      </c>
      <c r="P393" s="11">
        <v>0.0</v>
      </c>
      <c r="Q393" s="15">
        <v>0.0</v>
      </c>
      <c r="R393" s="11">
        <v>0.0</v>
      </c>
      <c r="S393">
        <f t="shared" si="1"/>
        <v>2013</v>
      </c>
      <c r="T393">
        <f t="shared" si="2"/>
        <v>6</v>
      </c>
      <c r="AF393" s="18"/>
      <c r="AG393" s="19"/>
      <c r="AL393" s="18"/>
      <c r="AM393" s="19"/>
    </row>
    <row r="394">
      <c r="A394" s="4" t="s">
        <v>1285</v>
      </c>
      <c r="B394" s="10">
        <v>41426.0</v>
      </c>
      <c r="C394" s="11" t="s">
        <v>156</v>
      </c>
      <c r="D394" s="11" t="s">
        <v>151</v>
      </c>
      <c r="E394" s="11" t="s">
        <v>52</v>
      </c>
      <c r="F394" s="11" t="s">
        <v>53</v>
      </c>
      <c r="G394" s="11" t="s">
        <v>54</v>
      </c>
      <c r="H394" s="11" t="s">
        <v>843</v>
      </c>
      <c r="I394" s="11" t="s">
        <v>843</v>
      </c>
      <c r="J394" s="11">
        <v>21.0</v>
      </c>
      <c r="K394" s="13">
        <v>41804.0</v>
      </c>
      <c r="L394" s="11">
        <f t="shared" ref="L394:L395" si="36">ROUND(((K394-B394)/365)*12)</f>
        <v>12</v>
      </c>
      <c r="M394" s="11">
        <v>592594.0</v>
      </c>
      <c r="N394" s="11" t="s">
        <v>1286</v>
      </c>
      <c r="P394" s="11">
        <v>0.0</v>
      </c>
      <c r="Q394" s="15">
        <v>0.0</v>
      </c>
      <c r="R394" s="22">
        <v>1.0</v>
      </c>
      <c r="S394">
        <f t="shared" si="1"/>
        <v>2013</v>
      </c>
      <c r="T394">
        <f t="shared" si="2"/>
        <v>6</v>
      </c>
      <c r="AF394" s="18"/>
      <c r="AG394" s="19"/>
      <c r="AL394" s="18"/>
      <c r="AM394" s="19"/>
    </row>
    <row r="395">
      <c r="A395" s="4" t="s">
        <v>1287</v>
      </c>
      <c r="B395" s="10">
        <v>41419.0</v>
      </c>
      <c r="C395" s="11" t="s">
        <v>270</v>
      </c>
      <c r="D395" s="11" t="s">
        <v>110</v>
      </c>
      <c r="E395" s="14" t="s">
        <v>52</v>
      </c>
      <c r="F395" s="11" t="s">
        <v>53</v>
      </c>
      <c r="G395" s="14" t="s">
        <v>54</v>
      </c>
      <c r="H395" s="11" t="s">
        <v>99</v>
      </c>
      <c r="I395" s="11"/>
      <c r="J395" s="11">
        <v>24.0</v>
      </c>
      <c r="K395" s="13">
        <v>41779.0</v>
      </c>
      <c r="L395" s="11">
        <f t="shared" si="36"/>
        <v>12</v>
      </c>
      <c r="M395" s="11">
        <v>519326.0</v>
      </c>
      <c r="N395" s="11">
        <v>7836.0</v>
      </c>
      <c r="P395" s="11">
        <v>136.0</v>
      </c>
      <c r="Q395" s="15">
        <v>119.333</v>
      </c>
      <c r="R395" s="22">
        <v>1.0</v>
      </c>
      <c r="S395">
        <f t="shared" si="1"/>
        <v>2013</v>
      </c>
      <c r="T395">
        <f t="shared" si="2"/>
        <v>5</v>
      </c>
      <c r="AF395" s="18"/>
      <c r="AG395" s="19"/>
      <c r="AL395" s="18"/>
      <c r="AM395" s="19"/>
    </row>
    <row r="396">
      <c r="A396" s="4" t="s">
        <v>1289</v>
      </c>
      <c r="B396" s="10">
        <v>41417.0</v>
      </c>
      <c r="C396" s="11" t="s">
        <v>138</v>
      </c>
      <c r="D396" s="11" t="s">
        <v>151</v>
      </c>
      <c r="E396" s="11" t="s">
        <v>52</v>
      </c>
      <c r="F396" s="11" t="s">
        <v>76</v>
      </c>
      <c r="G396" s="11" t="s">
        <v>312</v>
      </c>
      <c r="H396" s="11"/>
      <c r="I396" s="11"/>
      <c r="J396" s="11">
        <v>20.0</v>
      </c>
      <c r="K396" s="13">
        <v>42203.0</v>
      </c>
      <c r="L396" s="11"/>
      <c r="M396" s="11">
        <v>664681.0</v>
      </c>
      <c r="N396" s="11" t="s">
        <v>1290</v>
      </c>
      <c r="O396" s="4"/>
      <c r="P396" s="11">
        <v>0.0</v>
      </c>
      <c r="Q396" s="15">
        <v>0.0</v>
      </c>
      <c r="R396" s="22">
        <v>1.0</v>
      </c>
      <c r="S396">
        <f t="shared" si="1"/>
        <v>2013</v>
      </c>
      <c r="T396">
        <f t="shared" si="2"/>
        <v>5</v>
      </c>
      <c r="AF396" s="18"/>
      <c r="AG396" s="19"/>
      <c r="AL396" s="18"/>
      <c r="AM396" s="19"/>
    </row>
    <row r="397">
      <c r="A397" s="4" t="s">
        <v>767</v>
      </c>
      <c r="B397" s="10">
        <v>41415.0</v>
      </c>
      <c r="C397" s="11" t="s">
        <v>142</v>
      </c>
      <c r="D397" s="11" t="s">
        <v>51</v>
      </c>
      <c r="E397" s="14" t="s">
        <v>52</v>
      </c>
      <c r="F397" s="11" t="s">
        <v>76</v>
      </c>
      <c r="G397" s="14" t="s">
        <v>54</v>
      </c>
      <c r="H397" s="11" t="s">
        <v>316</v>
      </c>
      <c r="I397" s="11"/>
      <c r="J397" s="11">
        <v>28.0</v>
      </c>
      <c r="K397" s="13">
        <v>41824.0</v>
      </c>
      <c r="L397" s="11">
        <f>ROUND(((K397-B397)/365)*12)</f>
        <v>13</v>
      </c>
      <c r="M397" s="11">
        <v>447714.0</v>
      </c>
      <c r="N397" s="11">
        <v>5746.0</v>
      </c>
      <c r="O397" s="4" t="s">
        <v>59</v>
      </c>
      <c r="P397" s="11">
        <v>101.0</v>
      </c>
      <c r="Q397" s="15">
        <v>78.667</v>
      </c>
      <c r="R397" s="22">
        <v>1.0</v>
      </c>
      <c r="S397">
        <f t="shared" si="1"/>
        <v>2013</v>
      </c>
      <c r="T397">
        <f t="shared" si="2"/>
        <v>5</v>
      </c>
      <c r="AF397" s="18"/>
      <c r="AG397" s="19"/>
      <c r="AL397" s="18"/>
      <c r="AM397" s="19"/>
    </row>
    <row r="398">
      <c r="A398" s="4" t="s">
        <v>1291</v>
      </c>
      <c r="B398" s="10">
        <v>41415.0</v>
      </c>
      <c r="C398" s="11" t="s">
        <v>259</v>
      </c>
      <c r="D398" s="11" t="s">
        <v>124</v>
      </c>
      <c r="E398" s="11" t="s">
        <v>52</v>
      </c>
      <c r="F398" s="11" t="s">
        <v>76</v>
      </c>
      <c r="G398" s="11" t="s">
        <v>54</v>
      </c>
      <c r="H398" s="11" t="s">
        <v>99</v>
      </c>
      <c r="I398" s="11" t="s">
        <v>261</v>
      </c>
      <c r="J398" s="11">
        <v>22.0</v>
      </c>
      <c r="K398" s="14"/>
      <c r="L398" s="14"/>
      <c r="M398" s="11">
        <v>607393.0</v>
      </c>
      <c r="N398" s="11" t="s">
        <v>1292</v>
      </c>
      <c r="O398" s="4"/>
      <c r="P398" s="11">
        <v>0.0</v>
      </c>
      <c r="Q398" s="15">
        <v>0.0</v>
      </c>
      <c r="R398" s="11">
        <v>0.0</v>
      </c>
      <c r="S398">
        <f t="shared" si="1"/>
        <v>2013</v>
      </c>
      <c r="T398">
        <f t="shared" si="2"/>
        <v>5</v>
      </c>
      <c r="AF398" s="18"/>
      <c r="AG398" s="19"/>
      <c r="AL398" s="18"/>
      <c r="AM398" s="19"/>
    </row>
    <row r="399">
      <c r="A399" s="4" t="s">
        <v>141</v>
      </c>
      <c r="B399" s="10">
        <v>41410.0</v>
      </c>
      <c r="C399" s="11" t="s">
        <v>142</v>
      </c>
      <c r="D399" s="11" t="s">
        <v>51</v>
      </c>
      <c r="E399" s="14" t="s">
        <v>52</v>
      </c>
      <c r="F399" s="11" t="s">
        <v>76</v>
      </c>
      <c r="G399" s="14" t="s">
        <v>54</v>
      </c>
      <c r="H399" s="11" t="s">
        <v>260</v>
      </c>
      <c r="I399" s="11" t="s">
        <v>810</v>
      </c>
      <c r="J399" s="11">
        <v>28.0</v>
      </c>
      <c r="K399" s="14"/>
      <c r="L399" s="14"/>
      <c r="M399" s="11">
        <v>458924.0</v>
      </c>
      <c r="N399" s="11">
        <v>7175.0</v>
      </c>
      <c r="O399" s="4" t="s">
        <v>59</v>
      </c>
      <c r="P399" s="11">
        <v>0.0</v>
      </c>
      <c r="Q399" s="32">
        <v>0.0</v>
      </c>
      <c r="R399" s="22">
        <v>0.0</v>
      </c>
      <c r="S399">
        <f t="shared" si="1"/>
        <v>2013</v>
      </c>
      <c r="T399">
        <f t="shared" si="2"/>
        <v>5</v>
      </c>
      <c r="U399" s="20">
        <v>41541.0</v>
      </c>
      <c r="V399" s="20">
        <v>41703.0</v>
      </c>
      <c r="X399" s="20">
        <v>41775.0</v>
      </c>
      <c r="Z399" s="20">
        <v>41808.0</v>
      </c>
      <c r="AA399" s="4" t="s">
        <v>1293</v>
      </c>
      <c r="AB399" s="20">
        <v>41879.0</v>
      </c>
      <c r="AC399" s="4" t="s">
        <v>741</v>
      </c>
      <c r="AF399" s="18"/>
      <c r="AG399" s="19"/>
      <c r="AL399" s="18"/>
      <c r="AM399" s="19"/>
    </row>
    <row r="400">
      <c r="A400" s="4" t="s">
        <v>538</v>
      </c>
      <c r="B400" s="10">
        <v>41410.0</v>
      </c>
      <c r="C400" s="11" t="s">
        <v>133</v>
      </c>
      <c r="D400" s="11" t="s">
        <v>51</v>
      </c>
      <c r="E400" s="14" t="s">
        <v>52</v>
      </c>
      <c r="F400" s="11" t="s">
        <v>53</v>
      </c>
      <c r="G400" s="14" t="s">
        <v>54</v>
      </c>
      <c r="H400" s="11" t="s">
        <v>55</v>
      </c>
      <c r="I400" s="11"/>
      <c r="J400" s="11">
        <v>31.0</v>
      </c>
      <c r="K400" s="14"/>
      <c r="L400" s="14"/>
      <c r="M400" s="11">
        <v>430629.0</v>
      </c>
      <c r="N400" s="11">
        <v>2186.0</v>
      </c>
      <c r="O400" s="4" t="s">
        <v>59</v>
      </c>
      <c r="P400" s="11">
        <v>0.0</v>
      </c>
      <c r="Q400" s="32">
        <v>0.0</v>
      </c>
      <c r="R400" s="22">
        <v>0.0</v>
      </c>
      <c r="S400">
        <f t="shared" si="1"/>
        <v>2013</v>
      </c>
      <c r="T400">
        <f t="shared" si="2"/>
        <v>5</v>
      </c>
      <c r="AF400" s="18"/>
      <c r="AG400" s="19"/>
      <c r="AL400" s="18"/>
      <c r="AM400" s="19"/>
    </row>
    <row r="401">
      <c r="A401" s="4" t="s">
        <v>1294</v>
      </c>
      <c r="B401" s="10">
        <v>41410.0</v>
      </c>
      <c r="C401" s="11" t="s">
        <v>259</v>
      </c>
      <c r="D401" s="11" t="s">
        <v>124</v>
      </c>
      <c r="E401" s="11" t="s">
        <v>264</v>
      </c>
      <c r="F401" s="11" t="s">
        <v>53</v>
      </c>
      <c r="G401" s="11" t="s">
        <v>54</v>
      </c>
      <c r="H401" s="11" t="s">
        <v>92</v>
      </c>
      <c r="I401" s="11"/>
      <c r="J401" s="11">
        <v>18.0</v>
      </c>
      <c r="K401" s="13"/>
      <c r="L401" s="11"/>
      <c r="M401" s="11">
        <v>622186.0</v>
      </c>
      <c r="N401" s="11" t="s">
        <v>1296</v>
      </c>
      <c r="O401" s="4"/>
      <c r="P401" s="11">
        <v>0.0</v>
      </c>
      <c r="Q401" s="15">
        <v>0.0</v>
      </c>
      <c r="R401" s="11">
        <v>0.0</v>
      </c>
      <c r="S401">
        <f t="shared" si="1"/>
        <v>2013</v>
      </c>
      <c r="T401">
        <f t="shared" si="2"/>
        <v>5</v>
      </c>
      <c r="U401" s="4"/>
      <c r="V401" s="4"/>
      <c r="W401" s="4"/>
      <c r="X401" s="4"/>
      <c r="Y401" s="4"/>
      <c r="Z401" s="4"/>
      <c r="AA401" s="4"/>
      <c r="AB401" s="4"/>
      <c r="AC401" s="4"/>
      <c r="AD401" s="4"/>
      <c r="AE401" s="4"/>
      <c r="AF401" s="54"/>
      <c r="AG401" s="55"/>
      <c r="AH401" s="4"/>
      <c r="AI401" s="4"/>
      <c r="AJ401" s="4"/>
      <c r="AK401" s="4"/>
      <c r="AL401" s="54"/>
      <c r="AM401" s="55"/>
      <c r="AN401" s="4"/>
      <c r="AO401" s="4"/>
    </row>
    <row r="402">
      <c r="A402" s="4" t="s">
        <v>617</v>
      </c>
      <c r="B402" s="10">
        <v>41402.0</v>
      </c>
      <c r="C402" s="11" t="s">
        <v>259</v>
      </c>
      <c r="D402" s="11" t="s">
        <v>51</v>
      </c>
      <c r="E402" s="14" t="s">
        <v>52</v>
      </c>
      <c r="F402" s="11" t="s">
        <v>53</v>
      </c>
      <c r="G402" s="14" t="s">
        <v>54</v>
      </c>
      <c r="H402" s="11" t="s">
        <v>251</v>
      </c>
      <c r="I402" s="11"/>
      <c r="J402" s="11">
        <v>30.0</v>
      </c>
      <c r="K402" s="13">
        <v>41765.0</v>
      </c>
      <c r="L402" s="11">
        <f>ROUND(((K402-B402)/365)*12)</f>
        <v>12</v>
      </c>
      <c r="M402" s="11">
        <v>425856.0</v>
      </c>
      <c r="N402" s="11">
        <v>3886.0</v>
      </c>
      <c r="O402" s="4" t="s">
        <v>287</v>
      </c>
      <c r="P402" s="11">
        <v>44.0</v>
      </c>
      <c r="Q402" s="15">
        <v>98.667</v>
      </c>
      <c r="R402" s="22">
        <v>1.0</v>
      </c>
      <c r="S402">
        <f t="shared" si="1"/>
        <v>2013</v>
      </c>
      <c r="T402">
        <f t="shared" si="2"/>
        <v>5</v>
      </c>
      <c r="U402" s="4"/>
      <c r="V402" s="4"/>
      <c r="W402" s="4"/>
      <c r="X402" s="4"/>
      <c r="Y402" s="4"/>
      <c r="Z402" s="4"/>
      <c r="AA402" s="4"/>
      <c r="AB402" s="4"/>
      <c r="AC402" s="4"/>
      <c r="AD402" s="4">
        <v>5.0</v>
      </c>
      <c r="AE402" s="4">
        <v>5.0</v>
      </c>
      <c r="AF402" s="54">
        <v>24.333</v>
      </c>
      <c r="AG402" s="55">
        <v>0.118</v>
      </c>
      <c r="AH402" s="4">
        <v>125.0</v>
      </c>
      <c r="AI402" s="4">
        <v>114.0</v>
      </c>
      <c r="AJ402" s="4">
        <v>9.0</v>
      </c>
      <c r="AK402" s="4">
        <v>9.0</v>
      </c>
      <c r="AL402" s="54">
        <v>54.333</v>
      </c>
      <c r="AM402" s="55">
        <v>0.14</v>
      </c>
      <c r="AN402" s="4">
        <v>73.0</v>
      </c>
      <c r="AO402" s="4">
        <v>103.0</v>
      </c>
    </row>
    <row r="403">
      <c r="A403" s="4" t="s">
        <v>1297</v>
      </c>
      <c r="B403" s="10">
        <v>41402.0</v>
      </c>
      <c r="C403" s="11" t="s">
        <v>108</v>
      </c>
      <c r="D403" s="11" t="s">
        <v>110</v>
      </c>
      <c r="E403" s="14" t="s">
        <v>52</v>
      </c>
      <c r="F403" s="11" t="s">
        <v>76</v>
      </c>
      <c r="G403" s="14" t="s">
        <v>54</v>
      </c>
      <c r="H403" s="11" t="s">
        <v>157</v>
      </c>
      <c r="I403" s="11" t="s">
        <v>650</v>
      </c>
      <c r="J403" s="11">
        <v>24.0</v>
      </c>
      <c r="K403" s="13"/>
      <c r="L403" s="11"/>
      <c r="M403" s="11">
        <v>607753.0</v>
      </c>
      <c r="N403" s="11" t="s">
        <v>1298</v>
      </c>
      <c r="P403" s="11">
        <v>0.0</v>
      </c>
      <c r="Q403" s="15">
        <v>0.0</v>
      </c>
      <c r="R403" s="11">
        <v>0.0</v>
      </c>
      <c r="S403">
        <f t="shared" si="1"/>
        <v>2013</v>
      </c>
      <c r="T403">
        <f t="shared" si="2"/>
        <v>5</v>
      </c>
      <c r="AF403" s="18"/>
      <c r="AG403" s="19"/>
      <c r="AL403" s="18"/>
      <c r="AM403" s="19"/>
    </row>
    <row r="404">
      <c r="A404" s="4" t="s">
        <v>1299</v>
      </c>
      <c r="B404" s="10">
        <v>41400.0</v>
      </c>
      <c r="C404" s="11" t="s">
        <v>156</v>
      </c>
      <c r="D404" s="11" t="s">
        <v>51</v>
      </c>
      <c r="E404" s="14" t="s">
        <v>52</v>
      </c>
      <c r="F404" s="11" t="s">
        <v>53</v>
      </c>
      <c r="G404" s="14" t="s">
        <v>54</v>
      </c>
      <c r="H404" s="11" t="s">
        <v>153</v>
      </c>
      <c r="I404" s="11" t="s">
        <v>1300</v>
      </c>
      <c r="J404" s="11">
        <v>31.0</v>
      </c>
      <c r="K404" s="13">
        <v>41780.0</v>
      </c>
      <c r="L404" s="11">
        <f>ROUND(((K404-B404)/365)*12)</f>
        <v>12</v>
      </c>
      <c r="M404" s="11">
        <v>435400.0</v>
      </c>
      <c r="N404" s="11">
        <v>5861.0</v>
      </c>
      <c r="O404" s="4" t="s">
        <v>404</v>
      </c>
      <c r="P404" s="11">
        <v>116.0</v>
      </c>
      <c r="Q404" s="15">
        <v>97.0</v>
      </c>
      <c r="R404" s="22">
        <v>1.0</v>
      </c>
      <c r="S404">
        <f t="shared" si="1"/>
        <v>2013</v>
      </c>
      <c r="T404">
        <f t="shared" si="2"/>
        <v>5</v>
      </c>
      <c r="AF404" s="18"/>
      <c r="AG404" s="19"/>
      <c r="AL404" s="18"/>
      <c r="AM404" s="19"/>
    </row>
    <row r="405">
      <c r="A405" s="4" t="s">
        <v>1302</v>
      </c>
      <c r="B405" s="10">
        <v>41398.0</v>
      </c>
      <c r="C405" s="11" t="s">
        <v>130</v>
      </c>
      <c r="D405" s="11" t="s">
        <v>82</v>
      </c>
      <c r="E405" s="22" t="s">
        <v>160</v>
      </c>
      <c r="F405" s="11" t="s">
        <v>53</v>
      </c>
      <c r="G405" s="14" t="s">
        <v>54</v>
      </c>
      <c r="H405" s="11" t="s">
        <v>416</v>
      </c>
      <c r="I405" s="11"/>
      <c r="J405" s="11">
        <v>22.0</v>
      </c>
      <c r="K405" s="13"/>
      <c r="L405" s="11"/>
      <c r="M405" s="11">
        <v>543573.0</v>
      </c>
      <c r="N405" s="11" t="s">
        <v>1303</v>
      </c>
      <c r="P405" s="11">
        <v>0.0</v>
      </c>
      <c r="Q405" s="15">
        <v>0.0</v>
      </c>
      <c r="R405" s="22">
        <v>1.0</v>
      </c>
      <c r="S405">
        <f t="shared" si="1"/>
        <v>2013</v>
      </c>
      <c r="T405">
        <f t="shared" si="2"/>
        <v>5</v>
      </c>
      <c r="AF405" s="18"/>
      <c r="AG405" s="19"/>
      <c r="AL405" s="18"/>
      <c r="AM405" s="19"/>
    </row>
    <row r="406">
      <c r="A406" s="4" t="s">
        <v>1304</v>
      </c>
      <c r="B406" s="10">
        <v>41395.0</v>
      </c>
      <c r="C406" s="11" t="s">
        <v>350</v>
      </c>
      <c r="D406" s="11" t="s">
        <v>91</v>
      </c>
      <c r="E406" s="14" t="s">
        <v>52</v>
      </c>
      <c r="F406" s="11" t="s">
        <v>53</v>
      </c>
      <c r="G406" s="14" t="s">
        <v>54</v>
      </c>
      <c r="H406" s="11" t="s">
        <v>92</v>
      </c>
      <c r="I406" s="11"/>
      <c r="J406" s="11">
        <v>19.0</v>
      </c>
      <c r="K406" s="13">
        <v>41812.0</v>
      </c>
      <c r="L406" s="11">
        <f t="shared" ref="L406:L408" si="37">ROUND(((K406-B406)/365)*12)</f>
        <v>14</v>
      </c>
      <c r="M406" s="11">
        <v>621263.0</v>
      </c>
      <c r="N406" s="11" t="s">
        <v>1305</v>
      </c>
      <c r="P406" s="11">
        <v>0.0</v>
      </c>
      <c r="Q406" s="15">
        <v>0.0</v>
      </c>
      <c r="R406" s="22">
        <v>1.0</v>
      </c>
      <c r="S406">
        <f t="shared" si="1"/>
        <v>2013</v>
      </c>
      <c r="T406">
        <f t="shared" si="2"/>
        <v>5</v>
      </c>
      <c r="AF406" s="18"/>
      <c r="AG406" s="19"/>
      <c r="AL406" s="18"/>
      <c r="AM406" s="19"/>
    </row>
    <row r="407">
      <c r="A407" s="4" t="s">
        <v>447</v>
      </c>
      <c r="B407" s="10">
        <v>41395.0</v>
      </c>
      <c r="C407" s="11" t="s">
        <v>81</v>
      </c>
      <c r="D407" s="11" t="s">
        <v>91</v>
      </c>
      <c r="E407" s="14" t="s">
        <v>52</v>
      </c>
      <c r="F407" s="11" t="s">
        <v>53</v>
      </c>
      <c r="G407" s="14" t="s">
        <v>54</v>
      </c>
      <c r="H407" s="11" t="s">
        <v>597</v>
      </c>
      <c r="I407" s="11" t="s">
        <v>1306</v>
      </c>
      <c r="J407" s="11">
        <v>23.0</v>
      </c>
      <c r="K407" s="13">
        <v>41806.0</v>
      </c>
      <c r="L407" s="11">
        <f t="shared" si="37"/>
        <v>14</v>
      </c>
      <c r="M407" s="11">
        <v>607306.0</v>
      </c>
      <c r="N407" s="11" t="s">
        <v>1307</v>
      </c>
      <c r="P407" s="11">
        <v>0.0</v>
      </c>
      <c r="Q407" s="15">
        <v>0.0</v>
      </c>
      <c r="R407" s="11">
        <v>0.0</v>
      </c>
      <c r="S407">
        <f t="shared" si="1"/>
        <v>2013</v>
      </c>
      <c r="T407">
        <f t="shared" si="2"/>
        <v>5</v>
      </c>
      <c r="AF407" s="18"/>
      <c r="AG407" s="19"/>
      <c r="AL407" s="18"/>
      <c r="AM407" s="19"/>
    </row>
    <row r="408">
      <c r="A408" s="4" t="s">
        <v>1308</v>
      </c>
      <c r="B408" s="10">
        <v>41395.0</v>
      </c>
      <c r="C408" s="11" t="s">
        <v>331</v>
      </c>
      <c r="D408" s="11" t="s">
        <v>124</v>
      </c>
      <c r="E408" s="11" t="s">
        <v>52</v>
      </c>
      <c r="F408" s="11" t="s">
        <v>53</v>
      </c>
      <c r="G408" s="11" t="s">
        <v>54</v>
      </c>
      <c r="H408" s="11" t="s">
        <v>99</v>
      </c>
      <c r="I408" s="11" t="s">
        <v>204</v>
      </c>
      <c r="J408" s="11">
        <v>22.0</v>
      </c>
      <c r="K408" s="13">
        <v>42124.0</v>
      </c>
      <c r="L408" s="11">
        <f t="shared" si="37"/>
        <v>24</v>
      </c>
      <c r="M408" s="11">
        <v>608716.0</v>
      </c>
      <c r="N408" s="11" t="s">
        <v>1309</v>
      </c>
      <c r="P408" s="11">
        <v>0.0</v>
      </c>
      <c r="Q408" s="15">
        <v>0.0</v>
      </c>
      <c r="R408" s="22">
        <v>1.0</v>
      </c>
      <c r="S408">
        <f t="shared" si="1"/>
        <v>2013</v>
      </c>
      <c r="T408">
        <f t="shared" si="2"/>
        <v>5</v>
      </c>
      <c r="AF408" s="18"/>
      <c r="AG408" s="19"/>
      <c r="AL408" s="18"/>
      <c r="AM408" s="19"/>
    </row>
    <row r="409">
      <c r="A409" s="4" t="s">
        <v>1311</v>
      </c>
      <c r="B409" s="10">
        <v>41395.0</v>
      </c>
      <c r="C409" s="11" t="s">
        <v>114</v>
      </c>
      <c r="D409" s="11" t="s">
        <v>151</v>
      </c>
      <c r="E409" s="11" t="s">
        <v>52</v>
      </c>
      <c r="F409" s="11" t="s">
        <v>76</v>
      </c>
      <c r="G409" s="11" t="s">
        <v>54</v>
      </c>
      <c r="H409" s="11" t="s">
        <v>1312</v>
      </c>
      <c r="I409" s="11" t="s">
        <v>1312</v>
      </c>
      <c r="J409" s="11">
        <v>18.0</v>
      </c>
      <c r="K409" s="13">
        <v>42177.0</v>
      </c>
      <c r="L409" s="11"/>
      <c r="M409" s="11">
        <v>665014.0</v>
      </c>
      <c r="N409" s="11" t="s">
        <v>1313</v>
      </c>
      <c r="P409" s="11">
        <v>0.0</v>
      </c>
      <c r="Q409" s="15">
        <v>0.0</v>
      </c>
      <c r="R409" s="22">
        <v>1.0</v>
      </c>
      <c r="S409">
        <f t="shared" si="1"/>
        <v>2013</v>
      </c>
      <c r="T409">
        <f t="shared" si="2"/>
        <v>5</v>
      </c>
      <c r="AF409" s="18"/>
      <c r="AG409" s="19"/>
      <c r="AL409" s="18"/>
      <c r="AM409" s="19"/>
    </row>
    <row r="410">
      <c r="A410" s="4" t="s">
        <v>1314</v>
      </c>
      <c r="B410" s="10">
        <v>41395.0</v>
      </c>
      <c r="C410" s="11" t="s">
        <v>114</v>
      </c>
      <c r="D410" s="11" t="s">
        <v>110</v>
      </c>
      <c r="E410" s="14" t="s">
        <v>52</v>
      </c>
      <c r="F410" s="11" t="s">
        <v>53</v>
      </c>
      <c r="G410" s="14" t="s">
        <v>54</v>
      </c>
      <c r="H410" s="11" t="s">
        <v>316</v>
      </c>
      <c r="I410" s="11" t="s">
        <v>1316</v>
      </c>
      <c r="J410" s="11">
        <v>25.0</v>
      </c>
      <c r="K410" s="13"/>
      <c r="L410" s="11"/>
      <c r="M410" s="11">
        <v>571752.0</v>
      </c>
      <c r="N410" s="11" t="s">
        <v>1317</v>
      </c>
      <c r="P410" s="11">
        <v>0.0</v>
      </c>
      <c r="Q410" s="15">
        <v>0.0</v>
      </c>
      <c r="R410" s="11">
        <v>0.0</v>
      </c>
      <c r="S410">
        <f t="shared" si="1"/>
        <v>2013</v>
      </c>
      <c r="T410">
        <f t="shared" si="2"/>
        <v>5</v>
      </c>
      <c r="AF410" s="18"/>
      <c r="AG410" s="19"/>
      <c r="AL410" s="18"/>
      <c r="AM410" s="19"/>
    </row>
    <row r="411">
      <c r="A411" s="4" t="s">
        <v>1318</v>
      </c>
      <c r="B411" s="10">
        <v>41395.0</v>
      </c>
      <c r="C411" s="11" t="s">
        <v>138</v>
      </c>
      <c r="D411" s="11" t="s">
        <v>124</v>
      </c>
      <c r="E411" s="14" t="s">
        <v>52</v>
      </c>
      <c r="F411" s="11" t="s">
        <v>53</v>
      </c>
      <c r="G411" s="14" t="s">
        <v>54</v>
      </c>
      <c r="H411" s="11" t="s">
        <v>92</v>
      </c>
      <c r="I411" s="11"/>
      <c r="J411" s="11">
        <v>21.0</v>
      </c>
      <c r="K411" s="13">
        <v>41830.0</v>
      </c>
      <c r="L411" s="11">
        <f t="shared" ref="L411:L414" si="38">ROUND(((K411-B411)/365)*12)</f>
        <v>14</v>
      </c>
      <c r="M411" s="11">
        <v>592290.0</v>
      </c>
      <c r="N411" s="11" t="s">
        <v>1319</v>
      </c>
      <c r="P411" s="11">
        <v>0.0</v>
      </c>
      <c r="Q411" s="15">
        <v>0.0</v>
      </c>
      <c r="R411" s="22">
        <v>1.0</v>
      </c>
      <c r="S411">
        <f t="shared" si="1"/>
        <v>2013</v>
      </c>
      <c r="T411">
        <f t="shared" si="2"/>
        <v>5</v>
      </c>
      <c r="AF411" s="18"/>
      <c r="AG411" s="19"/>
      <c r="AL411" s="18"/>
      <c r="AM411" s="19"/>
    </row>
    <row r="412">
      <c r="A412" s="4" t="s">
        <v>1320</v>
      </c>
      <c r="B412" s="10">
        <v>41395.0</v>
      </c>
      <c r="C412" s="11" t="s">
        <v>138</v>
      </c>
      <c r="D412" s="11" t="s">
        <v>82</v>
      </c>
      <c r="E412" s="22" t="s">
        <v>264</v>
      </c>
      <c r="F412" s="11" t="s">
        <v>53</v>
      </c>
      <c r="G412" s="14" t="s">
        <v>54</v>
      </c>
      <c r="H412" s="11" t="s">
        <v>92</v>
      </c>
      <c r="I412" s="11"/>
      <c r="J412" s="11">
        <v>23.0</v>
      </c>
      <c r="K412" s="13">
        <v>42248.0</v>
      </c>
      <c r="L412" s="11">
        <f t="shared" si="38"/>
        <v>28</v>
      </c>
      <c r="M412" s="11">
        <v>543309.0</v>
      </c>
      <c r="N412" s="11" t="s">
        <v>1321</v>
      </c>
      <c r="P412" s="11">
        <v>0.0</v>
      </c>
      <c r="Q412" s="15">
        <v>0.0</v>
      </c>
      <c r="R412" s="22">
        <v>1.0</v>
      </c>
      <c r="S412">
        <f t="shared" si="1"/>
        <v>2013</v>
      </c>
      <c r="T412">
        <f t="shared" si="2"/>
        <v>5</v>
      </c>
      <c r="AF412" s="18"/>
      <c r="AG412" s="19"/>
      <c r="AL412" s="18"/>
      <c r="AM412" s="19"/>
    </row>
    <row r="413">
      <c r="A413" s="4" t="s">
        <v>1322</v>
      </c>
      <c r="B413" s="10">
        <v>41395.0</v>
      </c>
      <c r="C413" s="11" t="s">
        <v>103</v>
      </c>
      <c r="D413" s="11" t="s">
        <v>151</v>
      </c>
      <c r="E413" s="14" t="s">
        <v>52</v>
      </c>
      <c r="F413" s="11" t="s">
        <v>53</v>
      </c>
      <c r="G413" s="14" t="s">
        <v>54</v>
      </c>
      <c r="H413" s="11" t="s">
        <v>305</v>
      </c>
      <c r="I413" s="11" t="s">
        <v>1323</v>
      </c>
      <c r="J413" s="11">
        <v>21.0</v>
      </c>
      <c r="K413" s="13">
        <v>41805.0</v>
      </c>
      <c r="L413" s="11">
        <f t="shared" si="38"/>
        <v>13</v>
      </c>
      <c r="M413" s="11">
        <v>592856.0</v>
      </c>
      <c r="N413" s="11" t="s">
        <v>1324</v>
      </c>
      <c r="P413" s="11">
        <v>0.0</v>
      </c>
      <c r="Q413" s="15">
        <v>0.0</v>
      </c>
      <c r="R413" s="22">
        <v>1.0</v>
      </c>
      <c r="S413">
        <f t="shared" si="1"/>
        <v>2013</v>
      </c>
      <c r="T413">
        <f t="shared" si="2"/>
        <v>5</v>
      </c>
      <c r="AF413" s="18"/>
      <c r="AG413" s="19"/>
      <c r="AL413" s="18"/>
      <c r="AM413" s="19"/>
    </row>
    <row r="414">
      <c r="A414" s="4" t="s">
        <v>1325</v>
      </c>
      <c r="B414" s="10">
        <v>41395.0</v>
      </c>
      <c r="C414" s="11" t="s">
        <v>125</v>
      </c>
      <c r="D414" s="11" t="s">
        <v>82</v>
      </c>
      <c r="E414" s="14" t="s">
        <v>52</v>
      </c>
      <c r="F414" s="11" t="s">
        <v>53</v>
      </c>
      <c r="G414" s="14" t="s">
        <v>54</v>
      </c>
      <c r="H414" s="11" t="s">
        <v>92</v>
      </c>
      <c r="I414" s="11" t="s">
        <v>1063</v>
      </c>
      <c r="J414" s="11">
        <v>25.0</v>
      </c>
      <c r="K414" s="13">
        <v>41824.0</v>
      </c>
      <c r="L414" s="11">
        <f t="shared" si="38"/>
        <v>14</v>
      </c>
      <c r="M414" s="11">
        <v>502144.0</v>
      </c>
      <c r="N414" s="11" t="s">
        <v>1326</v>
      </c>
      <c r="P414" s="11">
        <v>0.0</v>
      </c>
      <c r="Q414" s="15">
        <v>0.0</v>
      </c>
      <c r="R414" s="22">
        <v>1.0</v>
      </c>
      <c r="S414">
        <f t="shared" si="1"/>
        <v>2013</v>
      </c>
      <c r="T414">
        <f t="shared" si="2"/>
        <v>5</v>
      </c>
      <c r="AF414" s="18"/>
      <c r="AG414" s="19"/>
      <c r="AL414" s="18"/>
      <c r="AM414" s="19"/>
    </row>
    <row r="415">
      <c r="A415" s="4" t="s">
        <v>1327</v>
      </c>
      <c r="B415" s="10">
        <v>41395.0</v>
      </c>
      <c r="C415" s="11" t="s">
        <v>49</v>
      </c>
      <c r="D415" s="11" t="s">
        <v>151</v>
      </c>
      <c r="E415" s="11" t="s">
        <v>52</v>
      </c>
      <c r="F415" s="11" t="s">
        <v>53</v>
      </c>
      <c r="G415" s="11" t="s">
        <v>54</v>
      </c>
      <c r="H415" s="11" t="s">
        <v>92</v>
      </c>
      <c r="I415" s="11" t="s">
        <v>1328</v>
      </c>
      <c r="J415" s="11">
        <v>19.0</v>
      </c>
      <c r="K415" s="13">
        <v>42179.0</v>
      </c>
      <c r="L415" s="11"/>
      <c r="M415" s="11">
        <v>656730.0</v>
      </c>
      <c r="N415" s="11" t="s">
        <v>1329</v>
      </c>
      <c r="O415" s="4"/>
      <c r="P415" s="11">
        <v>0.0</v>
      </c>
      <c r="Q415" s="15">
        <v>0.0</v>
      </c>
      <c r="R415" s="11">
        <v>0.0</v>
      </c>
      <c r="S415">
        <f t="shared" si="1"/>
        <v>2013</v>
      </c>
      <c r="T415">
        <f t="shared" si="2"/>
        <v>5</v>
      </c>
      <c r="AF415" s="18"/>
      <c r="AG415" s="19"/>
      <c r="AL415" s="18"/>
      <c r="AM415" s="19"/>
    </row>
    <row r="416">
      <c r="A416" s="4" t="s">
        <v>144</v>
      </c>
      <c r="B416" s="10">
        <v>41388.0</v>
      </c>
      <c r="C416" s="11" t="s">
        <v>81</v>
      </c>
      <c r="D416" s="11" t="s">
        <v>51</v>
      </c>
      <c r="E416" s="14" t="s">
        <v>52</v>
      </c>
      <c r="F416" s="11" t="s">
        <v>53</v>
      </c>
      <c r="G416" s="14" t="s">
        <v>54</v>
      </c>
      <c r="H416" s="11" t="s">
        <v>305</v>
      </c>
      <c r="I416" s="11"/>
      <c r="J416" s="11">
        <v>28.0</v>
      </c>
      <c r="K416" s="13">
        <v>42129.0</v>
      </c>
      <c r="L416" s="11">
        <f t="shared" ref="L416:L419" si="39">ROUND(((K416-B416)/365)*12)</f>
        <v>24</v>
      </c>
      <c r="M416" s="11">
        <v>451532.0</v>
      </c>
      <c r="N416" s="11">
        <v>5842.0</v>
      </c>
      <c r="O416" s="4" t="s">
        <v>188</v>
      </c>
      <c r="P416" s="11">
        <v>7.0</v>
      </c>
      <c r="Q416" s="15">
        <v>37.0</v>
      </c>
      <c r="R416" s="11">
        <v>0.0</v>
      </c>
      <c r="S416">
        <f t="shared" si="1"/>
        <v>2013</v>
      </c>
      <c r="T416">
        <f t="shared" si="2"/>
        <v>4</v>
      </c>
      <c r="AF416" s="18"/>
      <c r="AG416" s="19"/>
      <c r="AL416" s="18"/>
      <c r="AM416" s="19"/>
    </row>
    <row r="417">
      <c r="A417" s="4" t="s">
        <v>1330</v>
      </c>
      <c r="B417" s="10">
        <v>41388.0</v>
      </c>
      <c r="C417" s="11" t="s">
        <v>239</v>
      </c>
      <c r="D417" s="11" t="s">
        <v>75</v>
      </c>
      <c r="E417" s="14" t="s">
        <v>52</v>
      </c>
      <c r="F417" s="11" t="s">
        <v>53</v>
      </c>
      <c r="G417" s="14" t="s">
        <v>54</v>
      </c>
      <c r="H417" s="11" t="s">
        <v>344</v>
      </c>
      <c r="I417" s="11" t="s">
        <v>1187</v>
      </c>
      <c r="J417" s="11">
        <v>27.0</v>
      </c>
      <c r="K417" s="13">
        <v>41782.0</v>
      </c>
      <c r="L417" s="11">
        <f t="shared" si="39"/>
        <v>13</v>
      </c>
      <c r="M417" s="11">
        <v>518655.0</v>
      </c>
      <c r="N417" s="11">
        <v>6132.0</v>
      </c>
      <c r="P417" s="11">
        <v>0.0</v>
      </c>
      <c r="Q417" s="15">
        <v>0.0</v>
      </c>
      <c r="R417" s="11">
        <v>0.0</v>
      </c>
      <c r="S417">
        <f t="shared" si="1"/>
        <v>2013</v>
      </c>
      <c r="T417">
        <f t="shared" si="2"/>
        <v>4</v>
      </c>
      <c r="AF417" s="18"/>
      <c r="AG417" s="19"/>
      <c r="AL417" s="18"/>
      <c r="AM417" s="19"/>
    </row>
    <row r="418">
      <c r="A418" s="4" t="s">
        <v>1331</v>
      </c>
      <c r="B418" s="10">
        <v>41386.0</v>
      </c>
      <c r="C418" s="11" t="s">
        <v>138</v>
      </c>
      <c r="D418" s="11" t="s">
        <v>110</v>
      </c>
      <c r="E418" s="14" t="s">
        <v>52</v>
      </c>
      <c r="F418" s="11" t="s">
        <v>53</v>
      </c>
      <c r="G418" s="14" t="s">
        <v>54</v>
      </c>
      <c r="H418" s="11" t="s">
        <v>260</v>
      </c>
      <c r="I418" s="11" t="s">
        <v>1332</v>
      </c>
      <c r="J418" s="11">
        <v>21.0</v>
      </c>
      <c r="K418" s="13">
        <v>41765.0</v>
      </c>
      <c r="L418" s="11">
        <f t="shared" si="39"/>
        <v>12</v>
      </c>
      <c r="M418" s="11">
        <v>580792.0</v>
      </c>
      <c r="N418" s="11">
        <v>13685.0</v>
      </c>
      <c r="P418" s="11">
        <v>34.0</v>
      </c>
      <c r="Q418" s="15">
        <v>34.667</v>
      </c>
      <c r="R418" s="22">
        <v>1.0</v>
      </c>
      <c r="S418">
        <f t="shared" si="1"/>
        <v>2013</v>
      </c>
      <c r="T418">
        <f t="shared" si="2"/>
        <v>4</v>
      </c>
      <c r="AF418" s="18"/>
      <c r="AG418" s="19"/>
      <c r="AL418" s="18"/>
      <c r="AM418" s="19"/>
    </row>
    <row r="419">
      <c r="A419" s="4" t="s">
        <v>1333</v>
      </c>
      <c r="B419" s="10">
        <v>41381.0</v>
      </c>
      <c r="C419" s="11" t="s">
        <v>74</v>
      </c>
      <c r="D419" s="11" t="s">
        <v>82</v>
      </c>
      <c r="E419" s="22" t="s">
        <v>834</v>
      </c>
      <c r="F419" s="11" t="s">
        <v>53</v>
      </c>
      <c r="G419" s="14" t="s">
        <v>54</v>
      </c>
      <c r="H419" s="11" t="s">
        <v>99</v>
      </c>
      <c r="I419" s="11" t="s">
        <v>743</v>
      </c>
      <c r="J419" s="11">
        <v>23.0</v>
      </c>
      <c r="K419" s="13">
        <v>41732.0</v>
      </c>
      <c r="L419" s="11">
        <f t="shared" si="39"/>
        <v>12</v>
      </c>
      <c r="M419" s="11">
        <v>605474.0</v>
      </c>
      <c r="N419" s="11" t="s">
        <v>1334</v>
      </c>
      <c r="P419" s="11">
        <v>0.0</v>
      </c>
      <c r="Q419" s="15">
        <v>0.0</v>
      </c>
      <c r="R419" s="22">
        <v>1.0</v>
      </c>
      <c r="S419">
        <f t="shared" si="1"/>
        <v>2013</v>
      </c>
      <c r="T419">
        <f t="shared" si="2"/>
        <v>4</v>
      </c>
      <c r="AF419" s="18"/>
      <c r="AG419" s="19"/>
      <c r="AL419" s="18"/>
      <c r="AM419" s="19"/>
    </row>
    <row r="420">
      <c r="A420" s="4" t="s">
        <v>1336</v>
      </c>
      <c r="B420" s="10">
        <v>41375.0</v>
      </c>
      <c r="C420" s="11" t="s">
        <v>239</v>
      </c>
      <c r="D420" s="11" t="s">
        <v>51</v>
      </c>
      <c r="E420" s="14" t="s">
        <v>52</v>
      </c>
      <c r="F420" s="11" t="s">
        <v>53</v>
      </c>
      <c r="G420" s="14" t="s">
        <v>54</v>
      </c>
      <c r="H420" s="11" t="s">
        <v>211</v>
      </c>
      <c r="I420" s="11" t="s">
        <v>211</v>
      </c>
      <c r="J420" s="11">
        <v>24.0</v>
      </c>
      <c r="K420" s="14"/>
      <c r="L420" s="14"/>
      <c r="M420" s="11">
        <v>502229.0</v>
      </c>
      <c r="N420" s="11">
        <v>10054.0</v>
      </c>
      <c r="O420" s="4" t="s">
        <v>59</v>
      </c>
      <c r="P420" s="11">
        <v>0.0</v>
      </c>
      <c r="Q420" s="32">
        <v>0.0</v>
      </c>
      <c r="R420" s="11">
        <v>0.0</v>
      </c>
      <c r="S420">
        <f t="shared" si="1"/>
        <v>2013</v>
      </c>
      <c r="T420">
        <f t="shared" si="2"/>
        <v>4</v>
      </c>
      <c r="AF420" s="18"/>
      <c r="AG420" s="19"/>
      <c r="AL420" s="18"/>
      <c r="AM420" s="19"/>
    </row>
    <row r="421">
      <c r="A421" s="4" t="s">
        <v>1337</v>
      </c>
      <c r="B421" s="10">
        <v>41375.0</v>
      </c>
      <c r="C421" s="11" t="s">
        <v>81</v>
      </c>
      <c r="D421" s="11" t="s">
        <v>170</v>
      </c>
      <c r="E421" s="11" t="s">
        <v>52</v>
      </c>
      <c r="F421" s="11" t="s">
        <v>53</v>
      </c>
      <c r="G421" s="11" t="s">
        <v>54</v>
      </c>
      <c r="H421" s="11" t="s">
        <v>204</v>
      </c>
      <c r="I421" s="11" t="s">
        <v>477</v>
      </c>
      <c r="J421" s="11">
        <v>18.0</v>
      </c>
      <c r="K421" s="13">
        <v>42578.0</v>
      </c>
      <c r="L421" s="11"/>
      <c r="M421" s="11">
        <v>642068.0</v>
      </c>
      <c r="N421" s="11" t="s">
        <v>1338</v>
      </c>
      <c r="P421" s="11">
        <v>0.0</v>
      </c>
      <c r="Q421" s="15">
        <v>0.0</v>
      </c>
      <c r="R421" s="22">
        <v>1.0</v>
      </c>
      <c r="S421">
        <f t="shared" si="1"/>
        <v>2013</v>
      </c>
      <c r="T421">
        <f t="shared" si="2"/>
        <v>4</v>
      </c>
      <c r="AF421" s="18"/>
      <c r="AG421" s="19"/>
      <c r="AL421" s="18"/>
      <c r="AM421" s="19"/>
    </row>
    <row r="422">
      <c r="A422" s="4" t="s">
        <v>1339</v>
      </c>
      <c r="B422" s="10">
        <v>41367.0</v>
      </c>
      <c r="C422" s="11" t="s">
        <v>179</v>
      </c>
      <c r="D422" s="11" t="s">
        <v>75</v>
      </c>
      <c r="E422" s="14" t="s">
        <v>52</v>
      </c>
      <c r="F422" s="11" t="s">
        <v>76</v>
      </c>
      <c r="G422" s="14" t="s">
        <v>54</v>
      </c>
      <c r="H422" s="11" t="s">
        <v>204</v>
      </c>
      <c r="I422" s="11" t="s">
        <v>1340</v>
      </c>
      <c r="J422" s="11">
        <v>24.0</v>
      </c>
      <c r="K422" s="13">
        <v>41772.0</v>
      </c>
      <c r="L422" s="11">
        <f t="shared" ref="L422:L423" si="40">ROUND(((K422-B422)/365)*12)</f>
        <v>13</v>
      </c>
      <c r="M422" s="11">
        <v>518445.0</v>
      </c>
      <c r="N422" s="11" t="s">
        <v>1341</v>
      </c>
      <c r="P422" s="11">
        <v>0.0</v>
      </c>
      <c r="Q422" s="15">
        <v>0.0</v>
      </c>
      <c r="R422" s="22">
        <v>1.0</v>
      </c>
      <c r="S422">
        <f t="shared" si="1"/>
        <v>2013</v>
      </c>
      <c r="T422">
        <f t="shared" si="2"/>
        <v>4</v>
      </c>
      <c r="AF422" s="18"/>
      <c r="AG422" s="19"/>
      <c r="AL422" s="18"/>
      <c r="AM422" s="19"/>
    </row>
    <row r="423">
      <c r="A423" s="4" t="s">
        <v>1342</v>
      </c>
      <c r="B423" s="10">
        <v>41366.0</v>
      </c>
      <c r="C423" s="11" t="s">
        <v>49</v>
      </c>
      <c r="D423" s="11" t="s">
        <v>51</v>
      </c>
      <c r="E423" s="14" t="s">
        <v>52</v>
      </c>
      <c r="F423" s="11" t="s">
        <v>53</v>
      </c>
      <c r="G423" s="14" t="s">
        <v>54</v>
      </c>
      <c r="H423" s="11" t="s">
        <v>260</v>
      </c>
      <c r="I423" s="11"/>
      <c r="J423" s="11">
        <v>23.0</v>
      </c>
      <c r="K423" s="13">
        <v>42266.0</v>
      </c>
      <c r="L423" s="11">
        <f t="shared" si="40"/>
        <v>30</v>
      </c>
      <c r="M423" s="11">
        <v>543391.0</v>
      </c>
      <c r="N423" s="11">
        <v>9174.0</v>
      </c>
      <c r="O423" s="4" t="s">
        <v>59</v>
      </c>
      <c r="P423" s="11">
        <v>13.0</v>
      </c>
      <c r="Q423" s="15">
        <v>33.0</v>
      </c>
      <c r="R423" s="22">
        <v>1.0</v>
      </c>
      <c r="S423">
        <f t="shared" si="1"/>
        <v>2013</v>
      </c>
      <c r="T423">
        <f t="shared" si="2"/>
        <v>4</v>
      </c>
      <c r="AF423" s="18"/>
      <c r="AG423" s="19"/>
      <c r="AL423" s="18"/>
      <c r="AM423" s="19"/>
    </row>
    <row r="424">
      <c r="A424" s="4" t="s">
        <v>1343</v>
      </c>
      <c r="B424" s="10">
        <v>41365.0</v>
      </c>
      <c r="C424" s="11" t="s">
        <v>119</v>
      </c>
      <c r="D424" s="11" t="s">
        <v>170</v>
      </c>
      <c r="E424" s="11" t="s">
        <v>52</v>
      </c>
      <c r="F424" s="11" t="s">
        <v>53</v>
      </c>
      <c r="G424" s="11" t="s">
        <v>54</v>
      </c>
      <c r="H424" s="11" t="s">
        <v>126</v>
      </c>
      <c r="I424" s="11" t="s">
        <v>956</v>
      </c>
      <c r="J424" s="11">
        <v>18.0</v>
      </c>
      <c r="K424" s="13">
        <v>42548.0</v>
      </c>
      <c r="L424" s="11"/>
      <c r="M424" s="11">
        <v>670164.0</v>
      </c>
      <c r="N424" s="11" t="s">
        <v>1345</v>
      </c>
      <c r="P424" s="11">
        <v>0.0</v>
      </c>
      <c r="Q424" s="15">
        <v>0.0</v>
      </c>
      <c r="R424" s="22">
        <v>1.0</v>
      </c>
      <c r="S424">
        <f t="shared" si="1"/>
        <v>2013</v>
      </c>
      <c r="T424">
        <f t="shared" si="2"/>
        <v>4</v>
      </c>
      <c r="AF424" s="18"/>
      <c r="AG424" s="19"/>
      <c r="AL424" s="18"/>
      <c r="AM424" s="19"/>
    </row>
    <row r="425">
      <c r="A425" s="4" t="s">
        <v>1346</v>
      </c>
      <c r="B425" s="10">
        <v>41365.0</v>
      </c>
      <c r="C425" s="11" t="s">
        <v>229</v>
      </c>
      <c r="D425" s="11" t="s">
        <v>151</v>
      </c>
      <c r="E425" s="11" t="s">
        <v>52</v>
      </c>
      <c r="F425" s="11" t="s">
        <v>76</v>
      </c>
      <c r="G425" s="11" t="s">
        <v>54</v>
      </c>
      <c r="H425" s="11" t="s">
        <v>112</v>
      </c>
      <c r="I425" s="11" t="s">
        <v>1347</v>
      </c>
      <c r="J425" s="11">
        <v>21.0</v>
      </c>
      <c r="K425" s="13">
        <v>42176.0</v>
      </c>
      <c r="L425" s="11"/>
      <c r="M425" s="11">
        <v>592455.0</v>
      </c>
      <c r="N425" s="11" t="s">
        <v>1348</v>
      </c>
      <c r="P425" s="11">
        <v>0.0</v>
      </c>
      <c r="Q425" s="15">
        <v>0.0</v>
      </c>
      <c r="R425" s="22">
        <v>1.0</v>
      </c>
      <c r="S425">
        <f t="shared" si="1"/>
        <v>2013</v>
      </c>
      <c r="T425">
        <f t="shared" si="2"/>
        <v>4</v>
      </c>
      <c r="AF425" s="18"/>
      <c r="AG425" s="19"/>
      <c r="AL425" s="18"/>
      <c r="AM425" s="19"/>
    </row>
    <row r="426">
      <c r="A426" s="4" t="s">
        <v>1349</v>
      </c>
      <c r="B426" s="10">
        <v>41365.0</v>
      </c>
      <c r="C426" s="11" t="s">
        <v>114</v>
      </c>
      <c r="D426" s="11" t="s">
        <v>151</v>
      </c>
      <c r="E426" s="11" t="s">
        <v>52</v>
      </c>
      <c r="F426" s="11" t="s">
        <v>76</v>
      </c>
      <c r="G426" s="11" t="s">
        <v>54</v>
      </c>
      <c r="H426" s="11" t="s">
        <v>157</v>
      </c>
      <c r="I426" s="11" t="s">
        <v>1350</v>
      </c>
      <c r="J426" s="11">
        <v>20.0</v>
      </c>
      <c r="K426" s="13">
        <v>42177.0</v>
      </c>
      <c r="L426" s="11"/>
      <c r="M426" s="11">
        <v>665290.0</v>
      </c>
      <c r="N426" s="11" t="s">
        <v>1351</v>
      </c>
      <c r="P426" s="11">
        <v>0.0</v>
      </c>
      <c r="Q426" s="15">
        <v>0.0</v>
      </c>
      <c r="R426" s="22">
        <v>1.0</v>
      </c>
      <c r="S426">
        <f t="shared" si="1"/>
        <v>2013</v>
      </c>
      <c r="T426">
        <f t="shared" si="2"/>
        <v>4</v>
      </c>
      <c r="AF426" s="18"/>
      <c r="AG426" s="19"/>
      <c r="AL426" s="18"/>
      <c r="AM426" s="19"/>
    </row>
    <row r="427">
      <c r="A427" s="4" t="s">
        <v>1352</v>
      </c>
      <c r="B427" s="10">
        <v>41365.0</v>
      </c>
      <c r="C427" s="11" t="s">
        <v>138</v>
      </c>
      <c r="D427" s="11" t="s">
        <v>170</v>
      </c>
      <c r="E427" s="11" t="s">
        <v>52</v>
      </c>
      <c r="F427" s="11" t="s">
        <v>76</v>
      </c>
      <c r="G427" s="11" t="s">
        <v>54</v>
      </c>
      <c r="H427" s="11" t="s">
        <v>322</v>
      </c>
      <c r="I427" s="11" t="s">
        <v>909</v>
      </c>
      <c r="J427" s="11">
        <v>19.0</v>
      </c>
      <c r="K427" s="13">
        <v>42203.0</v>
      </c>
      <c r="L427" s="11"/>
      <c r="M427" s="11">
        <v>642028.0</v>
      </c>
      <c r="N427" s="11" t="s">
        <v>1353</v>
      </c>
      <c r="P427" s="11">
        <v>0.0</v>
      </c>
      <c r="Q427" s="15">
        <v>0.0</v>
      </c>
      <c r="R427" s="22">
        <v>1.0</v>
      </c>
      <c r="S427">
        <f t="shared" si="1"/>
        <v>2013</v>
      </c>
      <c r="T427">
        <f t="shared" si="2"/>
        <v>4</v>
      </c>
      <c r="AF427" s="18"/>
      <c r="AG427" s="19"/>
      <c r="AL427" s="18"/>
      <c r="AM427" s="19"/>
    </row>
    <row r="428">
      <c r="A428" s="4" t="s">
        <v>1354</v>
      </c>
      <c r="B428" s="10">
        <v>41363.0</v>
      </c>
      <c r="C428" s="11" t="s">
        <v>711</v>
      </c>
      <c r="D428" s="11" t="s">
        <v>91</v>
      </c>
      <c r="E428" s="14" t="s">
        <v>52</v>
      </c>
      <c r="F428" s="11" t="s">
        <v>76</v>
      </c>
      <c r="G428" s="14" t="s">
        <v>54</v>
      </c>
      <c r="H428" s="11" t="s">
        <v>344</v>
      </c>
      <c r="I428" s="11"/>
      <c r="J428" s="11">
        <v>19.0</v>
      </c>
      <c r="K428" s="13">
        <v>41810.0</v>
      </c>
      <c r="L428" s="11">
        <f t="shared" ref="L428:L433" si="41">ROUND(((K428-B428)/365)*12)</f>
        <v>15</v>
      </c>
      <c r="M428" s="11">
        <v>621366.0</v>
      </c>
      <c r="N428" s="11" t="s">
        <v>1355</v>
      </c>
      <c r="P428" s="11">
        <v>0.0</v>
      </c>
      <c r="Q428" s="15">
        <v>0.0</v>
      </c>
      <c r="R428" s="22">
        <v>1.0</v>
      </c>
      <c r="S428">
        <f t="shared" si="1"/>
        <v>2013</v>
      </c>
      <c r="T428">
        <f t="shared" si="2"/>
        <v>3</v>
      </c>
      <c r="AF428" s="18"/>
      <c r="AG428" s="19"/>
      <c r="AL428" s="18"/>
      <c r="AM428" s="19"/>
    </row>
    <row r="429">
      <c r="A429" s="4" t="s">
        <v>561</v>
      </c>
      <c r="B429" s="10">
        <v>41360.0</v>
      </c>
      <c r="C429" s="11" t="s">
        <v>97</v>
      </c>
      <c r="D429" s="11" t="s">
        <v>51</v>
      </c>
      <c r="E429" s="14" t="s">
        <v>52</v>
      </c>
      <c r="F429" s="11" t="s">
        <v>53</v>
      </c>
      <c r="G429" s="14" t="s">
        <v>54</v>
      </c>
      <c r="H429" s="11" t="s">
        <v>157</v>
      </c>
      <c r="I429" s="11" t="s">
        <v>1356</v>
      </c>
      <c r="J429" s="11">
        <v>29.0</v>
      </c>
      <c r="K429" s="13">
        <v>41768.0</v>
      </c>
      <c r="L429" s="11">
        <f t="shared" si="41"/>
        <v>13</v>
      </c>
      <c r="M429" s="11">
        <v>451775.0</v>
      </c>
      <c r="N429" s="11">
        <v>7558.0</v>
      </c>
      <c r="O429" s="4" t="s">
        <v>102</v>
      </c>
      <c r="P429" s="11">
        <v>97.0</v>
      </c>
      <c r="Q429" s="15">
        <v>108.333</v>
      </c>
      <c r="R429" s="22">
        <v>1.0</v>
      </c>
      <c r="S429">
        <f t="shared" si="1"/>
        <v>2013</v>
      </c>
      <c r="T429">
        <f t="shared" si="2"/>
        <v>3</v>
      </c>
      <c r="AF429" s="18"/>
      <c r="AG429" s="19"/>
      <c r="AL429" s="18"/>
      <c r="AM429" s="19"/>
    </row>
    <row r="430">
      <c r="A430" s="4" t="s">
        <v>1357</v>
      </c>
      <c r="B430" s="10">
        <v>41359.0</v>
      </c>
      <c r="C430" s="11" t="s">
        <v>108</v>
      </c>
      <c r="D430" s="11" t="s">
        <v>75</v>
      </c>
      <c r="E430" s="14" t="s">
        <v>52</v>
      </c>
      <c r="F430" s="11" t="s">
        <v>76</v>
      </c>
      <c r="G430" s="14" t="s">
        <v>54</v>
      </c>
      <c r="H430" s="11" t="s">
        <v>157</v>
      </c>
      <c r="I430" s="11" t="s">
        <v>1358</v>
      </c>
      <c r="J430" s="11">
        <v>27.0</v>
      </c>
      <c r="K430" s="13">
        <v>41784.0</v>
      </c>
      <c r="L430" s="11">
        <f t="shared" si="41"/>
        <v>14</v>
      </c>
      <c r="M430" s="11">
        <v>545196.0</v>
      </c>
      <c r="N430" s="11" t="s">
        <v>1359</v>
      </c>
      <c r="P430" s="11">
        <v>0.0</v>
      </c>
      <c r="Q430" s="15">
        <v>0.0</v>
      </c>
      <c r="R430" s="22">
        <v>1.0</v>
      </c>
      <c r="S430">
        <f t="shared" si="1"/>
        <v>2013</v>
      </c>
      <c r="T430">
        <f t="shared" si="2"/>
        <v>3</v>
      </c>
      <c r="AF430" s="18"/>
      <c r="AG430" s="19"/>
      <c r="AL430" s="18"/>
      <c r="AM430" s="19"/>
    </row>
    <row r="431">
      <c r="A431" s="4" t="s">
        <v>1360</v>
      </c>
      <c r="B431" s="10">
        <v>41346.0</v>
      </c>
      <c r="C431" s="11" t="s">
        <v>169</v>
      </c>
      <c r="D431" s="11" t="s">
        <v>51</v>
      </c>
      <c r="E431" s="14" t="s">
        <v>52</v>
      </c>
      <c r="F431" s="11" t="s">
        <v>53</v>
      </c>
      <c r="G431" s="14" t="s">
        <v>54</v>
      </c>
      <c r="H431" s="11" t="s">
        <v>112</v>
      </c>
      <c r="I431" s="11" t="s">
        <v>1171</v>
      </c>
      <c r="J431" s="11">
        <v>29.0</v>
      </c>
      <c r="K431" s="33">
        <v>42599.0</v>
      </c>
      <c r="L431" s="11">
        <f t="shared" si="41"/>
        <v>41</v>
      </c>
      <c r="M431" s="11">
        <v>497807.0</v>
      </c>
      <c r="N431" s="11">
        <v>7960.0</v>
      </c>
      <c r="O431" s="4" t="s">
        <v>287</v>
      </c>
      <c r="P431" s="11">
        <v>14.0</v>
      </c>
      <c r="Q431" s="15">
        <v>15.0</v>
      </c>
      <c r="R431" s="22">
        <v>1.0</v>
      </c>
      <c r="S431">
        <f t="shared" si="1"/>
        <v>2013</v>
      </c>
      <c r="T431">
        <f t="shared" si="2"/>
        <v>3</v>
      </c>
      <c r="AF431" s="18"/>
      <c r="AG431" s="19"/>
      <c r="AL431" s="18"/>
      <c r="AM431" s="19"/>
    </row>
    <row r="432">
      <c r="A432" s="4" t="s">
        <v>1362</v>
      </c>
      <c r="B432" s="10">
        <v>41346.0</v>
      </c>
      <c r="C432" s="11" t="s">
        <v>156</v>
      </c>
      <c r="D432" s="11" t="s">
        <v>51</v>
      </c>
      <c r="E432" s="22" t="s">
        <v>392</v>
      </c>
      <c r="F432" s="11" t="s">
        <v>53</v>
      </c>
      <c r="G432" s="11" t="s">
        <v>83</v>
      </c>
      <c r="H432" s="14"/>
      <c r="I432" s="14"/>
      <c r="J432" s="11">
        <v>35.0</v>
      </c>
      <c r="K432" s="13">
        <v>41803.0</v>
      </c>
      <c r="L432" s="11">
        <f t="shared" si="41"/>
        <v>15</v>
      </c>
      <c r="M432" s="11">
        <v>279577.0</v>
      </c>
      <c r="N432" s="11">
        <v>88.0</v>
      </c>
      <c r="O432" s="4" t="s">
        <v>59</v>
      </c>
      <c r="P432" s="11">
        <v>9.0</v>
      </c>
      <c r="Q432" s="32">
        <v>37.0</v>
      </c>
      <c r="R432" s="22">
        <v>0.0</v>
      </c>
      <c r="S432">
        <f t="shared" si="1"/>
        <v>2013</v>
      </c>
      <c r="T432">
        <f t="shared" si="2"/>
        <v>3</v>
      </c>
      <c r="AF432" s="18"/>
      <c r="AG432" s="19"/>
      <c r="AL432" s="18"/>
      <c r="AM432" s="19"/>
    </row>
    <row r="433">
      <c r="A433" s="4" t="s">
        <v>1363</v>
      </c>
      <c r="B433" s="10">
        <v>41346.0</v>
      </c>
      <c r="C433" s="11" t="s">
        <v>133</v>
      </c>
      <c r="D433" s="11" t="s">
        <v>82</v>
      </c>
      <c r="E433" s="14" t="s">
        <v>52</v>
      </c>
      <c r="F433" s="11" t="s">
        <v>53</v>
      </c>
      <c r="G433" s="14" t="s">
        <v>54</v>
      </c>
      <c r="H433" s="11" t="s">
        <v>77</v>
      </c>
      <c r="I433" s="11" t="s">
        <v>837</v>
      </c>
      <c r="J433" s="11">
        <v>22.0</v>
      </c>
      <c r="K433" s="13">
        <v>41751.0</v>
      </c>
      <c r="L433" s="11">
        <f t="shared" si="41"/>
        <v>13</v>
      </c>
      <c r="M433" s="11">
        <v>594891.0</v>
      </c>
      <c r="N433" s="11" t="s">
        <v>1364</v>
      </c>
      <c r="P433" s="11">
        <v>0.0</v>
      </c>
      <c r="Q433" s="15">
        <v>0.0</v>
      </c>
      <c r="R433" s="22">
        <v>1.0</v>
      </c>
      <c r="S433">
        <f t="shared" si="1"/>
        <v>2013</v>
      </c>
      <c r="T433">
        <f t="shared" si="2"/>
        <v>3</v>
      </c>
      <c r="AF433" s="18"/>
      <c r="AG433" s="19"/>
      <c r="AL433" s="18"/>
      <c r="AM433" s="19"/>
    </row>
    <row r="434">
      <c r="A434" s="4" t="s">
        <v>1365</v>
      </c>
      <c r="B434" s="10">
        <v>41332.0</v>
      </c>
      <c r="C434" s="11" t="s">
        <v>81</v>
      </c>
      <c r="D434" s="11" t="s">
        <v>151</v>
      </c>
      <c r="E434" s="11" t="s">
        <v>52</v>
      </c>
      <c r="F434" s="11" t="s">
        <v>53</v>
      </c>
      <c r="G434" s="11" t="s">
        <v>54</v>
      </c>
      <c r="H434" s="11" t="s">
        <v>322</v>
      </c>
      <c r="I434" s="11" t="s">
        <v>1366</v>
      </c>
      <c r="J434" s="11">
        <v>19.0</v>
      </c>
      <c r="K434" s="13"/>
      <c r="L434" s="11"/>
      <c r="M434" s="11"/>
      <c r="N434" s="11"/>
      <c r="O434" s="4"/>
      <c r="P434" s="11">
        <v>0.0</v>
      </c>
      <c r="Q434" s="15">
        <v>0.0</v>
      </c>
      <c r="R434" s="22">
        <v>1.0</v>
      </c>
      <c r="S434">
        <f t="shared" si="1"/>
        <v>2013</v>
      </c>
      <c r="T434">
        <f t="shared" si="2"/>
        <v>2</v>
      </c>
      <c r="AF434" s="18"/>
      <c r="AG434" s="19"/>
      <c r="AL434" s="18"/>
      <c r="AM434" s="19"/>
    </row>
    <row r="435">
      <c r="A435" s="4" t="s">
        <v>1367</v>
      </c>
      <c r="B435" s="10">
        <v>41325.0</v>
      </c>
      <c r="C435" s="11" t="s">
        <v>49</v>
      </c>
      <c r="D435" s="11" t="s">
        <v>82</v>
      </c>
      <c r="E435" s="22" t="s">
        <v>160</v>
      </c>
      <c r="F435" s="11" t="s">
        <v>53</v>
      </c>
      <c r="G435" s="11" t="s">
        <v>83</v>
      </c>
      <c r="H435" s="14"/>
      <c r="I435" s="14"/>
      <c r="J435" s="11">
        <v>22.0</v>
      </c>
      <c r="K435" s="13">
        <v>41732.0</v>
      </c>
      <c r="L435" s="11">
        <f>ROUND(((K435-B435)/365)*12)</f>
        <v>13</v>
      </c>
      <c r="M435" s="11">
        <v>542642.0</v>
      </c>
      <c r="N435" s="11">
        <v>4779.0</v>
      </c>
      <c r="O435" s="4" t="s">
        <v>805</v>
      </c>
      <c r="P435" s="11">
        <v>38.0</v>
      </c>
      <c r="Q435" s="15">
        <v>121.0</v>
      </c>
      <c r="R435" s="22">
        <v>1.0</v>
      </c>
      <c r="S435">
        <f t="shared" si="1"/>
        <v>2013</v>
      </c>
      <c r="T435">
        <f t="shared" si="2"/>
        <v>2</v>
      </c>
      <c r="AF435" s="18"/>
      <c r="AG435" s="19"/>
      <c r="AL435" s="18"/>
      <c r="AM435" s="19"/>
    </row>
    <row r="436">
      <c r="A436" s="4" t="s">
        <v>1368</v>
      </c>
      <c r="B436" s="10">
        <v>41275.0</v>
      </c>
      <c r="C436" s="11" t="s">
        <v>96</v>
      </c>
      <c r="D436" s="11" t="s">
        <v>151</v>
      </c>
      <c r="E436" s="11" t="s">
        <v>52</v>
      </c>
      <c r="F436" s="11" t="s">
        <v>53</v>
      </c>
      <c r="G436" s="11" t="s">
        <v>54</v>
      </c>
      <c r="H436" s="11" t="s">
        <v>416</v>
      </c>
      <c r="I436" s="11" t="s">
        <v>1369</v>
      </c>
      <c r="J436" s="11">
        <v>20.0</v>
      </c>
      <c r="K436" s="13">
        <v>42180.0</v>
      </c>
      <c r="L436" s="14"/>
      <c r="M436" s="11">
        <v>664199.0</v>
      </c>
      <c r="N436" s="11" t="s">
        <v>1370</v>
      </c>
      <c r="P436" s="11">
        <v>0.0</v>
      </c>
      <c r="Q436" s="15">
        <v>0.0</v>
      </c>
      <c r="R436" s="22">
        <v>1.0</v>
      </c>
      <c r="S436">
        <f t="shared" si="1"/>
        <v>2013</v>
      </c>
      <c r="T436">
        <f t="shared" si="2"/>
        <v>1</v>
      </c>
      <c r="AF436" s="18"/>
      <c r="AG436" s="19"/>
      <c r="AL436" s="18"/>
      <c r="AM436" s="19"/>
    </row>
    <row r="437">
      <c r="A437" s="4" t="s">
        <v>1374</v>
      </c>
      <c r="B437" s="10">
        <v>41275.0</v>
      </c>
      <c r="C437" s="11" t="s">
        <v>96</v>
      </c>
      <c r="D437" s="11" t="s">
        <v>170</v>
      </c>
      <c r="E437" s="11" t="s">
        <v>52</v>
      </c>
      <c r="F437" s="11" t="s">
        <v>53</v>
      </c>
      <c r="G437" s="11" t="s">
        <v>54</v>
      </c>
      <c r="H437" s="11" t="s">
        <v>92</v>
      </c>
      <c r="I437" s="11" t="s">
        <v>1375</v>
      </c>
      <c r="J437" s="11">
        <v>19.0</v>
      </c>
      <c r="K437" s="13">
        <v>42178.0</v>
      </c>
      <c r="L437" s="14"/>
      <c r="M437" s="11">
        <v>664845.0</v>
      </c>
      <c r="N437" s="11" t="s">
        <v>1376</v>
      </c>
      <c r="P437" s="11">
        <v>0.0</v>
      </c>
      <c r="Q437" s="15">
        <v>0.0</v>
      </c>
      <c r="R437" s="22">
        <v>1.0</v>
      </c>
      <c r="S437">
        <f t="shared" si="1"/>
        <v>2013</v>
      </c>
      <c r="T437">
        <f t="shared" si="2"/>
        <v>1</v>
      </c>
      <c r="AF437" s="18"/>
      <c r="AG437" s="19"/>
      <c r="AL437" s="18"/>
      <c r="AM437" s="19"/>
    </row>
    <row r="438">
      <c r="A438" s="4" t="s">
        <v>1377</v>
      </c>
      <c r="B438" s="10">
        <v>41275.0</v>
      </c>
      <c r="C438" s="11" t="s">
        <v>142</v>
      </c>
      <c r="D438" s="11" t="s">
        <v>151</v>
      </c>
      <c r="E438" s="11" t="s">
        <v>52</v>
      </c>
      <c r="F438" s="11" t="s">
        <v>76</v>
      </c>
      <c r="G438" s="11" t="s">
        <v>54</v>
      </c>
      <c r="H438" s="11" t="s">
        <v>476</v>
      </c>
      <c r="I438" s="11" t="s">
        <v>1378</v>
      </c>
      <c r="J438" s="11">
        <v>18.0</v>
      </c>
      <c r="K438" s="13">
        <v>42180.0</v>
      </c>
      <c r="L438" s="14"/>
      <c r="M438" s="11">
        <v>621337.0</v>
      </c>
      <c r="N438" s="11" t="s">
        <v>1379</v>
      </c>
      <c r="P438" s="11">
        <v>0.0</v>
      </c>
      <c r="Q438" s="15">
        <v>0.0</v>
      </c>
      <c r="R438" s="22">
        <v>1.0</v>
      </c>
      <c r="S438">
        <f t="shared" si="1"/>
        <v>2013</v>
      </c>
      <c r="T438">
        <f t="shared" si="2"/>
        <v>1</v>
      </c>
      <c r="AF438" s="18"/>
      <c r="AG438" s="19"/>
      <c r="AL438" s="18"/>
      <c r="AM438" s="19"/>
    </row>
    <row r="439">
      <c r="A439" s="4" t="s">
        <v>1380</v>
      </c>
      <c r="B439" s="10">
        <v>41275.0</v>
      </c>
      <c r="C439" s="11" t="s">
        <v>142</v>
      </c>
      <c r="D439" s="11" t="s">
        <v>151</v>
      </c>
      <c r="E439" s="11" t="s">
        <v>264</v>
      </c>
      <c r="F439" s="11" t="s">
        <v>53</v>
      </c>
      <c r="G439" s="11" t="s">
        <v>54</v>
      </c>
      <c r="H439" s="11" t="s">
        <v>305</v>
      </c>
      <c r="I439" s="11" t="s">
        <v>1381</v>
      </c>
      <c r="J439" s="11">
        <v>20.0</v>
      </c>
      <c r="K439" s="13">
        <v>42179.0</v>
      </c>
      <c r="L439" s="14"/>
      <c r="M439" s="11">
        <v>664201.0</v>
      </c>
      <c r="N439" s="11" t="s">
        <v>1382</v>
      </c>
      <c r="P439" s="11">
        <v>0.0</v>
      </c>
      <c r="Q439" s="15">
        <v>0.0</v>
      </c>
      <c r="R439" s="22">
        <v>1.0</v>
      </c>
      <c r="S439">
        <f t="shared" si="1"/>
        <v>2013</v>
      </c>
      <c r="T439">
        <f t="shared" si="2"/>
        <v>1</v>
      </c>
      <c r="AF439" s="18"/>
      <c r="AG439" s="19"/>
      <c r="AL439" s="18"/>
      <c r="AM439" s="19"/>
    </row>
    <row r="440">
      <c r="A440" s="4" t="s">
        <v>207</v>
      </c>
      <c r="B440" s="10">
        <v>41275.0</v>
      </c>
      <c r="C440" s="11" t="s">
        <v>119</v>
      </c>
      <c r="D440" s="11" t="s">
        <v>91</v>
      </c>
      <c r="E440" s="11" t="s">
        <v>52</v>
      </c>
      <c r="F440" s="11" t="s">
        <v>76</v>
      </c>
      <c r="G440" s="11" t="s">
        <v>54</v>
      </c>
      <c r="H440" s="11" t="s">
        <v>211</v>
      </c>
      <c r="I440" s="11" t="s">
        <v>1383</v>
      </c>
      <c r="J440" s="11">
        <v>24.0</v>
      </c>
      <c r="K440" s="13">
        <v>42104.0</v>
      </c>
      <c r="L440" s="14"/>
      <c r="M440" s="11">
        <v>502432.0</v>
      </c>
      <c r="N440" s="11" t="s">
        <v>1384</v>
      </c>
      <c r="P440" s="11">
        <v>0.0</v>
      </c>
      <c r="Q440" s="15">
        <v>0.0</v>
      </c>
      <c r="R440" s="11">
        <v>0.0</v>
      </c>
      <c r="S440">
        <f t="shared" si="1"/>
        <v>2013</v>
      </c>
      <c r="T440">
        <f t="shared" si="2"/>
        <v>1</v>
      </c>
      <c r="AF440" s="18"/>
      <c r="AG440" s="19"/>
      <c r="AL440" s="18"/>
      <c r="AM440" s="19"/>
    </row>
    <row r="441">
      <c r="A441" s="4" t="s">
        <v>1385</v>
      </c>
      <c r="B441" s="10">
        <v>41275.0</v>
      </c>
      <c r="C441" s="11" t="s">
        <v>119</v>
      </c>
      <c r="D441" s="11" t="s">
        <v>91</v>
      </c>
      <c r="E441" s="11" t="s">
        <v>52</v>
      </c>
      <c r="F441" s="11" t="s">
        <v>53</v>
      </c>
      <c r="G441" s="11" t="s">
        <v>672</v>
      </c>
      <c r="H441" s="11"/>
      <c r="I441" s="11"/>
      <c r="J441" s="11">
        <v>18.0</v>
      </c>
      <c r="K441" s="13"/>
      <c r="L441" s="14"/>
      <c r="M441" s="11">
        <v>611615.0</v>
      </c>
      <c r="N441" s="11"/>
      <c r="P441" s="11">
        <v>0.0</v>
      </c>
      <c r="Q441" s="15">
        <v>0.0</v>
      </c>
      <c r="R441" s="22">
        <v>0.0</v>
      </c>
      <c r="S441">
        <f t="shared" si="1"/>
        <v>2013</v>
      </c>
      <c r="T441">
        <f t="shared" si="2"/>
        <v>1</v>
      </c>
      <c r="AF441" s="18"/>
      <c r="AG441" s="19"/>
      <c r="AL441" s="18"/>
      <c r="AM441" s="19"/>
    </row>
    <row r="442">
      <c r="A442" s="4" t="s">
        <v>1386</v>
      </c>
      <c r="B442" s="10">
        <v>41275.0</v>
      </c>
      <c r="C442" s="11" t="s">
        <v>81</v>
      </c>
      <c r="D442" s="11" t="s">
        <v>151</v>
      </c>
      <c r="E442" s="11" t="s">
        <v>160</v>
      </c>
      <c r="F442" s="11" t="s">
        <v>53</v>
      </c>
      <c r="G442" s="11" t="s">
        <v>54</v>
      </c>
      <c r="H442" s="11" t="s">
        <v>218</v>
      </c>
      <c r="I442" s="11" t="s">
        <v>1387</v>
      </c>
      <c r="J442" s="11">
        <v>20.0</v>
      </c>
      <c r="K442" s="13">
        <v>42573.0</v>
      </c>
      <c r="L442" s="14"/>
      <c r="M442" s="11">
        <v>607184.0</v>
      </c>
      <c r="N442" s="11" t="s">
        <v>1388</v>
      </c>
      <c r="O442" s="4"/>
      <c r="P442" s="11">
        <v>0.0</v>
      </c>
      <c r="Q442" s="15">
        <v>0.0</v>
      </c>
      <c r="R442" s="22">
        <v>1.0</v>
      </c>
      <c r="S442">
        <f t="shared" si="1"/>
        <v>2013</v>
      </c>
      <c r="T442">
        <f t="shared" si="2"/>
        <v>1</v>
      </c>
      <c r="AF442" s="18"/>
      <c r="AG442" s="19"/>
      <c r="AL442" s="18"/>
      <c r="AM442" s="19"/>
    </row>
    <row r="443">
      <c r="A443" s="4" t="s">
        <v>1391</v>
      </c>
      <c r="B443" s="10">
        <v>41275.0</v>
      </c>
      <c r="C443" s="11" t="s">
        <v>81</v>
      </c>
      <c r="D443" s="11" t="s">
        <v>151</v>
      </c>
      <c r="E443" s="11" t="s">
        <v>52</v>
      </c>
      <c r="F443" s="11" t="s">
        <v>53</v>
      </c>
      <c r="G443" s="11" t="s">
        <v>54</v>
      </c>
      <c r="H443" s="11" t="s">
        <v>344</v>
      </c>
      <c r="I443" s="11" t="s">
        <v>126</v>
      </c>
      <c r="J443" s="11">
        <v>20.0</v>
      </c>
      <c r="K443" s="13">
        <v>42469.0</v>
      </c>
      <c r="L443" s="14"/>
      <c r="M443" s="11">
        <v>607565.0</v>
      </c>
      <c r="N443" s="11" t="s">
        <v>1392</v>
      </c>
      <c r="O443" s="4" t="s">
        <v>59</v>
      </c>
      <c r="P443" s="11">
        <v>0.0</v>
      </c>
      <c r="Q443" s="15">
        <v>0.0</v>
      </c>
      <c r="R443" s="22">
        <v>1.0</v>
      </c>
      <c r="S443">
        <f t="shared" si="1"/>
        <v>2013</v>
      </c>
      <c r="T443">
        <f t="shared" si="2"/>
        <v>1</v>
      </c>
      <c r="AF443" s="18"/>
      <c r="AG443" s="19"/>
      <c r="AL443" s="18"/>
      <c r="AM443" s="19"/>
    </row>
    <row r="444">
      <c r="A444" s="4" t="s">
        <v>1394</v>
      </c>
      <c r="B444" s="10">
        <v>41275.0</v>
      </c>
      <c r="C444" s="11" t="s">
        <v>97</v>
      </c>
      <c r="D444" s="11" t="s">
        <v>151</v>
      </c>
      <c r="E444" s="11" t="s">
        <v>52</v>
      </c>
      <c r="F444" s="11" t="s">
        <v>53</v>
      </c>
      <c r="G444" s="11" t="s">
        <v>54</v>
      </c>
      <c r="H444" s="11" t="s">
        <v>344</v>
      </c>
      <c r="I444" s="11" t="s">
        <v>344</v>
      </c>
      <c r="J444" s="11">
        <v>24.0</v>
      </c>
      <c r="K444" s="13">
        <v>42105.0</v>
      </c>
      <c r="L444" s="14"/>
      <c r="M444" s="11">
        <v>571821.0</v>
      </c>
      <c r="N444" s="11" t="s">
        <v>1395</v>
      </c>
      <c r="P444" s="11">
        <v>0.0</v>
      </c>
      <c r="Q444" s="15">
        <v>0.0</v>
      </c>
      <c r="R444" s="22">
        <v>0.0</v>
      </c>
      <c r="S444">
        <f t="shared" si="1"/>
        <v>2013</v>
      </c>
      <c r="T444">
        <f t="shared" si="2"/>
        <v>1</v>
      </c>
      <c r="AF444" s="18"/>
      <c r="AG444" s="19"/>
      <c r="AL444" s="18"/>
      <c r="AM444" s="19"/>
    </row>
    <row r="445">
      <c r="A445" s="4" t="s">
        <v>1396</v>
      </c>
      <c r="B445" s="10">
        <v>41275.0</v>
      </c>
      <c r="C445" s="11" t="s">
        <v>125</v>
      </c>
      <c r="D445" s="11" t="s">
        <v>124</v>
      </c>
      <c r="E445" s="14" t="s">
        <v>52</v>
      </c>
      <c r="F445" s="11" t="s">
        <v>76</v>
      </c>
      <c r="G445" s="22" t="s">
        <v>1397</v>
      </c>
      <c r="H445" s="14"/>
      <c r="I445" s="14"/>
      <c r="J445" s="11">
        <v>24.0</v>
      </c>
      <c r="K445" s="14"/>
      <c r="L445" s="14"/>
      <c r="M445" s="11">
        <v>573653.0</v>
      </c>
      <c r="N445" s="11" t="s">
        <v>1398</v>
      </c>
      <c r="P445" s="11">
        <v>0.0</v>
      </c>
      <c r="Q445" s="15">
        <v>0.0</v>
      </c>
      <c r="R445" s="22">
        <v>0.0</v>
      </c>
      <c r="S445">
        <f t="shared" si="1"/>
        <v>2013</v>
      </c>
      <c r="T445">
        <f t="shared" si="2"/>
        <v>1</v>
      </c>
      <c r="AF445" s="18"/>
      <c r="AG445" s="19"/>
      <c r="AL445" s="18"/>
      <c r="AM445" s="19"/>
    </row>
    <row r="446">
      <c r="A446" s="4" t="s">
        <v>1399</v>
      </c>
      <c r="B446" s="10">
        <v>41275.0</v>
      </c>
      <c r="C446" s="11" t="s">
        <v>74</v>
      </c>
      <c r="D446" s="11" t="s">
        <v>91</v>
      </c>
      <c r="E446" s="22" t="s">
        <v>264</v>
      </c>
      <c r="F446" s="11" t="s">
        <v>53</v>
      </c>
      <c r="G446" s="14" t="s">
        <v>54</v>
      </c>
      <c r="H446" s="11" t="s">
        <v>99</v>
      </c>
      <c r="I446" s="11" t="s">
        <v>898</v>
      </c>
      <c r="J446" s="11">
        <v>22.0</v>
      </c>
      <c r="K446" s="13">
        <v>41732.0</v>
      </c>
      <c r="L446" s="14"/>
      <c r="M446" s="11">
        <v>571851.0</v>
      </c>
      <c r="N446" s="11">
        <v>13300.0</v>
      </c>
      <c r="P446" s="11">
        <v>1.0</v>
      </c>
      <c r="Q446" s="15">
        <v>1.0</v>
      </c>
      <c r="R446" s="22">
        <v>1.0</v>
      </c>
      <c r="S446">
        <f t="shared" si="1"/>
        <v>2013</v>
      </c>
      <c r="T446">
        <f t="shared" si="2"/>
        <v>1</v>
      </c>
      <c r="AF446" s="18"/>
      <c r="AG446" s="19"/>
      <c r="AL446" s="18"/>
      <c r="AM446" s="19"/>
    </row>
    <row r="447">
      <c r="A447" s="4" t="s">
        <v>1400</v>
      </c>
      <c r="B447" s="10">
        <v>41275.0</v>
      </c>
      <c r="C447" s="11" t="s">
        <v>74</v>
      </c>
      <c r="D447" s="11" t="s">
        <v>151</v>
      </c>
      <c r="E447" s="11" t="s">
        <v>52</v>
      </c>
      <c r="F447" s="11" t="s">
        <v>53</v>
      </c>
      <c r="G447" s="11" t="s">
        <v>54</v>
      </c>
      <c r="H447" s="11" t="s">
        <v>260</v>
      </c>
      <c r="I447" s="11" t="s">
        <v>1401</v>
      </c>
      <c r="J447" s="11">
        <v>19.0</v>
      </c>
      <c r="K447" s="13">
        <v>42177.0</v>
      </c>
      <c r="L447" s="11"/>
      <c r="M447" s="11">
        <v>664156.0</v>
      </c>
      <c r="N447" s="11" t="s">
        <v>1402</v>
      </c>
      <c r="P447" s="11">
        <v>0.0</v>
      </c>
      <c r="Q447" s="15">
        <v>0.0</v>
      </c>
      <c r="R447" s="22">
        <v>1.0</v>
      </c>
      <c r="S447">
        <f t="shared" si="1"/>
        <v>2013</v>
      </c>
      <c r="T447">
        <f t="shared" si="2"/>
        <v>1</v>
      </c>
      <c r="AF447" s="18"/>
      <c r="AG447" s="19"/>
      <c r="AL447" s="18"/>
      <c r="AM447" s="19"/>
    </row>
    <row r="448">
      <c r="A448" s="4" t="s">
        <v>1403</v>
      </c>
      <c r="B448" s="10">
        <v>41244.0</v>
      </c>
      <c r="C448" s="11" t="s">
        <v>138</v>
      </c>
      <c r="D448" s="11" t="s">
        <v>91</v>
      </c>
      <c r="E448" s="11" t="s">
        <v>52</v>
      </c>
      <c r="F448" s="11" t="s">
        <v>76</v>
      </c>
      <c r="G448" s="11" t="s">
        <v>54</v>
      </c>
      <c r="H448" s="11" t="s">
        <v>1404</v>
      </c>
      <c r="I448" s="11"/>
      <c r="J448" s="11">
        <v>21.0</v>
      </c>
      <c r="K448" s="13">
        <v>42103.0</v>
      </c>
      <c r="L448" s="11">
        <f t="shared" ref="L448:L451" si="42">ROUND(((K448-B448)/365)*12)</f>
        <v>28</v>
      </c>
      <c r="M448" s="11">
        <v>621350.0</v>
      </c>
      <c r="N448" s="11" t="s">
        <v>1405</v>
      </c>
      <c r="P448" s="11">
        <v>0.0</v>
      </c>
      <c r="Q448" s="15">
        <v>0.0</v>
      </c>
      <c r="R448" s="22">
        <v>1.0</v>
      </c>
      <c r="S448">
        <f t="shared" si="1"/>
        <v>2012</v>
      </c>
      <c r="T448">
        <f t="shared" si="2"/>
        <v>12</v>
      </c>
      <c r="AF448" s="18"/>
      <c r="AG448" s="19"/>
      <c r="AL448" s="18"/>
      <c r="AM448" s="19"/>
    </row>
    <row r="449">
      <c r="A449" s="4" t="s">
        <v>1406</v>
      </c>
      <c r="B449" s="10">
        <v>41244.0</v>
      </c>
      <c r="C449" s="11" t="s">
        <v>97</v>
      </c>
      <c r="D449" s="11" t="s">
        <v>82</v>
      </c>
      <c r="E449" s="14" t="s">
        <v>52</v>
      </c>
      <c r="F449" s="11" t="s">
        <v>53</v>
      </c>
      <c r="G449" s="14" t="s">
        <v>54</v>
      </c>
      <c r="H449" s="11" t="s">
        <v>154</v>
      </c>
      <c r="I449" s="11" t="s">
        <v>1171</v>
      </c>
      <c r="J449" s="11">
        <v>26.0</v>
      </c>
      <c r="K449" s="13">
        <v>41750.0</v>
      </c>
      <c r="L449" s="11">
        <f t="shared" si="42"/>
        <v>17</v>
      </c>
      <c r="M449" s="11">
        <v>543286.0</v>
      </c>
      <c r="N449" s="11" t="s">
        <v>1407</v>
      </c>
      <c r="P449" s="11">
        <v>0.0</v>
      </c>
      <c r="Q449" s="15">
        <v>0.0</v>
      </c>
      <c r="R449" s="22">
        <v>1.0</v>
      </c>
      <c r="S449">
        <f t="shared" si="1"/>
        <v>2012</v>
      </c>
      <c r="T449">
        <f t="shared" si="2"/>
        <v>12</v>
      </c>
      <c r="AF449" s="18"/>
      <c r="AG449" s="19"/>
      <c r="AL449" s="18"/>
      <c r="AM449" s="19"/>
    </row>
    <row r="450">
      <c r="A450" s="4" t="s">
        <v>1409</v>
      </c>
      <c r="B450" s="10">
        <v>41228.0</v>
      </c>
      <c r="C450" s="11" t="s">
        <v>259</v>
      </c>
      <c r="D450" s="11" t="s">
        <v>75</v>
      </c>
      <c r="E450" s="14" t="s">
        <v>52</v>
      </c>
      <c r="F450" s="11" t="s">
        <v>53</v>
      </c>
      <c r="G450" s="14" t="s">
        <v>54</v>
      </c>
      <c r="H450" s="11" t="s">
        <v>244</v>
      </c>
      <c r="I450" s="11" t="s">
        <v>1410</v>
      </c>
      <c r="J450" s="11">
        <v>27.0</v>
      </c>
      <c r="K450" s="13">
        <v>41732.0</v>
      </c>
      <c r="L450" s="11">
        <f t="shared" si="42"/>
        <v>17</v>
      </c>
      <c r="M450" s="11">
        <v>453222.0</v>
      </c>
      <c r="N450" s="11">
        <v>888.0</v>
      </c>
      <c r="P450" s="11">
        <v>47.0</v>
      </c>
      <c r="Q450" s="15">
        <v>168.333</v>
      </c>
      <c r="R450" s="22">
        <v>1.0</v>
      </c>
      <c r="S450">
        <f t="shared" si="1"/>
        <v>2012</v>
      </c>
      <c r="T450">
        <f t="shared" si="2"/>
        <v>11</v>
      </c>
      <c r="AF450" s="18"/>
      <c r="AG450" s="19"/>
      <c r="AL450" s="18"/>
      <c r="AM450" s="19"/>
    </row>
    <row r="451">
      <c r="A451" s="4" t="s">
        <v>716</v>
      </c>
      <c r="B451" s="10">
        <v>41212.0</v>
      </c>
      <c r="C451" s="11" t="s">
        <v>209</v>
      </c>
      <c r="D451" s="11" t="s">
        <v>51</v>
      </c>
      <c r="E451" s="14" t="s">
        <v>52</v>
      </c>
      <c r="F451" s="11" t="s">
        <v>76</v>
      </c>
      <c r="G451" s="14" t="s">
        <v>54</v>
      </c>
      <c r="H451" s="11" t="s">
        <v>92</v>
      </c>
      <c r="I451" s="11" t="s">
        <v>223</v>
      </c>
      <c r="J451" s="11">
        <v>35.0</v>
      </c>
      <c r="K451" s="13">
        <v>41773.0</v>
      </c>
      <c r="L451" s="11">
        <f t="shared" si="42"/>
        <v>18</v>
      </c>
      <c r="M451" s="11">
        <v>150116.0</v>
      </c>
      <c r="N451" s="11">
        <v>976.0</v>
      </c>
      <c r="O451" s="4" t="s">
        <v>704</v>
      </c>
      <c r="P451" s="11">
        <v>14.0</v>
      </c>
      <c r="Q451" s="15">
        <v>60.333</v>
      </c>
      <c r="R451" s="11">
        <v>0.0</v>
      </c>
      <c r="S451">
        <f t="shared" si="1"/>
        <v>2012</v>
      </c>
      <c r="T451">
        <f t="shared" si="2"/>
        <v>10</v>
      </c>
      <c r="U451" s="4"/>
      <c r="V451" s="4"/>
      <c r="W451" s="4"/>
      <c r="X451" s="4"/>
      <c r="Y451" s="4"/>
      <c r="Z451" s="4"/>
      <c r="AA451" s="4"/>
      <c r="AB451" s="4"/>
      <c r="AC451" s="4"/>
      <c r="AD451" s="4">
        <v>30.0</v>
      </c>
      <c r="AE451" s="4">
        <v>26.0</v>
      </c>
      <c r="AF451" s="54">
        <v>157.667</v>
      </c>
      <c r="AG451" s="55">
        <v>0.074</v>
      </c>
      <c r="AH451" s="4">
        <v>139.0</v>
      </c>
      <c r="AI451" s="4">
        <v>119.0</v>
      </c>
      <c r="AJ451" s="4">
        <v>6.0</v>
      </c>
      <c r="AK451" s="4">
        <v>4.0</v>
      </c>
      <c r="AL451" s="54">
        <v>25.667</v>
      </c>
      <c r="AM451" s="55">
        <v>0.115</v>
      </c>
      <c r="AN451" s="4">
        <v>143.0</v>
      </c>
      <c r="AO451" s="4">
        <v>122.0</v>
      </c>
    </row>
    <row r="452">
      <c r="A452" s="4" t="s">
        <v>1411</v>
      </c>
      <c r="B452" s="10">
        <v>41193.0</v>
      </c>
      <c r="C452" s="11" t="s">
        <v>209</v>
      </c>
      <c r="D452" s="11" t="s">
        <v>151</v>
      </c>
      <c r="E452" s="11" t="s">
        <v>52</v>
      </c>
      <c r="F452" s="11" t="s">
        <v>53</v>
      </c>
      <c r="G452" s="11" t="s">
        <v>54</v>
      </c>
      <c r="H452" s="11" t="s">
        <v>99</v>
      </c>
      <c r="I452" s="11" t="s">
        <v>743</v>
      </c>
      <c r="J452" s="11">
        <v>20.0</v>
      </c>
      <c r="K452" s="13">
        <v>41821.0</v>
      </c>
      <c r="L452" s="11"/>
      <c r="M452" s="11">
        <v>592362.0</v>
      </c>
      <c r="N452" s="11" t="s">
        <v>1412</v>
      </c>
      <c r="P452" s="11">
        <v>0.0</v>
      </c>
      <c r="Q452" s="15">
        <v>0.0</v>
      </c>
      <c r="R452" s="22">
        <v>1.0</v>
      </c>
      <c r="S452">
        <f t="shared" si="1"/>
        <v>2012</v>
      </c>
      <c r="T452">
        <f t="shared" si="2"/>
        <v>10</v>
      </c>
      <c r="AF452" s="18"/>
      <c r="AG452" s="19"/>
      <c r="AL452" s="18"/>
      <c r="AM452" s="19"/>
    </row>
    <row r="453">
      <c r="A453" s="4" t="s">
        <v>1413</v>
      </c>
      <c r="B453" s="10">
        <v>41186.0</v>
      </c>
      <c r="C453" s="11" t="s">
        <v>138</v>
      </c>
      <c r="D453" s="11" t="s">
        <v>75</v>
      </c>
      <c r="E453" s="14" t="s">
        <v>52</v>
      </c>
      <c r="F453" s="11" t="s">
        <v>76</v>
      </c>
      <c r="G453" s="22" t="s">
        <v>582</v>
      </c>
      <c r="H453" s="14"/>
      <c r="I453" s="14"/>
      <c r="J453" s="11">
        <v>21.0</v>
      </c>
      <c r="K453" s="13">
        <v>41863.0</v>
      </c>
      <c r="L453" s="11">
        <f>ROUND(((K453-B453)/365)*12)</f>
        <v>22</v>
      </c>
      <c r="M453" s="11">
        <v>544365.0</v>
      </c>
      <c r="N453" s="11">
        <v>5365.0</v>
      </c>
      <c r="P453" s="11">
        <v>7.0</v>
      </c>
      <c r="Q453" s="15">
        <v>26.333</v>
      </c>
      <c r="R453" s="22">
        <v>1.0</v>
      </c>
      <c r="S453">
        <f t="shared" si="1"/>
        <v>2012</v>
      </c>
      <c r="T453">
        <f t="shared" si="2"/>
        <v>10</v>
      </c>
      <c r="AF453" s="18"/>
      <c r="AG453" s="19"/>
      <c r="AL453" s="18"/>
      <c r="AM453" s="19"/>
    </row>
    <row r="454">
      <c r="A454" s="4" t="s">
        <v>1414</v>
      </c>
      <c r="B454" s="10">
        <v>41186.0</v>
      </c>
      <c r="C454" s="11" t="s">
        <v>90</v>
      </c>
      <c r="D454" s="11" t="s">
        <v>170</v>
      </c>
      <c r="E454" s="22" t="s">
        <v>160</v>
      </c>
      <c r="F454" s="11" t="s">
        <v>53</v>
      </c>
      <c r="G454" s="14" t="s">
        <v>54</v>
      </c>
      <c r="H454" s="11" t="s">
        <v>92</v>
      </c>
      <c r="I454" s="11"/>
      <c r="J454" s="11">
        <v>17.0</v>
      </c>
      <c r="K454" s="13">
        <v>41833.0</v>
      </c>
      <c r="L454" s="11"/>
      <c r="M454" s="11">
        <v>650863.0</v>
      </c>
      <c r="N454" s="11" t="s">
        <v>1415</v>
      </c>
      <c r="P454" s="11">
        <v>0.0</v>
      </c>
      <c r="Q454" s="15">
        <v>0.0</v>
      </c>
      <c r="R454" s="22">
        <v>0.0</v>
      </c>
      <c r="S454">
        <f t="shared" si="1"/>
        <v>2012</v>
      </c>
      <c r="T454">
        <f t="shared" si="2"/>
        <v>10</v>
      </c>
      <c r="AF454" s="18"/>
      <c r="AG454" s="19"/>
      <c r="AL454" s="18"/>
      <c r="AM454" s="19"/>
    </row>
    <row r="455">
      <c r="A455" s="4" t="s">
        <v>1416</v>
      </c>
      <c r="B455" s="10">
        <v>41183.0</v>
      </c>
      <c r="C455" s="11" t="s">
        <v>229</v>
      </c>
      <c r="D455" s="11" t="s">
        <v>124</v>
      </c>
      <c r="E455" s="11" t="s">
        <v>52</v>
      </c>
      <c r="F455" s="11" t="s">
        <v>53</v>
      </c>
      <c r="G455" s="11" t="s">
        <v>54</v>
      </c>
      <c r="H455" s="11" t="s">
        <v>244</v>
      </c>
      <c r="I455" s="11"/>
      <c r="J455" s="11">
        <v>22.0</v>
      </c>
      <c r="K455" s="13">
        <v>41733.0</v>
      </c>
      <c r="L455" s="11">
        <f>ROUND(((K455-B455)/365)*12)</f>
        <v>18</v>
      </c>
      <c r="M455" s="11">
        <v>543532.0</v>
      </c>
      <c r="N455" s="11">
        <v>9149.0</v>
      </c>
      <c r="P455" s="11">
        <v>3.0</v>
      </c>
      <c r="Q455" s="15">
        <v>9.0</v>
      </c>
      <c r="R455" s="22">
        <v>1.0</v>
      </c>
      <c r="S455">
        <f t="shared" si="1"/>
        <v>2012</v>
      </c>
      <c r="T455">
        <f t="shared" si="2"/>
        <v>10</v>
      </c>
      <c r="AF455" s="18"/>
      <c r="AG455" s="19"/>
      <c r="AL455" s="18"/>
      <c r="AM455" s="19"/>
    </row>
    <row r="456">
      <c r="A456" s="4" t="s">
        <v>1418</v>
      </c>
      <c r="B456" s="10">
        <v>41183.0</v>
      </c>
      <c r="C456" s="11" t="s">
        <v>179</v>
      </c>
      <c r="D456" s="11" t="s">
        <v>151</v>
      </c>
      <c r="E456" s="11" t="s">
        <v>52</v>
      </c>
      <c r="F456" s="11" t="s">
        <v>53</v>
      </c>
      <c r="G456" s="11" t="s">
        <v>54</v>
      </c>
      <c r="H456" s="11" t="s">
        <v>305</v>
      </c>
      <c r="I456" s="11" t="s">
        <v>1419</v>
      </c>
      <c r="J456" s="11">
        <v>20.0</v>
      </c>
      <c r="K456" s="13">
        <v>41803.0</v>
      </c>
      <c r="L456" s="14"/>
      <c r="M456" s="11">
        <v>592296.0</v>
      </c>
      <c r="N456" s="11" t="s">
        <v>1420</v>
      </c>
      <c r="P456" s="11">
        <v>0.0</v>
      </c>
      <c r="Q456" s="15">
        <v>0.0</v>
      </c>
      <c r="R456" s="22">
        <v>1.0</v>
      </c>
      <c r="S456">
        <f t="shared" si="1"/>
        <v>2012</v>
      </c>
      <c r="T456">
        <f t="shared" si="2"/>
        <v>10</v>
      </c>
      <c r="AF456" s="18"/>
      <c r="AG456" s="19"/>
      <c r="AL456" s="18"/>
      <c r="AM456" s="19"/>
    </row>
    <row r="457">
      <c r="A457" s="4" t="s">
        <v>1421</v>
      </c>
      <c r="B457" s="10">
        <v>41173.0</v>
      </c>
      <c r="C457" s="11" t="s">
        <v>81</v>
      </c>
      <c r="D457" s="11" t="s">
        <v>151</v>
      </c>
      <c r="E457" s="14" t="s">
        <v>52</v>
      </c>
      <c r="F457" s="11" t="s">
        <v>53</v>
      </c>
      <c r="G457" s="14" t="s">
        <v>54</v>
      </c>
      <c r="H457" s="11" t="s">
        <v>126</v>
      </c>
      <c r="I457" s="11" t="s">
        <v>956</v>
      </c>
      <c r="J457" s="11">
        <v>21.0</v>
      </c>
      <c r="K457" s="13">
        <v>41812.0</v>
      </c>
      <c r="L457" s="14"/>
      <c r="M457" s="11">
        <v>657530.0</v>
      </c>
      <c r="N457" s="11" t="s">
        <v>1422</v>
      </c>
      <c r="P457" s="11">
        <v>0.0</v>
      </c>
      <c r="Q457" s="15">
        <v>0.0</v>
      </c>
      <c r="R457" s="22">
        <v>1.0</v>
      </c>
      <c r="S457">
        <f t="shared" si="1"/>
        <v>2012</v>
      </c>
      <c r="T457">
        <f t="shared" si="2"/>
        <v>9</v>
      </c>
      <c r="AF457" s="18"/>
      <c r="AG457" s="19"/>
      <c r="AL457" s="18"/>
      <c r="AM457" s="19"/>
    </row>
    <row r="458">
      <c r="A458" s="4" t="s">
        <v>1423</v>
      </c>
      <c r="B458" s="10">
        <v>41158.0</v>
      </c>
      <c r="C458" s="11" t="s">
        <v>331</v>
      </c>
      <c r="D458" s="11" t="s">
        <v>51</v>
      </c>
      <c r="E458" s="14" t="s">
        <v>52</v>
      </c>
      <c r="F458" s="11" t="s">
        <v>53</v>
      </c>
      <c r="G458" s="11" t="s">
        <v>83</v>
      </c>
      <c r="H458" s="14"/>
      <c r="I458" s="14"/>
      <c r="J458" s="11">
        <v>30.0</v>
      </c>
      <c r="K458" s="13">
        <v>41753.0</v>
      </c>
      <c r="L458" s="11">
        <f t="shared" ref="L458:L469" si="43">ROUND(((K458-B458)/365)*12)</f>
        <v>20</v>
      </c>
      <c r="M458" s="11">
        <v>434663.0</v>
      </c>
      <c r="N458" s="11">
        <v>2886.0</v>
      </c>
      <c r="O458" s="4" t="s">
        <v>59</v>
      </c>
      <c r="P458" s="11">
        <v>32.0</v>
      </c>
      <c r="Q458" s="15">
        <v>31.667</v>
      </c>
      <c r="R458" s="22">
        <v>0.0</v>
      </c>
      <c r="S458">
        <f t="shared" si="1"/>
        <v>2012</v>
      </c>
      <c r="T458">
        <f t="shared" si="2"/>
        <v>9</v>
      </c>
      <c r="AF458" s="18"/>
      <c r="AG458" s="19"/>
      <c r="AL458" s="18"/>
      <c r="AM458" s="19"/>
    </row>
    <row r="459">
      <c r="A459" s="4" t="s">
        <v>1424</v>
      </c>
      <c r="B459" s="10">
        <v>41157.0</v>
      </c>
      <c r="C459" s="11" t="s">
        <v>169</v>
      </c>
      <c r="D459" s="11" t="s">
        <v>91</v>
      </c>
      <c r="E459" s="11" t="s">
        <v>52</v>
      </c>
      <c r="F459" s="11" t="s">
        <v>53</v>
      </c>
      <c r="G459" s="11" t="s">
        <v>436</v>
      </c>
      <c r="H459" s="11"/>
      <c r="I459" s="11"/>
      <c r="J459" s="11">
        <v>18.0</v>
      </c>
      <c r="K459" s="13">
        <v>41513.0</v>
      </c>
      <c r="L459" s="11">
        <f t="shared" si="43"/>
        <v>12</v>
      </c>
      <c r="M459" s="11">
        <v>623992.0</v>
      </c>
      <c r="N459" s="11" t="s">
        <v>1426</v>
      </c>
      <c r="P459" s="11">
        <v>0.0</v>
      </c>
      <c r="Q459" s="15">
        <v>0.0</v>
      </c>
      <c r="R459" s="22">
        <v>1.0</v>
      </c>
      <c r="S459">
        <f t="shared" si="1"/>
        <v>2012</v>
      </c>
      <c r="T459">
        <f t="shared" si="2"/>
        <v>9</v>
      </c>
      <c r="AF459" s="18"/>
      <c r="AG459" s="19"/>
      <c r="AL459" s="18"/>
      <c r="AM459" s="19"/>
    </row>
    <row r="460">
      <c r="A460" s="4" t="s">
        <v>1428</v>
      </c>
      <c r="B460" s="10">
        <v>41152.0</v>
      </c>
      <c r="C460" s="11" t="s">
        <v>74</v>
      </c>
      <c r="D460" s="11" t="s">
        <v>91</v>
      </c>
      <c r="E460" s="14" t="s">
        <v>52</v>
      </c>
      <c r="F460" s="11" t="s">
        <v>53</v>
      </c>
      <c r="G460" s="14" t="s">
        <v>54</v>
      </c>
      <c r="H460" s="11" t="s">
        <v>92</v>
      </c>
      <c r="I460" s="11"/>
      <c r="J460" s="11">
        <v>17.0</v>
      </c>
      <c r="K460" s="13">
        <v>41458.0</v>
      </c>
      <c r="L460" s="11">
        <f t="shared" si="43"/>
        <v>10</v>
      </c>
      <c r="M460" s="11">
        <v>608337.0</v>
      </c>
      <c r="N460" s="11">
        <v>15474.0</v>
      </c>
      <c r="P460" s="11">
        <v>6.0</v>
      </c>
      <c r="Q460" s="15">
        <v>21.333</v>
      </c>
      <c r="R460" s="22">
        <v>1.0</v>
      </c>
      <c r="S460">
        <f t="shared" si="1"/>
        <v>2012</v>
      </c>
      <c r="T460">
        <f t="shared" si="2"/>
        <v>8</v>
      </c>
      <c r="AF460" s="18"/>
      <c r="AG460" s="19"/>
      <c r="AL460" s="18"/>
      <c r="AM460" s="19"/>
    </row>
    <row r="461">
      <c r="A461" s="4" t="s">
        <v>1429</v>
      </c>
      <c r="B461" s="10">
        <v>41151.0</v>
      </c>
      <c r="C461" s="11" t="s">
        <v>123</v>
      </c>
      <c r="D461" s="11" t="s">
        <v>75</v>
      </c>
      <c r="E461" s="14" t="s">
        <v>52</v>
      </c>
      <c r="F461" s="11" t="s">
        <v>53</v>
      </c>
      <c r="G461" s="22" t="s">
        <v>265</v>
      </c>
      <c r="H461" s="14"/>
      <c r="I461" s="14"/>
      <c r="J461" s="11">
        <v>24.0</v>
      </c>
      <c r="K461" s="13">
        <v>41816.0</v>
      </c>
      <c r="L461" s="11">
        <f t="shared" si="43"/>
        <v>22</v>
      </c>
      <c r="M461" s="11">
        <v>500902.0</v>
      </c>
      <c r="N461" s="11">
        <v>9167.0</v>
      </c>
      <c r="P461" s="11">
        <v>7.0</v>
      </c>
      <c r="Q461" s="15">
        <v>6.333</v>
      </c>
      <c r="R461" s="11">
        <v>0.0</v>
      </c>
      <c r="S461">
        <f t="shared" si="1"/>
        <v>2012</v>
      </c>
      <c r="T461">
        <f t="shared" si="2"/>
        <v>8</v>
      </c>
      <c r="AF461" s="18"/>
      <c r="AG461" s="19"/>
      <c r="AL461" s="18"/>
      <c r="AM461" s="19"/>
    </row>
    <row r="462">
      <c r="A462" s="4" t="s">
        <v>145</v>
      </c>
      <c r="B462" s="10">
        <v>41144.0</v>
      </c>
      <c r="C462" s="11" t="s">
        <v>133</v>
      </c>
      <c r="D462" s="11" t="s">
        <v>51</v>
      </c>
      <c r="E462" s="22" t="s">
        <v>160</v>
      </c>
      <c r="F462" s="11" t="s">
        <v>76</v>
      </c>
      <c r="G462" s="14" t="s">
        <v>54</v>
      </c>
      <c r="H462" s="11" t="s">
        <v>157</v>
      </c>
      <c r="I462" s="11"/>
      <c r="J462" s="11">
        <v>30.0</v>
      </c>
      <c r="K462" s="13">
        <v>41365.0</v>
      </c>
      <c r="L462" s="11">
        <f t="shared" si="43"/>
        <v>7</v>
      </c>
      <c r="M462" s="11">
        <v>408307.0</v>
      </c>
      <c r="N462" s="11">
        <v>1201.0</v>
      </c>
      <c r="O462" s="4" t="s">
        <v>59</v>
      </c>
      <c r="P462" s="11">
        <v>320.0</v>
      </c>
      <c r="Q462" s="15">
        <v>1119.0</v>
      </c>
      <c r="R462" s="22">
        <v>1.0</v>
      </c>
      <c r="S462">
        <f t="shared" si="1"/>
        <v>2012</v>
      </c>
      <c r="T462">
        <f t="shared" si="2"/>
        <v>8</v>
      </c>
      <c r="AF462" s="18"/>
      <c r="AG462" s="19"/>
      <c r="AL462" s="18"/>
      <c r="AM462" s="19"/>
    </row>
    <row r="463">
      <c r="A463" s="4" t="s">
        <v>1430</v>
      </c>
      <c r="B463" s="10">
        <v>41143.0</v>
      </c>
      <c r="C463" s="11" t="s">
        <v>169</v>
      </c>
      <c r="D463" s="11" t="s">
        <v>51</v>
      </c>
      <c r="E463" s="14" t="s">
        <v>52</v>
      </c>
      <c r="F463" s="11" t="s">
        <v>53</v>
      </c>
      <c r="G463" s="14" t="s">
        <v>54</v>
      </c>
      <c r="H463" s="11" t="s">
        <v>157</v>
      </c>
      <c r="I463" s="11" t="s">
        <v>1431</v>
      </c>
      <c r="J463" s="11">
        <v>27.0</v>
      </c>
      <c r="K463" s="13">
        <v>41529.0</v>
      </c>
      <c r="L463" s="11">
        <f t="shared" si="43"/>
        <v>13</v>
      </c>
      <c r="M463" s="11">
        <v>458708.0</v>
      </c>
      <c r="N463" s="11">
        <v>9388.0</v>
      </c>
      <c r="O463" s="4" t="s">
        <v>704</v>
      </c>
      <c r="P463" s="11">
        <v>66.0</v>
      </c>
      <c r="Q463" s="15">
        <v>345.667</v>
      </c>
      <c r="R463" s="22">
        <v>1.0</v>
      </c>
      <c r="S463">
        <f t="shared" si="1"/>
        <v>2012</v>
      </c>
      <c r="T463">
        <f t="shared" si="2"/>
        <v>8</v>
      </c>
      <c r="U463" s="4"/>
      <c r="V463" s="4"/>
      <c r="W463" s="4"/>
      <c r="X463" s="4"/>
      <c r="Y463" s="4"/>
      <c r="Z463" s="4"/>
      <c r="AA463" s="4"/>
      <c r="AB463" s="4"/>
      <c r="AC463" s="4"/>
      <c r="AD463" s="4">
        <v>21.0</v>
      </c>
      <c r="AE463" s="4">
        <v>16.0</v>
      </c>
      <c r="AF463" s="54">
        <v>103.333</v>
      </c>
      <c r="AG463" s="55">
        <v>0.069</v>
      </c>
      <c r="AH463" s="4">
        <v>160.0</v>
      </c>
      <c r="AI463" s="4">
        <v>124.0</v>
      </c>
      <c r="AJ463" s="4">
        <v>1.0</v>
      </c>
      <c r="AK463" s="4">
        <v>0.0</v>
      </c>
      <c r="AL463" s="54">
        <v>2.0</v>
      </c>
      <c r="AM463" s="55">
        <v>0.0</v>
      </c>
      <c r="AN463" s="4">
        <v>0.0</v>
      </c>
      <c r="AO463" s="4">
        <v>78.0</v>
      </c>
    </row>
    <row r="464">
      <c r="A464" s="4" t="s">
        <v>1432</v>
      </c>
      <c r="B464" s="10">
        <v>41143.0</v>
      </c>
      <c r="C464" s="11" t="s">
        <v>179</v>
      </c>
      <c r="D464" s="11" t="s">
        <v>110</v>
      </c>
      <c r="E464" s="14" t="s">
        <v>52</v>
      </c>
      <c r="F464" s="11" t="s">
        <v>53</v>
      </c>
      <c r="G464" s="14" t="s">
        <v>54</v>
      </c>
      <c r="H464" s="11" t="s">
        <v>157</v>
      </c>
      <c r="I464" s="11"/>
      <c r="J464" s="11">
        <v>23.0</v>
      </c>
      <c r="K464" s="13">
        <v>41733.0</v>
      </c>
      <c r="L464" s="11">
        <f t="shared" si="43"/>
        <v>19</v>
      </c>
      <c r="M464" s="11">
        <v>519411.0</v>
      </c>
      <c r="N464" s="11">
        <v>7980.0</v>
      </c>
      <c r="P464" s="11">
        <v>5.0</v>
      </c>
      <c r="Q464" s="15">
        <v>7.0</v>
      </c>
      <c r="R464" s="22">
        <v>1.0</v>
      </c>
      <c r="S464">
        <f t="shared" si="1"/>
        <v>2012</v>
      </c>
      <c r="T464">
        <f t="shared" si="2"/>
        <v>8</v>
      </c>
      <c r="AF464" s="18"/>
      <c r="AG464" s="19"/>
      <c r="AL464" s="18"/>
      <c r="AM464" s="19"/>
    </row>
    <row r="465">
      <c r="A465" s="4" t="s">
        <v>544</v>
      </c>
      <c r="B465" s="10">
        <v>41130.0</v>
      </c>
      <c r="C465" s="11" t="s">
        <v>711</v>
      </c>
      <c r="D465" s="11" t="s">
        <v>51</v>
      </c>
      <c r="E465" s="14" t="s">
        <v>52</v>
      </c>
      <c r="F465" s="11" t="s">
        <v>53</v>
      </c>
      <c r="G465" s="14" t="s">
        <v>54</v>
      </c>
      <c r="H465" s="11" t="s">
        <v>260</v>
      </c>
      <c r="I465" s="11"/>
      <c r="J465" s="11">
        <v>21.0</v>
      </c>
      <c r="K465" s="13">
        <v>41730.0</v>
      </c>
      <c r="L465" s="11">
        <f t="shared" si="43"/>
        <v>20</v>
      </c>
      <c r="M465" s="11">
        <v>571800.0</v>
      </c>
      <c r="N465" s="11">
        <v>10732.0</v>
      </c>
      <c r="O465" s="4" t="s">
        <v>59</v>
      </c>
      <c r="P465" s="11">
        <v>71.0</v>
      </c>
      <c r="Q465" s="15">
        <v>359.0</v>
      </c>
      <c r="R465" s="22">
        <v>1.0</v>
      </c>
      <c r="S465">
        <f t="shared" si="1"/>
        <v>2012</v>
      </c>
      <c r="T465">
        <f t="shared" si="2"/>
        <v>8</v>
      </c>
      <c r="U465" s="4"/>
      <c r="V465" s="4"/>
      <c r="W465" s="4"/>
      <c r="X465" s="4"/>
      <c r="Y465" s="4"/>
      <c r="Z465" s="4"/>
      <c r="AA465" s="4"/>
      <c r="AB465" s="4"/>
      <c r="AC465" s="4"/>
      <c r="AD465" s="4">
        <v>11.0</v>
      </c>
      <c r="AE465" s="4">
        <v>11.0</v>
      </c>
      <c r="AF465" s="54">
        <v>58.667</v>
      </c>
      <c r="AG465" s="55">
        <v>0.113</v>
      </c>
      <c r="AH465" s="4">
        <v>109.0</v>
      </c>
      <c r="AI465" s="4">
        <v>107.0</v>
      </c>
      <c r="AJ465" s="4">
        <v>32.0</v>
      </c>
      <c r="AK465" s="4">
        <v>32.0</v>
      </c>
      <c r="AL465" s="54">
        <v>184.667</v>
      </c>
      <c r="AM465" s="55">
        <v>0.158</v>
      </c>
      <c r="AN465" s="4">
        <v>114.0</v>
      </c>
      <c r="AO465" s="4">
        <v>100.0</v>
      </c>
    </row>
    <row r="466">
      <c r="A466" s="4" t="s">
        <v>1433</v>
      </c>
      <c r="B466" s="10">
        <v>41123.0</v>
      </c>
      <c r="C466" s="11" t="s">
        <v>123</v>
      </c>
      <c r="D466" s="11" t="s">
        <v>91</v>
      </c>
      <c r="E466" s="14" t="s">
        <v>52</v>
      </c>
      <c r="F466" s="11" t="s">
        <v>53</v>
      </c>
      <c r="G466" s="14" t="s">
        <v>54</v>
      </c>
      <c r="H466" s="11" t="s">
        <v>305</v>
      </c>
      <c r="I466" s="11" t="s">
        <v>873</v>
      </c>
      <c r="J466" s="11">
        <v>23.0</v>
      </c>
      <c r="K466" s="13">
        <v>41468.0</v>
      </c>
      <c r="L466" s="11">
        <f t="shared" si="43"/>
        <v>11</v>
      </c>
      <c r="M466" s="11">
        <v>592872.0</v>
      </c>
      <c r="N466" s="11">
        <v>11394.0</v>
      </c>
      <c r="P466" s="11">
        <v>16.0</v>
      </c>
      <c r="Q466" s="15">
        <v>17.333</v>
      </c>
      <c r="R466" s="22">
        <v>1.0</v>
      </c>
      <c r="S466">
        <f t="shared" si="1"/>
        <v>2012</v>
      </c>
      <c r="T466">
        <f t="shared" si="2"/>
        <v>8</v>
      </c>
      <c r="AF466" s="18"/>
      <c r="AG466" s="19"/>
      <c r="AL466" s="18"/>
      <c r="AM466" s="19"/>
    </row>
    <row r="467">
      <c r="A467" s="4" t="s">
        <v>1435</v>
      </c>
      <c r="B467" s="10">
        <v>41122.0</v>
      </c>
      <c r="C467" s="11" t="s">
        <v>179</v>
      </c>
      <c r="D467" s="11" t="s">
        <v>51</v>
      </c>
      <c r="E467" s="14" t="s">
        <v>52</v>
      </c>
      <c r="F467" s="11" t="s">
        <v>53</v>
      </c>
      <c r="G467" s="22" t="s">
        <v>83</v>
      </c>
      <c r="H467" s="14"/>
      <c r="I467" s="14"/>
      <c r="J467" s="11">
        <v>24.0</v>
      </c>
      <c r="K467" s="13">
        <v>41518.0</v>
      </c>
      <c r="L467" s="11">
        <f t="shared" si="43"/>
        <v>13</v>
      </c>
      <c r="M467" s="11">
        <v>491703.0</v>
      </c>
      <c r="N467" s="11">
        <v>18.0</v>
      </c>
      <c r="O467" s="4" t="s">
        <v>177</v>
      </c>
      <c r="P467" s="11">
        <v>146.0</v>
      </c>
      <c r="Q467" s="15">
        <v>138.0</v>
      </c>
      <c r="R467" s="22">
        <v>1.0</v>
      </c>
      <c r="S467">
        <f t="shared" si="1"/>
        <v>2012</v>
      </c>
      <c r="T467">
        <f t="shared" si="2"/>
        <v>8</v>
      </c>
      <c r="AF467" s="18"/>
      <c r="AG467" s="19"/>
      <c r="AL467" s="18"/>
      <c r="AM467" s="19"/>
    </row>
    <row r="468">
      <c r="A468" s="4" t="s">
        <v>1436</v>
      </c>
      <c r="B468" s="10">
        <v>41122.0</v>
      </c>
      <c r="C468" s="11" t="s">
        <v>179</v>
      </c>
      <c r="D468" s="11" t="s">
        <v>210</v>
      </c>
      <c r="E468" s="11" t="s">
        <v>52</v>
      </c>
      <c r="F468" s="11" t="s">
        <v>53</v>
      </c>
      <c r="G468" s="11" t="s">
        <v>83</v>
      </c>
      <c r="H468" s="11"/>
      <c r="I468" s="11"/>
      <c r="J468" s="11">
        <v>19.0</v>
      </c>
      <c r="K468" s="13">
        <v>41806.0</v>
      </c>
      <c r="L468" s="11">
        <f t="shared" si="43"/>
        <v>22</v>
      </c>
      <c r="M468" s="11">
        <v>593634.0</v>
      </c>
      <c r="N468" s="11" t="s">
        <v>1437</v>
      </c>
      <c r="P468" s="11">
        <v>0.0</v>
      </c>
      <c r="Q468" s="15">
        <v>0.0</v>
      </c>
      <c r="R468" s="22">
        <v>1.0</v>
      </c>
      <c r="S468">
        <f t="shared" si="1"/>
        <v>2012</v>
      </c>
      <c r="T468">
        <f t="shared" si="2"/>
        <v>8</v>
      </c>
      <c r="AF468" s="18"/>
      <c r="AG468" s="19"/>
      <c r="AL468" s="18"/>
      <c r="AM468" s="19"/>
    </row>
    <row r="469">
      <c r="A469" s="4" t="s">
        <v>1438</v>
      </c>
      <c r="B469" s="10">
        <v>41122.0</v>
      </c>
      <c r="C469" s="11" t="s">
        <v>108</v>
      </c>
      <c r="D469" s="11" t="s">
        <v>124</v>
      </c>
      <c r="E469" s="14" t="s">
        <v>52</v>
      </c>
      <c r="F469" s="11" t="s">
        <v>53</v>
      </c>
      <c r="G469" s="14" t="s">
        <v>54</v>
      </c>
      <c r="H469" s="11" t="s">
        <v>260</v>
      </c>
      <c r="I469" s="11" t="s">
        <v>1439</v>
      </c>
      <c r="J469" s="11">
        <v>21.0</v>
      </c>
      <c r="K469" s="13">
        <v>41734.0</v>
      </c>
      <c r="L469" s="11">
        <f t="shared" si="43"/>
        <v>20</v>
      </c>
      <c r="M469" s="11">
        <v>605182.0</v>
      </c>
      <c r="N469" s="11">
        <v>12808.0</v>
      </c>
      <c r="P469" s="11">
        <v>17.0</v>
      </c>
      <c r="Q469" s="15">
        <v>53.0</v>
      </c>
      <c r="R469" s="22">
        <v>1.0</v>
      </c>
      <c r="S469">
        <f t="shared" si="1"/>
        <v>2012</v>
      </c>
      <c r="T469">
        <f t="shared" si="2"/>
        <v>8</v>
      </c>
      <c r="AF469" s="18"/>
      <c r="AG469" s="19"/>
      <c r="AL469" s="18"/>
      <c r="AM469" s="19"/>
    </row>
    <row r="470">
      <c r="A470" s="4" t="s">
        <v>1440</v>
      </c>
      <c r="B470" s="10">
        <v>41122.0</v>
      </c>
      <c r="C470" s="11" t="s">
        <v>123</v>
      </c>
      <c r="D470" s="11" t="s">
        <v>151</v>
      </c>
      <c r="E470" s="14" t="s">
        <v>52</v>
      </c>
      <c r="F470" s="11" t="s">
        <v>53</v>
      </c>
      <c r="G470" s="14" t="s">
        <v>54</v>
      </c>
      <c r="H470" s="11" t="s">
        <v>157</v>
      </c>
      <c r="I470" s="11" t="s">
        <v>157</v>
      </c>
      <c r="J470" s="11">
        <v>19.0</v>
      </c>
      <c r="K470" s="13">
        <v>41833.0</v>
      </c>
      <c r="L470" s="14"/>
      <c r="M470" s="11">
        <v>595928.0</v>
      </c>
      <c r="N470" s="11" t="s">
        <v>1441</v>
      </c>
      <c r="P470" s="11">
        <v>0.0</v>
      </c>
      <c r="Q470" s="15">
        <v>0.0</v>
      </c>
      <c r="R470" s="22">
        <v>1.0</v>
      </c>
      <c r="S470">
        <f t="shared" si="1"/>
        <v>2012</v>
      </c>
      <c r="T470">
        <f t="shared" si="2"/>
        <v>8</v>
      </c>
      <c r="AF470" s="18"/>
      <c r="AG470" s="19"/>
      <c r="AL470" s="18"/>
      <c r="AM470" s="19"/>
    </row>
    <row r="471">
      <c r="A471" s="4" t="s">
        <v>1442</v>
      </c>
      <c r="B471" s="10">
        <v>41117.0</v>
      </c>
      <c r="C471" s="11" t="s">
        <v>49</v>
      </c>
      <c r="D471" s="11" t="s">
        <v>51</v>
      </c>
      <c r="E471" s="14" t="s">
        <v>52</v>
      </c>
      <c r="F471" s="11" t="s">
        <v>53</v>
      </c>
      <c r="G471" s="14" t="s">
        <v>54</v>
      </c>
      <c r="H471" s="11" t="s">
        <v>77</v>
      </c>
      <c r="I471" s="11"/>
      <c r="J471" s="11">
        <v>22.0</v>
      </c>
      <c r="K471" s="13">
        <v>41888.0</v>
      </c>
      <c r="L471" s="11">
        <f t="shared" ref="L471:L472" si="44">ROUND(((K471-B471)/365)*12)</f>
        <v>25</v>
      </c>
      <c r="M471" s="11">
        <v>543921.0</v>
      </c>
      <c r="N471" s="11">
        <v>6109.0</v>
      </c>
      <c r="O471" s="4" t="s">
        <v>704</v>
      </c>
      <c r="P471" s="11">
        <v>7.0</v>
      </c>
      <c r="Q471" s="15">
        <v>25.0</v>
      </c>
      <c r="R471" s="22">
        <v>1.0</v>
      </c>
      <c r="S471">
        <f t="shared" si="1"/>
        <v>2012</v>
      </c>
      <c r="T471">
        <f t="shared" si="2"/>
        <v>7</v>
      </c>
      <c r="AF471" s="18"/>
      <c r="AG471" s="19"/>
      <c r="AL471" s="18"/>
      <c r="AM471" s="19"/>
    </row>
    <row r="472">
      <c r="A472" s="4" t="s">
        <v>1445</v>
      </c>
      <c r="B472" s="10">
        <v>41114.0</v>
      </c>
      <c r="C472" s="11" t="s">
        <v>270</v>
      </c>
      <c r="D472" s="11" t="s">
        <v>51</v>
      </c>
      <c r="E472" s="14" t="s">
        <v>52</v>
      </c>
      <c r="F472" s="11" t="s">
        <v>76</v>
      </c>
      <c r="G472" s="14" t="s">
        <v>54</v>
      </c>
      <c r="H472" s="11" t="s">
        <v>305</v>
      </c>
      <c r="I472" s="11" t="s">
        <v>1446</v>
      </c>
      <c r="J472" s="11">
        <v>24.0</v>
      </c>
      <c r="K472" s="13">
        <v>41478.0</v>
      </c>
      <c r="L472" s="11">
        <f t="shared" si="44"/>
        <v>12</v>
      </c>
      <c r="M472" s="11">
        <v>474668.0</v>
      </c>
      <c r="N472" s="11">
        <v>2540.0</v>
      </c>
      <c r="O472" s="4" t="s">
        <v>59</v>
      </c>
      <c r="P472" s="11">
        <v>46.0</v>
      </c>
      <c r="Q472" s="15">
        <v>69.0</v>
      </c>
      <c r="R472" s="22">
        <v>1.0</v>
      </c>
      <c r="S472">
        <f t="shared" si="1"/>
        <v>2012</v>
      </c>
      <c r="T472">
        <f t="shared" si="2"/>
        <v>7</v>
      </c>
      <c r="AF472" s="18"/>
      <c r="AG472" s="19"/>
      <c r="AL472" s="18"/>
      <c r="AM472" s="19"/>
    </row>
    <row r="473">
      <c r="A473" s="4" t="s">
        <v>858</v>
      </c>
      <c r="B473" s="10">
        <v>41108.0</v>
      </c>
      <c r="C473" s="11" t="s">
        <v>81</v>
      </c>
      <c r="D473" s="11" t="s">
        <v>51</v>
      </c>
      <c r="E473" s="14" t="s">
        <v>52</v>
      </c>
      <c r="F473" s="11" t="s">
        <v>53</v>
      </c>
      <c r="G473" s="14" t="s">
        <v>54</v>
      </c>
      <c r="H473" s="11" t="s">
        <v>211</v>
      </c>
      <c r="I473" s="11"/>
      <c r="J473" s="11">
        <v>31.0</v>
      </c>
      <c r="K473" s="14"/>
      <c r="L473" s="14"/>
      <c r="M473" s="11">
        <v>434298.0</v>
      </c>
      <c r="N473" s="11">
        <v>2467.0</v>
      </c>
      <c r="O473" s="4" t="s">
        <v>188</v>
      </c>
      <c r="P473" s="11">
        <v>0.0</v>
      </c>
      <c r="Q473" s="32">
        <v>0.0</v>
      </c>
      <c r="R473" s="11">
        <v>0.0</v>
      </c>
      <c r="S473">
        <f t="shared" si="1"/>
        <v>2012</v>
      </c>
      <c r="T473">
        <f t="shared" si="2"/>
        <v>7</v>
      </c>
      <c r="AF473" s="18"/>
      <c r="AG473" s="19"/>
      <c r="AL473" s="18"/>
      <c r="AM473" s="19"/>
    </row>
    <row r="474">
      <c r="A474" s="4" t="s">
        <v>1447</v>
      </c>
      <c r="B474" s="10">
        <v>41107.0</v>
      </c>
      <c r="C474" s="11" t="s">
        <v>711</v>
      </c>
      <c r="D474" s="11" t="s">
        <v>51</v>
      </c>
      <c r="E474" s="14" t="s">
        <v>52</v>
      </c>
      <c r="F474" s="11" t="s">
        <v>76</v>
      </c>
      <c r="G474" s="22" t="s">
        <v>83</v>
      </c>
      <c r="H474" s="14"/>
      <c r="I474" s="14"/>
      <c r="J474" s="11">
        <v>27.0</v>
      </c>
      <c r="K474" s="13">
        <v>41521.0</v>
      </c>
      <c r="L474" s="11">
        <f t="shared" ref="L474:L479" si="45">ROUND(((K474-B474)/365)*12)</f>
        <v>14</v>
      </c>
      <c r="M474" s="11">
        <v>469802.0</v>
      </c>
      <c r="N474" s="11">
        <v>6389.0</v>
      </c>
      <c r="O474" s="4" t="s">
        <v>59</v>
      </c>
      <c r="P474" s="11">
        <v>6.0</v>
      </c>
      <c r="Q474" s="32">
        <v>5.0</v>
      </c>
      <c r="R474" s="11">
        <v>0.0</v>
      </c>
      <c r="S474">
        <f t="shared" si="1"/>
        <v>2012</v>
      </c>
      <c r="T474">
        <f t="shared" si="2"/>
        <v>7</v>
      </c>
      <c r="AF474" s="18"/>
      <c r="AG474" s="19"/>
      <c r="AL474" s="18"/>
      <c r="AM474" s="19"/>
    </row>
    <row r="475">
      <c r="A475" s="4" t="s">
        <v>1448</v>
      </c>
      <c r="B475" s="10">
        <v>41107.0</v>
      </c>
      <c r="C475" s="11" t="s">
        <v>123</v>
      </c>
      <c r="D475" s="11" t="s">
        <v>75</v>
      </c>
      <c r="E475" s="14" t="s">
        <v>52</v>
      </c>
      <c r="F475" s="11" t="s">
        <v>76</v>
      </c>
      <c r="G475" s="14" t="s">
        <v>54</v>
      </c>
      <c r="H475" s="11" t="s">
        <v>305</v>
      </c>
      <c r="I475" s="11" t="s">
        <v>197</v>
      </c>
      <c r="J475" s="11">
        <v>28.0</v>
      </c>
      <c r="K475" s="13">
        <v>41785.0</v>
      </c>
      <c r="L475" s="11">
        <f t="shared" si="45"/>
        <v>22</v>
      </c>
      <c r="M475" s="11">
        <v>476011.0</v>
      </c>
      <c r="N475" s="11">
        <v>9920.0</v>
      </c>
      <c r="P475" s="11">
        <v>0.0</v>
      </c>
      <c r="Q475" s="15">
        <v>0.0</v>
      </c>
      <c r="R475" s="11">
        <v>0.0</v>
      </c>
      <c r="S475">
        <f t="shared" si="1"/>
        <v>2012</v>
      </c>
      <c r="T475">
        <f t="shared" si="2"/>
        <v>7</v>
      </c>
      <c r="AF475" s="18"/>
      <c r="AG475" s="19"/>
      <c r="AL475" s="18"/>
      <c r="AM475" s="19"/>
    </row>
    <row r="476">
      <c r="A476" s="4" t="s">
        <v>203</v>
      </c>
      <c r="B476" s="10">
        <v>41103.0</v>
      </c>
      <c r="C476" s="11" t="s">
        <v>350</v>
      </c>
      <c r="D476" s="11" t="s">
        <v>124</v>
      </c>
      <c r="E476" s="11" t="s">
        <v>52</v>
      </c>
      <c r="F476" s="11" t="s">
        <v>76</v>
      </c>
      <c r="G476" s="11" t="s">
        <v>54</v>
      </c>
      <c r="H476" s="11" t="s">
        <v>157</v>
      </c>
      <c r="I476" s="11" t="s">
        <v>157</v>
      </c>
      <c r="J476" s="11">
        <v>22.0</v>
      </c>
      <c r="K476" s="13">
        <v>41472.0</v>
      </c>
      <c r="L476" s="11">
        <f t="shared" si="45"/>
        <v>12</v>
      </c>
      <c r="M476" s="11">
        <v>605374.0</v>
      </c>
      <c r="N476" s="11">
        <v>12870.0</v>
      </c>
      <c r="O476" s="4" t="s">
        <v>206</v>
      </c>
      <c r="P476" s="11">
        <v>27.0</v>
      </c>
      <c r="Q476" s="15">
        <v>27.333</v>
      </c>
      <c r="R476" s="22">
        <v>1.0</v>
      </c>
      <c r="S476">
        <f t="shared" si="1"/>
        <v>2012</v>
      </c>
      <c r="T476">
        <f t="shared" si="2"/>
        <v>7</v>
      </c>
      <c r="AF476" s="18"/>
      <c r="AG476" s="19"/>
      <c r="AL476" s="18"/>
      <c r="AM476" s="19"/>
    </row>
    <row r="477">
      <c r="A477" s="4" t="s">
        <v>360</v>
      </c>
      <c r="B477" s="10">
        <v>41099.0</v>
      </c>
      <c r="C477" s="11" t="s">
        <v>96</v>
      </c>
      <c r="D477" s="11" t="s">
        <v>51</v>
      </c>
      <c r="E477" s="14" t="s">
        <v>52</v>
      </c>
      <c r="F477" s="11" t="s">
        <v>53</v>
      </c>
      <c r="G477" s="14" t="s">
        <v>54</v>
      </c>
      <c r="H477" s="11" t="s">
        <v>416</v>
      </c>
      <c r="I477" s="11" t="s">
        <v>1275</v>
      </c>
      <c r="J477" s="11">
        <v>25.0</v>
      </c>
      <c r="K477" s="13">
        <v>41885.0</v>
      </c>
      <c r="L477" s="11">
        <f t="shared" si="45"/>
        <v>26</v>
      </c>
      <c r="M477" s="11">
        <v>543339.0</v>
      </c>
      <c r="N477" s="11">
        <v>7146.0</v>
      </c>
      <c r="O477" s="4" t="s">
        <v>704</v>
      </c>
      <c r="P477" s="11">
        <v>0.0</v>
      </c>
      <c r="Q477" s="32">
        <v>0.0</v>
      </c>
      <c r="R477" s="22">
        <v>0.0</v>
      </c>
      <c r="S477">
        <f t="shared" si="1"/>
        <v>2012</v>
      </c>
      <c r="T477">
        <f t="shared" si="2"/>
        <v>7</v>
      </c>
      <c r="AF477" s="18"/>
      <c r="AG477" s="19"/>
      <c r="AL477" s="18"/>
      <c r="AM477" s="19"/>
    </row>
    <row r="478">
      <c r="A478" s="4" t="s">
        <v>1450</v>
      </c>
      <c r="B478" s="10">
        <v>41099.0</v>
      </c>
      <c r="C478" s="11" t="s">
        <v>159</v>
      </c>
      <c r="D478" s="11" t="s">
        <v>124</v>
      </c>
      <c r="E478" s="22" t="s">
        <v>160</v>
      </c>
      <c r="F478" s="11" t="s">
        <v>53</v>
      </c>
      <c r="G478" s="11" t="s">
        <v>172</v>
      </c>
      <c r="H478" s="14"/>
      <c r="I478" s="14"/>
      <c r="J478" s="11">
        <v>20.0</v>
      </c>
      <c r="K478" s="13">
        <v>41368.0</v>
      </c>
      <c r="L478" s="11">
        <f t="shared" si="45"/>
        <v>9</v>
      </c>
      <c r="M478" s="60">
        <v>570615.0</v>
      </c>
      <c r="N478" s="11">
        <v>11854.0</v>
      </c>
      <c r="P478" s="11">
        <v>51.0</v>
      </c>
      <c r="Q478" s="15">
        <v>133.0</v>
      </c>
      <c r="R478" s="22">
        <v>1.0</v>
      </c>
      <c r="S478">
        <f t="shared" si="1"/>
        <v>2012</v>
      </c>
      <c r="T478">
        <f t="shared" si="2"/>
        <v>7</v>
      </c>
      <c r="AF478" s="18"/>
      <c r="AG478" s="19"/>
      <c r="AL478" s="18"/>
      <c r="AM478" s="19"/>
    </row>
    <row r="479">
      <c r="A479" s="4" t="s">
        <v>1451</v>
      </c>
      <c r="B479" s="10">
        <v>41093.0</v>
      </c>
      <c r="C479" s="11" t="s">
        <v>229</v>
      </c>
      <c r="D479" s="11" t="s">
        <v>51</v>
      </c>
      <c r="E479" s="14" t="s">
        <v>52</v>
      </c>
      <c r="F479" s="11" t="s">
        <v>53</v>
      </c>
      <c r="G479" s="22" t="s">
        <v>83</v>
      </c>
      <c r="H479" s="14"/>
      <c r="I479" s="14"/>
      <c r="J479" s="11">
        <v>28.0</v>
      </c>
      <c r="K479" s="13">
        <v>41731.0</v>
      </c>
      <c r="L479" s="11">
        <f t="shared" si="45"/>
        <v>21</v>
      </c>
      <c r="M479" s="11">
        <v>462956.0</v>
      </c>
      <c r="N479" s="11">
        <v>3777.0</v>
      </c>
      <c r="O479" s="4" t="s">
        <v>704</v>
      </c>
      <c r="P479" s="11">
        <v>4.0</v>
      </c>
      <c r="Q479" s="32">
        <v>18.333000000000006</v>
      </c>
      <c r="R479" s="22">
        <v>1.0</v>
      </c>
      <c r="S479">
        <f t="shared" si="1"/>
        <v>2012</v>
      </c>
      <c r="T479">
        <f t="shared" si="2"/>
        <v>7</v>
      </c>
      <c r="U479" s="4"/>
      <c r="V479" s="4"/>
      <c r="W479" s="4"/>
      <c r="X479" s="4"/>
      <c r="Y479" s="4"/>
      <c r="Z479" s="4"/>
      <c r="AA479" s="4"/>
      <c r="AB479" s="4"/>
      <c r="AC479" s="4"/>
      <c r="AD479" s="4">
        <v>7.0</v>
      </c>
      <c r="AE479" s="4">
        <v>7.0</v>
      </c>
      <c r="AF479" s="54">
        <v>37.667</v>
      </c>
      <c r="AG479" s="55">
        <v>0.154</v>
      </c>
      <c r="AH479" s="4">
        <v>41.0</v>
      </c>
      <c r="AI479" s="4">
        <v>79.0</v>
      </c>
      <c r="AJ479" s="4">
        <v>4.0</v>
      </c>
      <c r="AK479" s="4">
        <v>4.0</v>
      </c>
      <c r="AL479" s="54">
        <v>18.333</v>
      </c>
      <c r="AM479" s="55">
        <v>0.019</v>
      </c>
      <c r="AN479" s="4">
        <v>285.0</v>
      </c>
      <c r="AO479" s="4">
        <v>206.0</v>
      </c>
    </row>
    <row r="480">
      <c r="A480" s="4" t="s">
        <v>1452</v>
      </c>
      <c r="B480" s="10">
        <v>41093.0</v>
      </c>
      <c r="C480" s="11" t="s">
        <v>382</v>
      </c>
      <c r="D480" s="11" t="s">
        <v>170</v>
      </c>
      <c r="E480" s="11" t="s">
        <v>52</v>
      </c>
      <c r="F480" s="11" t="s">
        <v>53</v>
      </c>
      <c r="G480" s="11" t="s">
        <v>54</v>
      </c>
      <c r="H480" s="11" t="s">
        <v>197</v>
      </c>
      <c r="I480" s="11" t="s">
        <v>198</v>
      </c>
      <c r="J480" s="11">
        <v>17.0</v>
      </c>
      <c r="K480" s="13">
        <v>42592.0</v>
      </c>
      <c r="L480" s="11"/>
      <c r="M480" s="11">
        <v>641714.0</v>
      </c>
      <c r="N480" s="11" t="s">
        <v>1453</v>
      </c>
      <c r="P480" s="11">
        <v>0.0</v>
      </c>
      <c r="Q480" s="15">
        <v>0.0</v>
      </c>
      <c r="R480" s="22">
        <v>1.0</v>
      </c>
      <c r="S480">
        <f t="shared" si="1"/>
        <v>2012</v>
      </c>
      <c r="T480">
        <f t="shared" si="2"/>
        <v>7</v>
      </c>
      <c r="AF480" s="18"/>
      <c r="AG480" s="19"/>
      <c r="AL480" s="18"/>
      <c r="AM480" s="19"/>
    </row>
    <row r="481">
      <c r="A481" s="4" t="s">
        <v>303</v>
      </c>
      <c r="B481" s="10">
        <v>41091.0</v>
      </c>
      <c r="C481" s="11" t="s">
        <v>350</v>
      </c>
      <c r="D481" s="11" t="s">
        <v>91</v>
      </c>
      <c r="E481" s="14" t="s">
        <v>52</v>
      </c>
      <c r="F481" s="11" t="s">
        <v>53</v>
      </c>
      <c r="G481" s="22" t="s">
        <v>1454</v>
      </c>
      <c r="H481" s="14"/>
      <c r="I481" s="14"/>
      <c r="J481" s="11">
        <v>36.0</v>
      </c>
      <c r="K481" s="13">
        <v>41449.0</v>
      </c>
      <c r="L481" s="11">
        <f t="shared" ref="L481:L482" si="46">ROUND(((K481-B481)/365)*12)</f>
        <v>12</v>
      </c>
      <c r="M481" s="11">
        <v>547939.0</v>
      </c>
      <c r="N481" s="11">
        <v>14445.0</v>
      </c>
      <c r="P481" s="11">
        <v>6.0</v>
      </c>
      <c r="Q481" s="15">
        <v>5.0</v>
      </c>
      <c r="R481" s="22">
        <v>0.0</v>
      </c>
      <c r="S481">
        <f t="shared" si="1"/>
        <v>2012</v>
      </c>
      <c r="T481">
        <f t="shared" si="2"/>
        <v>7</v>
      </c>
      <c r="AF481" s="18"/>
      <c r="AG481" s="19"/>
      <c r="AL481" s="18"/>
      <c r="AM481" s="19"/>
    </row>
    <row r="482">
      <c r="A482" s="4" t="s">
        <v>1455</v>
      </c>
      <c r="B482" s="10">
        <v>41091.0</v>
      </c>
      <c r="C482" s="11" t="s">
        <v>229</v>
      </c>
      <c r="D482" s="11" t="s">
        <v>110</v>
      </c>
      <c r="E482" s="14" t="s">
        <v>52</v>
      </c>
      <c r="F482" s="11" t="s">
        <v>53</v>
      </c>
      <c r="G482" s="14" t="s">
        <v>54</v>
      </c>
      <c r="H482" s="11" t="s">
        <v>344</v>
      </c>
      <c r="I482" s="11"/>
      <c r="J482" s="11">
        <v>21.0</v>
      </c>
      <c r="K482" s="13">
        <v>41734.0</v>
      </c>
      <c r="L482" s="11">
        <f t="shared" si="46"/>
        <v>21</v>
      </c>
      <c r="M482" s="11">
        <v>542937.0</v>
      </c>
      <c r="N482" s="11" t="s">
        <v>1456</v>
      </c>
      <c r="P482" s="11">
        <v>0.0</v>
      </c>
      <c r="Q482" s="15">
        <v>0.0</v>
      </c>
      <c r="R482" s="11">
        <v>0.0</v>
      </c>
      <c r="S482">
        <f t="shared" si="1"/>
        <v>2012</v>
      </c>
      <c r="T482">
        <f t="shared" si="2"/>
        <v>7</v>
      </c>
      <c r="AF482" s="18"/>
      <c r="AG482" s="19"/>
      <c r="AL482" s="18"/>
      <c r="AM482" s="19"/>
    </row>
    <row r="483">
      <c r="A483" s="4" t="s">
        <v>1457</v>
      </c>
      <c r="B483" s="10">
        <v>41091.0</v>
      </c>
      <c r="C483" s="11" t="s">
        <v>81</v>
      </c>
      <c r="D483" s="11" t="s">
        <v>151</v>
      </c>
      <c r="E483" s="14" t="s">
        <v>52</v>
      </c>
      <c r="F483" s="11" t="s">
        <v>53</v>
      </c>
      <c r="G483" s="14" t="s">
        <v>54</v>
      </c>
      <c r="H483" s="11" t="s">
        <v>316</v>
      </c>
      <c r="I483" s="11" t="s">
        <v>316</v>
      </c>
      <c r="J483" s="11">
        <v>20.0</v>
      </c>
      <c r="K483" s="13">
        <v>41824.0</v>
      </c>
      <c r="L483" s="14"/>
      <c r="M483" s="11">
        <v>656257.0</v>
      </c>
      <c r="N483" s="11" t="s">
        <v>1458</v>
      </c>
      <c r="P483" s="11">
        <v>0.0</v>
      </c>
      <c r="Q483" s="15">
        <v>0.0</v>
      </c>
      <c r="R483" s="22">
        <v>1.0</v>
      </c>
      <c r="S483">
        <f t="shared" si="1"/>
        <v>2012</v>
      </c>
      <c r="T483">
        <f t="shared" si="2"/>
        <v>7</v>
      </c>
      <c r="AF483" s="18"/>
      <c r="AG483" s="19"/>
      <c r="AL483" s="18"/>
      <c r="AM483" s="19"/>
    </row>
    <row r="484">
      <c r="A484" s="4" t="s">
        <v>1459</v>
      </c>
      <c r="B484" s="10">
        <v>41091.0</v>
      </c>
      <c r="C484" s="11" t="s">
        <v>270</v>
      </c>
      <c r="D484" s="11" t="s">
        <v>151</v>
      </c>
      <c r="E484" s="11" t="s">
        <v>52</v>
      </c>
      <c r="F484" s="11" t="s">
        <v>76</v>
      </c>
      <c r="G484" s="11" t="s">
        <v>54</v>
      </c>
      <c r="H484" s="11" t="s">
        <v>99</v>
      </c>
      <c r="I484" s="11" t="s">
        <v>1460</v>
      </c>
      <c r="J484" s="11">
        <v>22.0</v>
      </c>
      <c r="K484" s="13">
        <v>42176.0</v>
      </c>
      <c r="L484" s="11"/>
      <c r="M484" s="11">
        <v>622216.0</v>
      </c>
      <c r="N484" s="11" t="s">
        <v>1461</v>
      </c>
      <c r="P484" s="11">
        <v>0.0</v>
      </c>
      <c r="Q484" s="15">
        <v>0.0</v>
      </c>
      <c r="R484" s="22">
        <v>1.0</v>
      </c>
      <c r="S484">
        <f t="shared" si="1"/>
        <v>2012</v>
      </c>
      <c r="T484">
        <f t="shared" si="2"/>
        <v>7</v>
      </c>
      <c r="AF484" s="18"/>
      <c r="AG484" s="19"/>
      <c r="AL484" s="18"/>
      <c r="AM484" s="19"/>
    </row>
    <row r="485">
      <c r="A485" s="4" t="s">
        <v>1462</v>
      </c>
      <c r="B485" s="10">
        <v>41091.0</v>
      </c>
      <c r="C485" s="11" t="s">
        <v>711</v>
      </c>
      <c r="D485" s="11" t="s">
        <v>170</v>
      </c>
      <c r="E485" s="14" t="s">
        <v>52</v>
      </c>
      <c r="F485" s="11" t="s">
        <v>76</v>
      </c>
      <c r="G485" s="14" t="s">
        <v>54</v>
      </c>
      <c r="H485" s="11" t="s">
        <v>279</v>
      </c>
      <c r="I485" s="11"/>
      <c r="J485" s="11">
        <v>17.0</v>
      </c>
      <c r="K485" s="13">
        <v>41824.0</v>
      </c>
      <c r="L485" s="11">
        <f t="shared" ref="L485:L489" si="47">ROUND(((K485-B485)/365)*12)</f>
        <v>24</v>
      </c>
      <c r="M485" s="11">
        <v>641907.0</v>
      </c>
      <c r="N485" s="11" t="s">
        <v>1464</v>
      </c>
      <c r="P485" s="11">
        <v>0.0</v>
      </c>
      <c r="Q485" s="15">
        <v>0.0</v>
      </c>
      <c r="R485" s="22">
        <v>1.0</v>
      </c>
      <c r="S485">
        <f t="shared" si="1"/>
        <v>2012</v>
      </c>
      <c r="T485">
        <f t="shared" si="2"/>
        <v>7</v>
      </c>
      <c r="AF485" s="18"/>
      <c r="AG485" s="19"/>
      <c r="AL485" s="18"/>
      <c r="AM485" s="19"/>
    </row>
    <row r="486">
      <c r="A486" s="4" t="s">
        <v>212</v>
      </c>
      <c r="B486" s="10">
        <v>41081.0</v>
      </c>
      <c r="C486" s="11" t="s">
        <v>142</v>
      </c>
      <c r="D486" s="11" t="s">
        <v>51</v>
      </c>
      <c r="E486" s="14" t="s">
        <v>52</v>
      </c>
      <c r="F486" s="11" t="s">
        <v>53</v>
      </c>
      <c r="G486" s="14" t="s">
        <v>54</v>
      </c>
      <c r="H486" s="11" t="s">
        <v>322</v>
      </c>
      <c r="I486" s="11" t="s">
        <v>778</v>
      </c>
      <c r="J486" s="11">
        <v>25.0</v>
      </c>
      <c r="K486" s="13">
        <v>41484.0</v>
      </c>
      <c r="L486" s="11">
        <f t="shared" si="47"/>
        <v>13</v>
      </c>
      <c r="M486" s="11">
        <v>545404.0</v>
      </c>
      <c r="N486" s="11">
        <v>8851.0</v>
      </c>
      <c r="O486" s="4" t="s">
        <v>59</v>
      </c>
      <c r="P486" s="11">
        <v>5.0</v>
      </c>
      <c r="Q486" s="32">
        <v>30.0</v>
      </c>
      <c r="R486" s="22">
        <v>0.0</v>
      </c>
      <c r="S486">
        <f t="shared" si="1"/>
        <v>2012</v>
      </c>
      <c r="T486">
        <f t="shared" si="2"/>
        <v>6</v>
      </c>
      <c r="U486" s="4"/>
      <c r="V486" s="4"/>
      <c r="W486" s="4"/>
      <c r="X486" s="4"/>
      <c r="Y486" s="4"/>
      <c r="Z486" s="4"/>
      <c r="AA486" s="4"/>
      <c r="AB486" s="4"/>
      <c r="AC486" s="4"/>
      <c r="AD486" s="4">
        <v>13.0</v>
      </c>
      <c r="AE486" s="4">
        <v>13.0</v>
      </c>
      <c r="AF486" s="54">
        <v>81.0</v>
      </c>
      <c r="AG486" s="55">
        <v>0.122</v>
      </c>
      <c r="AH486" s="4">
        <v>51.0</v>
      </c>
      <c r="AI486" s="4">
        <v>90.0</v>
      </c>
      <c r="AJ486" s="4">
        <v>5.0</v>
      </c>
      <c r="AK486" s="4">
        <v>5.0</v>
      </c>
      <c r="AL486" s="54">
        <v>30.0</v>
      </c>
      <c r="AM486" s="55">
        <v>0.158</v>
      </c>
      <c r="AN486" s="4">
        <v>121.0</v>
      </c>
      <c r="AO486" s="4">
        <v>109.0</v>
      </c>
    </row>
    <row r="487">
      <c r="A487" s="4" t="s">
        <v>1465</v>
      </c>
      <c r="B487" s="10">
        <v>41081.0</v>
      </c>
      <c r="C487" s="11" t="s">
        <v>125</v>
      </c>
      <c r="D487" s="11" t="s">
        <v>51</v>
      </c>
      <c r="E487" s="14" t="s">
        <v>52</v>
      </c>
      <c r="F487" s="11" t="s">
        <v>53</v>
      </c>
      <c r="G487" s="14" t="s">
        <v>54</v>
      </c>
      <c r="H487" s="11" t="s">
        <v>154</v>
      </c>
      <c r="I487" s="11"/>
      <c r="J487" s="11">
        <v>28.0</v>
      </c>
      <c r="K487" s="13">
        <v>41438.0</v>
      </c>
      <c r="L487" s="11">
        <f t="shared" si="47"/>
        <v>12</v>
      </c>
      <c r="M487" s="11">
        <v>450203.0</v>
      </c>
      <c r="N487" s="11">
        <v>4676.0</v>
      </c>
      <c r="O487" s="4" t="s">
        <v>59</v>
      </c>
      <c r="P487" s="11">
        <v>73.0</v>
      </c>
      <c r="Q487" s="15">
        <v>419.667</v>
      </c>
      <c r="R487" s="22">
        <v>1.0</v>
      </c>
      <c r="S487">
        <f t="shared" si="1"/>
        <v>2012</v>
      </c>
      <c r="T487">
        <f t="shared" si="2"/>
        <v>6</v>
      </c>
      <c r="U487" s="4"/>
      <c r="V487" s="4"/>
      <c r="W487" s="4"/>
      <c r="X487" s="4"/>
      <c r="Y487" s="4"/>
      <c r="Z487" s="4"/>
      <c r="AA487" s="4"/>
      <c r="AB487" s="4"/>
      <c r="AC487" s="4"/>
      <c r="AD487" s="4">
        <v>9.0</v>
      </c>
      <c r="AE487" s="4">
        <v>9.0</v>
      </c>
      <c r="AF487" s="54">
        <v>50.333</v>
      </c>
      <c r="AG487" s="55">
        <v>0.063</v>
      </c>
      <c r="AH487" s="4">
        <v>122.0</v>
      </c>
      <c r="AI487" s="4">
        <v>109.0</v>
      </c>
      <c r="AJ487" s="4">
        <v>20.0</v>
      </c>
      <c r="AK487" s="4">
        <v>20.0</v>
      </c>
      <c r="AL487" s="54">
        <v>116.0</v>
      </c>
      <c r="AM487" s="55">
        <v>0.099</v>
      </c>
      <c r="AN487" s="4">
        <v>90.0</v>
      </c>
      <c r="AO487" s="4">
        <v>98.0</v>
      </c>
    </row>
    <row r="488">
      <c r="A488" s="4" t="s">
        <v>1466</v>
      </c>
      <c r="B488" s="10">
        <v>41081.0</v>
      </c>
      <c r="C488" s="11" t="s">
        <v>142</v>
      </c>
      <c r="D488" s="11" t="s">
        <v>82</v>
      </c>
      <c r="E488" s="14" t="s">
        <v>52</v>
      </c>
      <c r="F488" s="11" t="s">
        <v>76</v>
      </c>
      <c r="G488" s="14" t="s">
        <v>54</v>
      </c>
      <c r="H488" s="11" t="s">
        <v>92</v>
      </c>
      <c r="I488" s="11"/>
      <c r="J488" s="11">
        <v>24.0</v>
      </c>
      <c r="K488" s="13">
        <v>42470.0</v>
      </c>
      <c r="L488" s="11">
        <f t="shared" si="47"/>
        <v>46</v>
      </c>
      <c r="M488" s="11">
        <v>502061.0</v>
      </c>
      <c r="N488" s="11" t="s">
        <v>1467</v>
      </c>
      <c r="P488" s="11">
        <v>0.0</v>
      </c>
      <c r="Q488" s="15">
        <v>0.0</v>
      </c>
      <c r="R488" s="22">
        <v>0.0</v>
      </c>
      <c r="S488">
        <f t="shared" si="1"/>
        <v>2012</v>
      </c>
      <c r="T488">
        <f t="shared" si="2"/>
        <v>6</v>
      </c>
      <c r="AF488" s="18"/>
      <c r="AG488" s="19"/>
      <c r="AL488" s="18"/>
      <c r="AM488" s="19"/>
    </row>
    <row r="489">
      <c r="A489" s="4" t="s">
        <v>1468</v>
      </c>
      <c r="B489" s="10">
        <v>41080.0</v>
      </c>
      <c r="C489" s="11" t="s">
        <v>103</v>
      </c>
      <c r="D489" s="11" t="s">
        <v>51</v>
      </c>
      <c r="E489" s="14" t="s">
        <v>52</v>
      </c>
      <c r="F489" s="11" t="s">
        <v>53</v>
      </c>
      <c r="G489" s="22" t="s">
        <v>299</v>
      </c>
      <c r="H489" s="14"/>
      <c r="I489" s="14"/>
      <c r="J489" s="11">
        <v>40.0</v>
      </c>
      <c r="K489" s="13">
        <v>41399.0</v>
      </c>
      <c r="L489" s="11">
        <f t="shared" si="47"/>
        <v>10</v>
      </c>
      <c r="M489" s="11">
        <v>425747.0</v>
      </c>
      <c r="N489" s="11">
        <v>1660.0</v>
      </c>
      <c r="O489" s="4" t="s">
        <v>704</v>
      </c>
      <c r="P489" s="11">
        <v>7.0</v>
      </c>
      <c r="Q489" s="32">
        <v>5.0</v>
      </c>
      <c r="R489" s="22">
        <v>0.0</v>
      </c>
      <c r="S489">
        <f t="shared" si="1"/>
        <v>2012</v>
      </c>
      <c r="T489">
        <f t="shared" si="2"/>
        <v>6</v>
      </c>
      <c r="AF489" s="18"/>
      <c r="AG489" s="19"/>
      <c r="AL489" s="18"/>
      <c r="AM489" s="19"/>
    </row>
    <row r="490">
      <c r="A490" s="4" t="s">
        <v>1469</v>
      </c>
      <c r="B490" s="10">
        <v>41079.0</v>
      </c>
      <c r="C490" s="11" t="s">
        <v>97</v>
      </c>
      <c r="D490" s="11" t="s">
        <v>51</v>
      </c>
      <c r="E490" s="14" t="s">
        <v>52</v>
      </c>
      <c r="F490" s="11" t="s">
        <v>53</v>
      </c>
      <c r="G490" s="14" t="s">
        <v>54</v>
      </c>
      <c r="H490" s="11" t="s">
        <v>154</v>
      </c>
      <c r="I490" s="11" t="s">
        <v>211</v>
      </c>
      <c r="J490" s="11">
        <v>25.0</v>
      </c>
      <c r="K490" s="14"/>
      <c r="L490" s="14"/>
      <c r="M490" s="11">
        <v>446398.0</v>
      </c>
      <c r="N490" s="11">
        <v>2431.0</v>
      </c>
      <c r="O490" s="4" t="s">
        <v>287</v>
      </c>
      <c r="P490" s="11">
        <v>0.0</v>
      </c>
      <c r="Q490" s="32">
        <v>0.0</v>
      </c>
      <c r="R490" s="22">
        <v>0.0</v>
      </c>
      <c r="S490">
        <f t="shared" si="1"/>
        <v>2012</v>
      </c>
      <c r="T490">
        <f t="shared" si="2"/>
        <v>6</v>
      </c>
      <c r="AF490" s="18"/>
      <c r="AG490" s="19"/>
      <c r="AL490" s="18"/>
      <c r="AM490" s="19"/>
    </row>
    <row r="491">
      <c r="A491" s="4" t="s">
        <v>1470</v>
      </c>
      <c r="B491" s="10">
        <v>41079.0</v>
      </c>
      <c r="C491" s="11" t="s">
        <v>103</v>
      </c>
      <c r="D491" s="11" t="s">
        <v>51</v>
      </c>
      <c r="E491" s="14" t="s">
        <v>52</v>
      </c>
      <c r="F491" s="11" t="s">
        <v>53</v>
      </c>
      <c r="G491" s="14" t="s">
        <v>54</v>
      </c>
      <c r="H491" s="11" t="s">
        <v>260</v>
      </c>
      <c r="I491" s="11" t="s">
        <v>1471</v>
      </c>
      <c r="J491" s="11">
        <v>26.0</v>
      </c>
      <c r="K491" s="14"/>
      <c r="L491" s="14"/>
      <c r="M491" s="11">
        <v>458589.0</v>
      </c>
      <c r="N491" s="11">
        <v>9264.0</v>
      </c>
      <c r="O491" s="4" t="s">
        <v>59</v>
      </c>
      <c r="P491" s="11">
        <v>0.0</v>
      </c>
      <c r="Q491" s="32">
        <v>0.0</v>
      </c>
      <c r="R491" s="11">
        <v>0.0</v>
      </c>
      <c r="S491">
        <f t="shared" si="1"/>
        <v>2012</v>
      </c>
      <c r="T491">
        <f t="shared" si="2"/>
        <v>6</v>
      </c>
      <c r="AF491" s="18"/>
      <c r="AG491" s="19"/>
      <c r="AL491" s="18"/>
      <c r="AM491" s="19"/>
    </row>
    <row r="492">
      <c r="A492" s="4" t="s">
        <v>627</v>
      </c>
      <c r="B492" s="10">
        <v>41079.0</v>
      </c>
      <c r="C492" s="11" t="s">
        <v>711</v>
      </c>
      <c r="D492" s="11" t="s">
        <v>51</v>
      </c>
      <c r="E492" s="14" t="s">
        <v>52</v>
      </c>
      <c r="F492" s="11" t="s">
        <v>53</v>
      </c>
      <c r="G492" s="14" t="s">
        <v>54</v>
      </c>
      <c r="H492" s="11" t="s">
        <v>157</v>
      </c>
      <c r="I492" s="11"/>
      <c r="J492" s="11">
        <v>24.0</v>
      </c>
      <c r="K492" s="13">
        <v>41524.0</v>
      </c>
      <c r="L492" s="11">
        <f t="shared" ref="L492:L494" si="48">ROUND(((K492-B492)/365)*12)</f>
        <v>15</v>
      </c>
      <c r="M492" s="11">
        <v>475138.0</v>
      </c>
      <c r="N492" s="11">
        <v>4359.0</v>
      </c>
      <c r="O492" s="4" t="s">
        <v>59</v>
      </c>
      <c r="P492" s="11">
        <v>9.0</v>
      </c>
      <c r="Q492" s="15">
        <v>12.667</v>
      </c>
      <c r="R492" s="22">
        <v>1.0</v>
      </c>
      <c r="S492">
        <f t="shared" si="1"/>
        <v>2012</v>
      </c>
      <c r="T492">
        <f t="shared" si="2"/>
        <v>6</v>
      </c>
      <c r="AF492" s="18"/>
      <c r="AG492" s="19"/>
      <c r="AL492" s="18"/>
      <c r="AM492" s="19"/>
    </row>
    <row r="493">
      <c r="A493" s="4" t="s">
        <v>1473</v>
      </c>
      <c r="B493" s="10">
        <v>41073.0</v>
      </c>
      <c r="C493" s="11" t="s">
        <v>229</v>
      </c>
      <c r="D493" s="11" t="s">
        <v>51</v>
      </c>
      <c r="E493" s="14" t="s">
        <v>52</v>
      </c>
      <c r="F493" s="11" t="s">
        <v>76</v>
      </c>
      <c r="G493" s="14" t="s">
        <v>54</v>
      </c>
      <c r="H493" s="11" t="s">
        <v>92</v>
      </c>
      <c r="I493" s="11"/>
      <c r="J493" s="11">
        <v>23.0</v>
      </c>
      <c r="K493" s="13">
        <v>41493.0</v>
      </c>
      <c r="L493" s="11">
        <f t="shared" si="48"/>
        <v>14</v>
      </c>
      <c r="M493" s="11">
        <v>518633.0</v>
      </c>
      <c r="N493" s="11">
        <v>3542.0</v>
      </c>
      <c r="O493" s="4" t="s">
        <v>704</v>
      </c>
      <c r="P493" s="11">
        <v>108.0</v>
      </c>
      <c r="Q493" s="15">
        <v>490.0</v>
      </c>
      <c r="R493" s="22">
        <v>1.0</v>
      </c>
      <c r="S493">
        <f t="shared" si="1"/>
        <v>2012</v>
      </c>
      <c r="T493">
        <f t="shared" si="2"/>
        <v>6</v>
      </c>
      <c r="U493" s="4"/>
      <c r="V493" s="4"/>
      <c r="W493" s="4"/>
      <c r="X493" s="4"/>
      <c r="Y493" s="4"/>
      <c r="Z493" s="4"/>
      <c r="AA493" s="4"/>
      <c r="AB493" s="4"/>
      <c r="AC493" s="4"/>
      <c r="AD493" s="4">
        <v>6.0</v>
      </c>
      <c r="AE493" s="4">
        <v>6.0</v>
      </c>
      <c r="AF493" s="54">
        <v>27.667</v>
      </c>
      <c r="AG493" s="55">
        <v>0.083</v>
      </c>
      <c r="AH493" s="4">
        <v>95.0</v>
      </c>
      <c r="AI493" s="4">
        <v>96.0</v>
      </c>
      <c r="AJ493" s="4">
        <v>5.0</v>
      </c>
      <c r="AK493" s="4">
        <v>5.0</v>
      </c>
      <c r="AL493" s="54">
        <v>24.333</v>
      </c>
      <c r="AM493" s="55">
        <v>0.077</v>
      </c>
      <c r="AN493" s="4">
        <v>46.0</v>
      </c>
      <c r="AO493" s="4">
        <v>79.0</v>
      </c>
    </row>
    <row r="494">
      <c r="A494" s="4" t="s">
        <v>1474</v>
      </c>
      <c r="B494" s="10">
        <v>41072.0</v>
      </c>
      <c r="C494" s="11" t="s">
        <v>125</v>
      </c>
      <c r="D494" s="11" t="s">
        <v>82</v>
      </c>
      <c r="E494" s="14" t="s">
        <v>52</v>
      </c>
      <c r="F494" s="11" t="s">
        <v>53</v>
      </c>
      <c r="G494" s="14" t="s">
        <v>54</v>
      </c>
      <c r="H494" s="11" t="s">
        <v>157</v>
      </c>
      <c r="I494" s="11" t="s">
        <v>786</v>
      </c>
      <c r="J494" s="11">
        <v>22.0</v>
      </c>
      <c r="K494" s="13">
        <v>41473.0</v>
      </c>
      <c r="L494" s="11">
        <f t="shared" si="48"/>
        <v>13</v>
      </c>
      <c r="M494" s="11">
        <v>572713.0</v>
      </c>
      <c r="N494" s="11" t="s">
        <v>1475</v>
      </c>
      <c r="P494" s="11">
        <v>0.0</v>
      </c>
      <c r="Q494" s="15">
        <v>0.0</v>
      </c>
      <c r="R494" s="22">
        <v>1.0</v>
      </c>
      <c r="S494">
        <f t="shared" si="1"/>
        <v>2012</v>
      </c>
      <c r="T494">
        <f t="shared" si="2"/>
        <v>6</v>
      </c>
      <c r="AF494" s="18"/>
      <c r="AG494" s="19"/>
      <c r="AL494" s="18"/>
      <c r="AM494" s="19"/>
    </row>
    <row r="495">
      <c r="A495" s="4" t="s">
        <v>1476</v>
      </c>
      <c r="B495" s="10">
        <v>41066.0</v>
      </c>
      <c r="C495" s="11" t="s">
        <v>114</v>
      </c>
      <c r="D495" s="11" t="s">
        <v>170</v>
      </c>
      <c r="E495" s="11" t="s">
        <v>52</v>
      </c>
      <c r="F495" s="11" t="s">
        <v>53</v>
      </c>
      <c r="G495" s="11" t="s">
        <v>54</v>
      </c>
      <c r="H495" s="11" t="s">
        <v>302</v>
      </c>
      <c r="I495" s="11" t="s">
        <v>1477</v>
      </c>
      <c r="J495" s="11">
        <v>18.0</v>
      </c>
      <c r="K495" s="13">
        <v>42178.0</v>
      </c>
      <c r="L495" s="11"/>
      <c r="M495" s="11">
        <v>664155.0</v>
      </c>
      <c r="N495" s="11" t="s">
        <v>1478</v>
      </c>
      <c r="P495" s="11">
        <v>0.0</v>
      </c>
      <c r="Q495" s="15">
        <v>0.0</v>
      </c>
      <c r="R495" s="22">
        <v>1.0</v>
      </c>
      <c r="S495">
        <f t="shared" si="1"/>
        <v>2012</v>
      </c>
      <c r="T495">
        <f t="shared" si="2"/>
        <v>6</v>
      </c>
      <c r="AF495" s="18"/>
      <c r="AG495" s="19"/>
      <c r="AL495" s="18"/>
      <c r="AM495" s="19"/>
    </row>
    <row r="496">
      <c r="A496" s="4" t="s">
        <v>1479</v>
      </c>
      <c r="B496" s="10">
        <v>41065.0</v>
      </c>
      <c r="C496" s="11" t="s">
        <v>49</v>
      </c>
      <c r="D496" s="11" t="s">
        <v>82</v>
      </c>
      <c r="E496" s="14" t="s">
        <v>52</v>
      </c>
      <c r="F496" s="11" t="s">
        <v>76</v>
      </c>
      <c r="G496" s="22" t="s">
        <v>582</v>
      </c>
      <c r="H496" s="14"/>
      <c r="I496" s="14"/>
      <c r="J496" s="11">
        <v>22.0</v>
      </c>
      <c r="K496" s="13">
        <v>41455.0</v>
      </c>
      <c r="L496" s="11">
        <f t="shared" ref="L496:L497" si="49">ROUND(((K496-B496)/365)*12)</f>
        <v>13</v>
      </c>
      <c r="M496" s="11">
        <v>517062.0</v>
      </c>
      <c r="N496" s="11" t="s">
        <v>1481</v>
      </c>
      <c r="P496" s="11">
        <v>0.0</v>
      </c>
      <c r="Q496" s="15">
        <v>0.0</v>
      </c>
      <c r="R496" s="22">
        <v>1.0</v>
      </c>
      <c r="S496">
        <f t="shared" si="1"/>
        <v>2012</v>
      </c>
      <c r="T496">
        <f t="shared" si="2"/>
        <v>6</v>
      </c>
      <c r="AF496" s="18"/>
      <c r="AG496" s="19"/>
      <c r="AL496" s="18"/>
      <c r="AM496" s="19"/>
    </row>
    <row r="497">
      <c r="A497" s="4" t="s">
        <v>1482</v>
      </c>
      <c r="B497" s="10">
        <v>41061.0</v>
      </c>
      <c r="C497" s="11" t="s">
        <v>350</v>
      </c>
      <c r="D497" s="11" t="s">
        <v>51</v>
      </c>
      <c r="E497" s="14" t="s">
        <v>52</v>
      </c>
      <c r="F497" s="11" t="s">
        <v>53</v>
      </c>
      <c r="G497" s="22" t="s">
        <v>83</v>
      </c>
      <c r="H497" s="14"/>
      <c r="I497" s="14"/>
      <c r="J497" s="11">
        <v>28.0</v>
      </c>
      <c r="K497" s="13">
        <v>42179.0</v>
      </c>
      <c r="L497" s="11">
        <f t="shared" si="49"/>
        <v>37</v>
      </c>
      <c r="M497" s="11">
        <v>456496.0</v>
      </c>
      <c r="N497" s="11">
        <v>6869.0</v>
      </c>
      <c r="P497" s="11">
        <v>26.0</v>
      </c>
      <c r="Q497" s="15">
        <v>27.0</v>
      </c>
      <c r="R497" s="11">
        <v>0.0</v>
      </c>
      <c r="S497">
        <f t="shared" si="1"/>
        <v>2012</v>
      </c>
      <c r="T497">
        <f t="shared" si="2"/>
        <v>6</v>
      </c>
      <c r="AF497" s="18"/>
      <c r="AG497" s="19"/>
      <c r="AL497" s="18"/>
      <c r="AM497" s="19"/>
    </row>
    <row r="498">
      <c r="A498" s="4" t="s">
        <v>457</v>
      </c>
      <c r="B498" s="10">
        <v>41061.0</v>
      </c>
      <c r="C498" s="11" t="s">
        <v>259</v>
      </c>
      <c r="D498" s="11" t="s">
        <v>151</v>
      </c>
      <c r="E498" s="14" t="s">
        <v>52</v>
      </c>
      <c r="F498" s="11" t="s">
        <v>76</v>
      </c>
      <c r="G498" s="14" t="s">
        <v>54</v>
      </c>
      <c r="H498" s="11" t="s">
        <v>549</v>
      </c>
      <c r="I498" s="11" t="s">
        <v>550</v>
      </c>
      <c r="J498" s="11">
        <v>18.0</v>
      </c>
      <c r="K498" s="13">
        <v>41811.0</v>
      </c>
      <c r="L498" s="14"/>
      <c r="M498" s="11">
        <v>605240.0</v>
      </c>
      <c r="N498" s="11" t="s">
        <v>551</v>
      </c>
      <c r="P498" s="11">
        <v>0.0</v>
      </c>
      <c r="Q498" s="15">
        <v>0.0</v>
      </c>
      <c r="R498" s="11">
        <v>0.0</v>
      </c>
      <c r="S498">
        <f t="shared" si="1"/>
        <v>2012</v>
      </c>
      <c r="T498">
        <f t="shared" si="2"/>
        <v>6</v>
      </c>
      <c r="AF498" s="18"/>
      <c r="AG498" s="19"/>
      <c r="AL498" s="18"/>
      <c r="AM498" s="19"/>
    </row>
    <row r="499">
      <c r="A499" s="4" t="s">
        <v>1483</v>
      </c>
      <c r="B499" s="10">
        <v>41061.0</v>
      </c>
      <c r="C499" s="11" t="s">
        <v>159</v>
      </c>
      <c r="D499" s="11" t="s">
        <v>75</v>
      </c>
      <c r="E499" s="14" t="s">
        <v>52</v>
      </c>
      <c r="F499" s="11" t="s">
        <v>76</v>
      </c>
      <c r="G499" s="22" t="s">
        <v>436</v>
      </c>
      <c r="H499" s="14"/>
      <c r="I499" s="14"/>
      <c r="J499" s="11">
        <v>29.0</v>
      </c>
      <c r="K499" s="14"/>
      <c r="L499" s="14"/>
      <c r="M499" s="11">
        <v>547820.0</v>
      </c>
      <c r="N499" s="11">
        <v>4199.0</v>
      </c>
      <c r="P499" s="11">
        <v>0.0</v>
      </c>
      <c r="Q499" s="15">
        <v>0.0</v>
      </c>
      <c r="R499" s="22">
        <v>0.0</v>
      </c>
      <c r="S499">
        <f t="shared" si="1"/>
        <v>2012</v>
      </c>
      <c r="T499">
        <f t="shared" si="2"/>
        <v>6</v>
      </c>
      <c r="AF499" s="18"/>
      <c r="AG499" s="19"/>
      <c r="AL499" s="18"/>
      <c r="AM499" s="19"/>
    </row>
    <row r="500">
      <c r="A500" s="4" t="s">
        <v>1484</v>
      </c>
      <c r="B500" s="10">
        <v>41061.0</v>
      </c>
      <c r="C500" s="11" t="s">
        <v>81</v>
      </c>
      <c r="D500" s="11" t="s">
        <v>91</v>
      </c>
      <c r="E500" s="14" t="s">
        <v>52</v>
      </c>
      <c r="F500" s="11" t="s">
        <v>53</v>
      </c>
      <c r="G500" s="14" t="s">
        <v>54</v>
      </c>
      <c r="H500" s="11" t="s">
        <v>92</v>
      </c>
      <c r="I500" s="11"/>
      <c r="J500" s="11">
        <v>19.0</v>
      </c>
      <c r="K500" s="13">
        <v>41445.0</v>
      </c>
      <c r="L500" s="11">
        <f>ROUND(((K500-B500)/365)*12)</f>
        <v>13</v>
      </c>
      <c r="M500" s="11">
        <v>605130.0</v>
      </c>
      <c r="N500" s="11" t="s">
        <v>1485</v>
      </c>
      <c r="P500" s="11">
        <v>0.0</v>
      </c>
      <c r="Q500" s="15">
        <v>0.0</v>
      </c>
      <c r="R500" s="22">
        <v>1.0</v>
      </c>
      <c r="S500">
        <f t="shared" si="1"/>
        <v>2012</v>
      </c>
      <c r="T500">
        <f t="shared" si="2"/>
        <v>6</v>
      </c>
      <c r="AF500" s="18"/>
      <c r="AG500" s="19"/>
      <c r="AL500" s="18"/>
      <c r="AM500" s="19"/>
    </row>
    <row r="501">
      <c r="A501" s="4" t="s">
        <v>1486</v>
      </c>
      <c r="B501" s="10">
        <v>41061.0</v>
      </c>
      <c r="C501" s="11" t="s">
        <v>114</v>
      </c>
      <c r="D501" s="11" t="s">
        <v>110</v>
      </c>
      <c r="E501" s="14" t="s">
        <v>52</v>
      </c>
      <c r="F501" s="11" t="s">
        <v>53</v>
      </c>
      <c r="G501" s="14" t="s">
        <v>54</v>
      </c>
      <c r="H501" s="11" t="s">
        <v>211</v>
      </c>
      <c r="I501" s="11" t="s">
        <v>1323</v>
      </c>
      <c r="J501" s="11">
        <v>22.0</v>
      </c>
      <c r="K501" s="14"/>
      <c r="L501" s="14"/>
      <c r="M501" s="11">
        <v>607502.0</v>
      </c>
      <c r="N501" s="11" t="s">
        <v>1487</v>
      </c>
      <c r="P501" s="11">
        <v>0.0</v>
      </c>
      <c r="Q501" s="15">
        <v>0.0</v>
      </c>
      <c r="R501" s="22">
        <v>0.0</v>
      </c>
      <c r="S501">
        <f t="shared" si="1"/>
        <v>2012</v>
      </c>
      <c r="T501">
        <f t="shared" si="2"/>
        <v>6</v>
      </c>
      <c r="AF501" s="18"/>
      <c r="AG501" s="19"/>
      <c r="AL501" s="18"/>
      <c r="AM501" s="19"/>
    </row>
    <row r="502">
      <c r="A502" s="4" t="s">
        <v>1489</v>
      </c>
      <c r="B502" s="10">
        <v>41061.0</v>
      </c>
      <c r="C502" s="11" t="s">
        <v>97</v>
      </c>
      <c r="D502" s="11" t="s">
        <v>210</v>
      </c>
      <c r="E502" s="22" t="s">
        <v>160</v>
      </c>
      <c r="F502" s="11" t="s">
        <v>53</v>
      </c>
      <c r="G502" s="14" t="s">
        <v>54</v>
      </c>
      <c r="H502" s="11" t="s">
        <v>211</v>
      </c>
      <c r="I502" s="11" t="s">
        <v>1490</v>
      </c>
      <c r="J502" s="11">
        <v>21.0</v>
      </c>
      <c r="K502" s="13">
        <v>41442.0</v>
      </c>
      <c r="L502" s="11">
        <f t="shared" ref="L502:L510" si="50">ROUND(((K502-B502)/365)*12)</f>
        <v>13</v>
      </c>
      <c r="M502" s="11">
        <v>607284.0</v>
      </c>
      <c r="N502" s="11" t="s">
        <v>1491</v>
      </c>
      <c r="P502" s="11">
        <v>0.0</v>
      </c>
      <c r="Q502" s="15">
        <v>0.0</v>
      </c>
      <c r="R502" s="22">
        <v>0.0</v>
      </c>
      <c r="S502">
        <f t="shared" si="1"/>
        <v>2012</v>
      </c>
      <c r="T502">
        <f t="shared" si="2"/>
        <v>6</v>
      </c>
      <c r="AF502" s="18"/>
      <c r="AG502" s="19"/>
      <c r="AL502" s="18"/>
      <c r="AM502" s="19"/>
    </row>
    <row r="503">
      <c r="A503" s="4" t="s">
        <v>1492</v>
      </c>
      <c r="B503" s="10">
        <v>41061.0</v>
      </c>
      <c r="C503" s="11" t="s">
        <v>130</v>
      </c>
      <c r="D503" s="11" t="s">
        <v>110</v>
      </c>
      <c r="E503" s="14" t="s">
        <v>52</v>
      </c>
      <c r="F503" s="11" t="s">
        <v>76</v>
      </c>
      <c r="G503" s="14" t="s">
        <v>54</v>
      </c>
      <c r="H503" s="11" t="s">
        <v>99</v>
      </c>
      <c r="I503" s="11" t="s">
        <v>477</v>
      </c>
      <c r="J503" s="11">
        <v>22.0</v>
      </c>
      <c r="K503" s="13">
        <v>41496.0</v>
      </c>
      <c r="L503" s="11">
        <f t="shared" si="50"/>
        <v>14</v>
      </c>
      <c r="M503" s="11">
        <v>543204.0</v>
      </c>
      <c r="N503" s="11" t="s">
        <v>1493</v>
      </c>
      <c r="P503" s="11">
        <v>0.0</v>
      </c>
      <c r="Q503" s="15">
        <v>0.0</v>
      </c>
      <c r="R503" s="22">
        <v>1.0</v>
      </c>
      <c r="S503">
        <f t="shared" si="1"/>
        <v>2012</v>
      </c>
      <c r="T503">
        <f t="shared" si="2"/>
        <v>6</v>
      </c>
      <c r="AF503" s="18"/>
      <c r="AG503" s="19"/>
      <c r="AL503" s="18"/>
      <c r="AM503" s="19"/>
    </row>
    <row r="504">
      <c r="A504" s="4" t="s">
        <v>1494</v>
      </c>
      <c r="B504" s="10">
        <v>41061.0</v>
      </c>
      <c r="C504" s="11" t="s">
        <v>74</v>
      </c>
      <c r="D504" s="11" t="s">
        <v>151</v>
      </c>
      <c r="E504" s="11" t="s">
        <v>52</v>
      </c>
      <c r="F504" s="11" t="s">
        <v>76</v>
      </c>
      <c r="G504" s="11" t="s">
        <v>54</v>
      </c>
      <c r="H504" s="11" t="s">
        <v>416</v>
      </c>
      <c r="I504" s="11" t="s">
        <v>211</v>
      </c>
      <c r="J504" s="11">
        <v>21.0</v>
      </c>
      <c r="K504" s="13">
        <v>41444.0</v>
      </c>
      <c r="L504" s="11">
        <f t="shared" si="50"/>
        <v>13</v>
      </c>
      <c r="M504" s="11">
        <v>573074.0</v>
      </c>
      <c r="N504" s="11" t="s">
        <v>1495</v>
      </c>
      <c r="O504" s="4"/>
      <c r="P504" s="11">
        <v>0.0</v>
      </c>
      <c r="Q504" s="15">
        <v>0.0</v>
      </c>
      <c r="R504" s="22">
        <v>1.0</v>
      </c>
      <c r="S504">
        <f t="shared" si="1"/>
        <v>2012</v>
      </c>
      <c r="T504">
        <f t="shared" si="2"/>
        <v>6</v>
      </c>
      <c r="AF504" s="18"/>
      <c r="AG504" s="19"/>
      <c r="AL504" s="18"/>
      <c r="AM504" s="19"/>
    </row>
    <row r="505">
      <c r="A505" s="4" t="s">
        <v>1496</v>
      </c>
      <c r="B505" s="10">
        <v>41054.0</v>
      </c>
      <c r="C505" s="11" t="s">
        <v>229</v>
      </c>
      <c r="D505" s="11" t="s">
        <v>51</v>
      </c>
      <c r="E505" s="14" t="s">
        <v>52</v>
      </c>
      <c r="F505" s="11" t="s">
        <v>53</v>
      </c>
      <c r="G505" s="14" t="s">
        <v>54</v>
      </c>
      <c r="H505" s="11" t="s">
        <v>99</v>
      </c>
      <c r="I505" s="11" t="s">
        <v>743</v>
      </c>
      <c r="J505" s="11">
        <v>26.0</v>
      </c>
      <c r="K505" s="13">
        <v>41519.0</v>
      </c>
      <c r="L505" s="11">
        <f t="shared" si="50"/>
        <v>15</v>
      </c>
      <c r="M505" s="11">
        <v>502028.0</v>
      </c>
      <c r="N505" s="11">
        <v>1345.0</v>
      </c>
      <c r="O505" s="4" t="s">
        <v>704</v>
      </c>
      <c r="P505" s="11">
        <v>79.0</v>
      </c>
      <c r="Q505" s="15">
        <v>84.333</v>
      </c>
      <c r="R505" s="22">
        <v>1.0</v>
      </c>
      <c r="S505">
        <f t="shared" si="1"/>
        <v>2012</v>
      </c>
      <c r="T505">
        <f t="shared" si="2"/>
        <v>5</v>
      </c>
      <c r="AF505" s="18"/>
      <c r="AG505" s="19"/>
      <c r="AL505" s="18"/>
      <c r="AM505" s="19"/>
    </row>
    <row r="506">
      <c r="A506" s="4" t="s">
        <v>340</v>
      </c>
      <c r="B506" s="10">
        <v>41052.0</v>
      </c>
      <c r="C506" s="11" t="s">
        <v>49</v>
      </c>
      <c r="D506" s="11" t="s">
        <v>51</v>
      </c>
      <c r="E506" s="14" t="s">
        <v>52</v>
      </c>
      <c r="F506" s="11" t="s">
        <v>76</v>
      </c>
      <c r="G506" s="14" t="s">
        <v>54</v>
      </c>
      <c r="H506" s="11" t="s">
        <v>305</v>
      </c>
      <c r="I506" s="11" t="s">
        <v>873</v>
      </c>
      <c r="J506" s="11">
        <v>27.0</v>
      </c>
      <c r="K506" s="13">
        <v>42467.0</v>
      </c>
      <c r="L506" s="11">
        <f t="shared" si="50"/>
        <v>47</v>
      </c>
      <c r="M506" s="11">
        <v>458537.0</v>
      </c>
      <c r="N506" s="11">
        <v>1984.0</v>
      </c>
      <c r="O506" s="4" t="s">
        <v>704</v>
      </c>
      <c r="P506" s="11">
        <v>0.0</v>
      </c>
      <c r="Q506" s="32">
        <v>0.0</v>
      </c>
      <c r="R506" s="22">
        <v>0.0</v>
      </c>
      <c r="S506">
        <f t="shared" si="1"/>
        <v>2012</v>
      </c>
      <c r="T506">
        <f t="shared" si="2"/>
        <v>5</v>
      </c>
      <c r="AF506" s="18"/>
      <c r="AG506" s="19"/>
      <c r="AL506" s="18"/>
      <c r="AM506" s="19"/>
    </row>
    <row r="507">
      <c r="A507" s="4" t="s">
        <v>1497</v>
      </c>
      <c r="B507" s="10">
        <v>41044.0</v>
      </c>
      <c r="C507" s="11" t="s">
        <v>350</v>
      </c>
      <c r="D507" s="11" t="s">
        <v>151</v>
      </c>
      <c r="E507" s="14" t="s">
        <v>52</v>
      </c>
      <c r="F507" s="11" t="s">
        <v>53</v>
      </c>
      <c r="G507" s="14" t="s">
        <v>54</v>
      </c>
      <c r="H507" s="11" t="s">
        <v>251</v>
      </c>
      <c r="I507" s="11" t="s">
        <v>363</v>
      </c>
      <c r="J507" s="11">
        <v>21.0</v>
      </c>
      <c r="K507" s="13">
        <v>41397.0</v>
      </c>
      <c r="L507" s="11">
        <f t="shared" si="50"/>
        <v>12</v>
      </c>
      <c r="M507" s="11">
        <v>572781.0</v>
      </c>
      <c r="N507" s="11" t="s">
        <v>1498</v>
      </c>
      <c r="P507" s="11">
        <v>0.0</v>
      </c>
      <c r="Q507" s="15">
        <v>0.0</v>
      </c>
      <c r="R507" s="22">
        <v>1.0</v>
      </c>
      <c r="S507">
        <f t="shared" si="1"/>
        <v>2012</v>
      </c>
      <c r="T507">
        <f t="shared" si="2"/>
        <v>5</v>
      </c>
      <c r="AF507" s="18"/>
      <c r="AG507" s="19"/>
      <c r="AL507" s="18"/>
      <c r="AM507" s="19"/>
    </row>
    <row r="508">
      <c r="A508" s="4" t="s">
        <v>1500</v>
      </c>
      <c r="B508" s="10">
        <v>41040.0</v>
      </c>
      <c r="C508" s="11" t="s">
        <v>209</v>
      </c>
      <c r="D508" s="11" t="s">
        <v>75</v>
      </c>
      <c r="E508" s="14" t="s">
        <v>52</v>
      </c>
      <c r="F508" s="11" t="s">
        <v>76</v>
      </c>
      <c r="G508" s="22" t="s">
        <v>735</v>
      </c>
      <c r="H508" s="11" t="s">
        <v>1501</v>
      </c>
      <c r="I508" s="14"/>
      <c r="J508" s="11">
        <v>31.0</v>
      </c>
      <c r="K508" s="13">
        <v>41410.0</v>
      </c>
      <c r="L508" s="11">
        <f t="shared" si="50"/>
        <v>12</v>
      </c>
      <c r="M508" s="11">
        <v>493159.0</v>
      </c>
      <c r="N508" s="11">
        <v>13046.0</v>
      </c>
      <c r="P508" s="11">
        <v>21.0</v>
      </c>
      <c r="Q508" s="15">
        <v>101.667</v>
      </c>
      <c r="R508" s="11">
        <v>0.0</v>
      </c>
      <c r="S508">
        <f t="shared" si="1"/>
        <v>2012</v>
      </c>
      <c r="T508">
        <f t="shared" si="2"/>
        <v>5</v>
      </c>
      <c r="AF508" s="18"/>
      <c r="AG508" s="19"/>
      <c r="AL508" s="18"/>
      <c r="AM508" s="19"/>
    </row>
    <row r="509">
      <c r="A509" s="4" t="s">
        <v>1502</v>
      </c>
      <c r="B509" s="10">
        <v>41039.0</v>
      </c>
      <c r="C509" s="11" t="s">
        <v>114</v>
      </c>
      <c r="D509" s="11" t="s">
        <v>110</v>
      </c>
      <c r="E509" s="14" t="s">
        <v>52</v>
      </c>
      <c r="F509" s="11" t="s">
        <v>53</v>
      </c>
      <c r="G509" s="14" t="s">
        <v>54</v>
      </c>
      <c r="H509" s="11" t="s">
        <v>126</v>
      </c>
      <c r="I509" s="11" t="s">
        <v>956</v>
      </c>
      <c r="J509" s="11">
        <v>23.0</v>
      </c>
      <c r="K509" s="13">
        <v>41734.0</v>
      </c>
      <c r="L509" s="11">
        <f t="shared" si="50"/>
        <v>23</v>
      </c>
      <c r="M509" s="11">
        <v>592697.0</v>
      </c>
      <c r="N509" s="11" t="s">
        <v>1503</v>
      </c>
      <c r="P509" s="11">
        <v>0.0</v>
      </c>
      <c r="Q509" s="15">
        <v>0.0</v>
      </c>
      <c r="R509" s="22">
        <v>1.0</v>
      </c>
      <c r="S509">
        <f t="shared" si="1"/>
        <v>2012</v>
      </c>
      <c r="T509">
        <f t="shared" si="2"/>
        <v>5</v>
      </c>
      <c r="AF509" s="18"/>
      <c r="AG509" s="19"/>
      <c r="AL509" s="18"/>
      <c r="AM509" s="19"/>
    </row>
    <row r="510">
      <c r="A510" s="4" t="s">
        <v>194</v>
      </c>
      <c r="B510" s="10">
        <v>41038.0</v>
      </c>
      <c r="C510" s="11" t="s">
        <v>81</v>
      </c>
      <c r="D510" s="11" t="s">
        <v>82</v>
      </c>
      <c r="E510" s="22" t="s">
        <v>160</v>
      </c>
      <c r="F510" s="11" t="s">
        <v>53</v>
      </c>
      <c r="G510" s="11" t="s">
        <v>83</v>
      </c>
      <c r="H510" s="14"/>
      <c r="I510" s="14"/>
      <c r="J510" s="11">
        <v>25.0</v>
      </c>
      <c r="K510" s="13">
        <v>41732.0</v>
      </c>
      <c r="L510" s="11">
        <f t="shared" si="50"/>
        <v>23</v>
      </c>
      <c r="M510" s="11">
        <v>492728.0</v>
      </c>
      <c r="N510" s="11" t="s">
        <v>1273</v>
      </c>
      <c r="P510" s="11">
        <v>0.0</v>
      </c>
      <c r="Q510" s="15">
        <v>0.0</v>
      </c>
      <c r="R510" s="22">
        <v>0.0</v>
      </c>
      <c r="S510">
        <f t="shared" si="1"/>
        <v>2012</v>
      </c>
      <c r="T510">
        <f t="shared" si="2"/>
        <v>5</v>
      </c>
      <c r="AF510" s="18"/>
      <c r="AG510" s="19"/>
      <c r="AL510" s="18"/>
      <c r="AM510" s="19"/>
    </row>
    <row r="511">
      <c r="A511" s="4" t="s">
        <v>1504</v>
      </c>
      <c r="B511" s="10">
        <v>41033.0</v>
      </c>
      <c r="C511" s="11" t="s">
        <v>90</v>
      </c>
      <c r="D511" s="11" t="s">
        <v>51</v>
      </c>
      <c r="E511" s="14" t="s">
        <v>52</v>
      </c>
      <c r="F511" s="11" t="s">
        <v>76</v>
      </c>
      <c r="G511" s="14" t="s">
        <v>54</v>
      </c>
      <c r="H511" s="11" t="s">
        <v>204</v>
      </c>
      <c r="I511" s="11" t="s">
        <v>1209</v>
      </c>
      <c r="J511" s="11">
        <v>35.0</v>
      </c>
      <c r="K511" s="14"/>
      <c r="L511" s="14"/>
      <c r="M511" s="11">
        <v>430941.0</v>
      </c>
      <c r="N511" s="11">
        <v>6291.0</v>
      </c>
      <c r="O511" s="4" t="s">
        <v>704</v>
      </c>
      <c r="P511" s="11">
        <v>0.0</v>
      </c>
      <c r="Q511" s="32">
        <v>0.0</v>
      </c>
      <c r="R511" s="22">
        <v>0.0</v>
      </c>
      <c r="S511">
        <f t="shared" si="1"/>
        <v>2012</v>
      </c>
      <c r="T511">
        <f t="shared" si="2"/>
        <v>5</v>
      </c>
      <c r="AF511" s="18"/>
      <c r="AG511" s="19"/>
      <c r="AL511" s="18"/>
      <c r="AM511" s="19"/>
    </row>
    <row r="512">
      <c r="A512" s="4" t="s">
        <v>1505</v>
      </c>
      <c r="B512" s="10">
        <v>41030.0</v>
      </c>
      <c r="C512" s="11" t="s">
        <v>109</v>
      </c>
      <c r="D512" s="11" t="s">
        <v>51</v>
      </c>
      <c r="E512" s="14" t="s">
        <v>52</v>
      </c>
      <c r="F512" s="11" t="s">
        <v>53</v>
      </c>
      <c r="G512" s="14" t="s">
        <v>54</v>
      </c>
      <c r="H512" s="11" t="s">
        <v>305</v>
      </c>
      <c r="I512" s="11" t="s">
        <v>371</v>
      </c>
      <c r="J512" s="11">
        <v>28.0</v>
      </c>
      <c r="K512" s="13">
        <v>41368.0</v>
      </c>
      <c r="L512" s="11">
        <f t="shared" ref="L512:L514" si="51">ROUND(((K512-B512)/365)*12)</f>
        <v>11</v>
      </c>
      <c r="M512" s="11">
        <v>460059.0</v>
      </c>
      <c r="N512" s="11">
        <v>5203.0</v>
      </c>
      <c r="O512" s="4" t="s">
        <v>59</v>
      </c>
      <c r="P512" s="11">
        <v>88.0</v>
      </c>
      <c r="Q512" s="15">
        <v>460.0</v>
      </c>
      <c r="R512" s="22">
        <v>1.0</v>
      </c>
      <c r="S512">
        <f t="shared" si="1"/>
        <v>2012</v>
      </c>
      <c r="T512">
        <f t="shared" si="2"/>
        <v>5</v>
      </c>
      <c r="U512" s="4"/>
      <c r="V512" s="4"/>
      <c r="W512" s="4"/>
      <c r="X512" s="4"/>
      <c r="Y512" s="4"/>
      <c r="Z512" s="4"/>
      <c r="AA512" s="4"/>
      <c r="AB512" s="4"/>
      <c r="AC512" s="4"/>
      <c r="AD512" s="4">
        <v>3.0</v>
      </c>
      <c r="AE512" s="4">
        <v>3.0</v>
      </c>
      <c r="AF512" s="54">
        <v>19.667</v>
      </c>
      <c r="AG512" s="55">
        <v>0.106</v>
      </c>
      <c r="AH512" s="4">
        <v>61.0</v>
      </c>
      <c r="AI512" s="4">
        <v>61.0</v>
      </c>
      <c r="AJ512" s="4">
        <v>29.0</v>
      </c>
      <c r="AK512" s="4">
        <v>29.0</v>
      </c>
      <c r="AL512" s="54">
        <v>152.667</v>
      </c>
      <c r="AM512" s="55">
        <v>0.071</v>
      </c>
      <c r="AN512" s="4">
        <v>129.0</v>
      </c>
      <c r="AO512" s="4">
        <v>102.0</v>
      </c>
    </row>
    <row r="513">
      <c r="A513" s="4" t="s">
        <v>1507</v>
      </c>
      <c r="B513" s="10">
        <v>41030.0</v>
      </c>
      <c r="C513" s="11" t="s">
        <v>125</v>
      </c>
      <c r="D513" s="11" t="s">
        <v>51</v>
      </c>
      <c r="E513" s="14" t="s">
        <v>52</v>
      </c>
      <c r="F513" s="11" t="s">
        <v>76</v>
      </c>
      <c r="G513" s="14" t="s">
        <v>54</v>
      </c>
      <c r="H513" s="11" t="s">
        <v>412</v>
      </c>
      <c r="I513" s="11" t="s">
        <v>1508</v>
      </c>
      <c r="J513" s="11">
        <v>35.0</v>
      </c>
      <c r="K513" s="13">
        <v>41730.0</v>
      </c>
      <c r="L513" s="11">
        <f t="shared" si="51"/>
        <v>23</v>
      </c>
      <c r="M513" s="11">
        <v>346847.0</v>
      </c>
      <c r="N513" s="11">
        <v>979.0</v>
      </c>
      <c r="O513" s="4" t="s">
        <v>59</v>
      </c>
      <c r="P513" s="11">
        <v>109.0</v>
      </c>
      <c r="Q513" s="15">
        <v>92.333</v>
      </c>
      <c r="R513" s="22">
        <v>1.0</v>
      </c>
      <c r="S513">
        <f t="shared" si="1"/>
        <v>2012</v>
      </c>
      <c r="T513">
        <f t="shared" si="2"/>
        <v>5</v>
      </c>
      <c r="AF513" s="18"/>
      <c r="AG513" s="19"/>
      <c r="AL513" s="18"/>
      <c r="AM513" s="19"/>
    </row>
    <row r="514">
      <c r="A514" s="4" t="s">
        <v>1509</v>
      </c>
      <c r="B514" s="10">
        <v>41030.0</v>
      </c>
      <c r="C514" s="11" t="s">
        <v>169</v>
      </c>
      <c r="D514" s="11" t="s">
        <v>75</v>
      </c>
      <c r="E514" s="14" t="s">
        <v>52</v>
      </c>
      <c r="F514" s="11" t="s">
        <v>53</v>
      </c>
      <c r="G514" s="22" t="s">
        <v>436</v>
      </c>
      <c r="H514" s="14"/>
      <c r="I514" s="14"/>
      <c r="J514" s="11">
        <v>25.0</v>
      </c>
      <c r="K514" s="13">
        <v>41451.0</v>
      </c>
      <c r="L514" s="11">
        <f t="shared" si="51"/>
        <v>14</v>
      </c>
      <c r="M514" s="11">
        <v>547348.0</v>
      </c>
      <c r="N514" s="11">
        <v>5177.0</v>
      </c>
      <c r="P514" s="11">
        <v>47.0</v>
      </c>
      <c r="Q514" s="15">
        <v>34.0</v>
      </c>
      <c r="R514" s="11">
        <v>0.0</v>
      </c>
      <c r="S514">
        <f t="shared" si="1"/>
        <v>2012</v>
      </c>
      <c r="T514">
        <f t="shared" si="2"/>
        <v>5</v>
      </c>
      <c r="AF514" s="18"/>
      <c r="AG514" s="19"/>
      <c r="AL514" s="18"/>
      <c r="AM514" s="19"/>
    </row>
    <row r="515">
      <c r="A515" s="4" t="s">
        <v>1510</v>
      </c>
      <c r="B515" s="10">
        <v>41030.0</v>
      </c>
      <c r="C515" s="11" t="s">
        <v>114</v>
      </c>
      <c r="D515" s="11" t="s">
        <v>82</v>
      </c>
      <c r="E515" s="14" t="s">
        <v>52</v>
      </c>
      <c r="F515" s="11" t="s">
        <v>53</v>
      </c>
      <c r="G515" s="14" t="s">
        <v>54</v>
      </c>
      <c r="H515" s="11" t="s">
        <v>344</v>
      </c>
      <c r="I515" s="11"/>
      <c r="J515" s="11">
        <v>23.0</v>
      </c>
      <c r="K515" s="13"/>
      <c r="L515" s="11"/>
      <c r="M515" s="11">
        <v>519255.0</v>
      </c>
      <c r="N515" s="11" t="s">
        <v>1511</v>
      </c>
      <c r="P515" s="11">
        <v>0.0</v>
      </c>
      <c r="Q515" s="15">
        <v>0.0</v>
      </c>
      <c r="R515" s="11">
        <v>0.0</v>
      </c>
      <c r="S515">
        <f t="shared" si="1"/>
        <v>2012</v>
      </c>
      <c r="T515">
        <f t="shared" si="2"/>
        <v>5</v>
      </c>
      <c r="AF515" s="18"/>
      <c r="AG515" s="19"/>
      <c r="AL515" s="18"/>
      <c r="AM515" s="19"/>
    </row>
    <row r="516">
      <c r="A516" s="4" t="s">
        <v>589</v>
      </c>
      <c r="B516" s="10">
        <v>41030.0</v>
      </c>
      <c r="C516" s="11" t="s">
        <v>103</v>
      </c>
      <c r="D516" s="11" t="s">
        <v>82</v>
      </c>
      <c r="E516" s="11" t="s">
        <v>52</v>
      </c>
      <c r="F516" s="11" t="s">
        <v>53</v>
      </c>
      <c r="G516" s="11" t="s">
        <v>54</v>
      </c>
      <c r="H516" s="11" t="s">
        <v>92</v>
      </c>
      <c r="I516" s="11" t="s">
        <v>1512</v>
      </c>
      <c r="J516" s="11">
        <v>25.0</v>
      </c>
      <c r="K516" s="13"/>
      <c r="L516" s="14"/>
      <c r="M516" s="11">
        <v>446421.0</v>
      </c>
      <c r="N516" s="11" t="s">
        <v>1513</v>
      </c>
      <c r="P516" s="11">
        <v>0.0</v>
      </c>
      <c r="Q516" s="15">
        <v>0.0</v>
      </c>
      <c r="R516" s="22">
        <v>0.0</v>
      </c>
      <c r="S516">
        <f t="shared" si="1"/>
        <v>2012</v>
      </c>
      <c r="T516">
        <f t="shared" si="2"/>
        <v>5</v>
      </c>
      <c r="AF516" s="18"/>
      <c r="AG516" s="19"/>
      <c r="AL516" s="18"/>
      <c r="AM516" s="19"/>
    </row>
    <row r="517">
      <c r="A517" s="4" t="s">
        <v>1514</v>
      </c>
      <c r="B517" s="10">
        <v>41030.0</v>
      </c>
      <c r="C517" s="11" t="s">
        <v>711</v>
      </c>
      <c r="D517" s="11" t="s">
        <v>82</v>
      </c>
      <c r="E517" s="22" t="s">
        <v>264</v>
      </c>
      <c r="F517" s="11" t="s">
        <v>53</v>
      </c>
      <c r="G517" s="11" t="s">
        <v>172</v>
      </c>
      <c r="H517" s="14"/>
      <c r="I517" s="14"/>
      <c r="J517" s="11">
        <v>22.0</v>
      </c>
      <c r="K517" s="13">
        <v>41436.0</v>
      </c>
      <c r="L517" s="11">
        <f t="shared" ref="L517:L523" si="52">ROUND(((K517-B517)/365)*12)</f>
        <v>13</v>
      </c>
      <c r="M517" s="11">
        <v>543362.0</v>
      </c>
      <c r="N517" s="11" t="s">
        <v>1515</v>
      </c>
      <c r="P517" s="11">
        <v>0.0</v>
      </c>
      <c r="Q517" s="15">
        <v>0.0</v>
      </c>
      <c r="R517" s="22">
        <v>1.0</v>
      </c>
      <c r="S517">
        <f t="shared" si="1"/>
        <v>2012</v>
      </c>
      <c r="T517">
        <f t="shared" si="2"/>
        <v>5</v>
      </c>
      <c r="AF517" s="18"/>
      <c r="AG517" s="19"/>
      <c r="AL517" s="18"/>
      <c r="AM517" s="19"/>
    </row>
    <row r="518">
      <c r="A518" s="4" t="s">
        <v>1516</v>
      </c>
      <c r="B518" s="10">
        <v>41026.0</v>
      </c>
      <c r="C518" s="11" t="s">
        <v>125</v>
      </c>
      <c r="D518" s="11" t="s">
        <v>110</v>
      </c>
      <c r="E518" s="11" t="s">
        <v>52</v>
      </c>
      <c r="F518" s="11" t="s">
        <v>53</v>
      </c>
      <c r="G518" s="11" t="s">
        <v>265</v>
      </c>
      <c r="H518" s="11"/>
      <c r="I518" s="11"/>
      <c r="J518" s="11">
        <v>24.0</v>
      </c>
      <c r="K518" s="13">
        <v>41428.0</v>
      </c>
      <c r="L518" s="11">
        <f t="shared" si="52"/>
        <v>13</v>
      </c>
      <c r="M518" s="11">
        <v>514981.0</v>
      </c>
      <c r="N518" s="11">
        <v>6238.0</v>
      </c>
      <c r="P518" s="11">
        <v>4.0</v>
      </c>
      <c r="Q518" s="15">
        <v>10.333</v>
      </c>
      <c r="R518" s="22">
        <v>1.0</v>
      </c>
      <c r="S518">
        <f t="shared" si="1"/>
        <v>2012</v>
      </c>
      <c r="T518">
        <f t="shared" si="2"/>
        <v>4</v>
      </c>
      <c r="U518" s="4"/>
      <c r="V518" s="4"/>
      <c r="W518" s="4"/>
      <c r="X518" s="4"/>
      <c r="Y518" s="4"/>
      <c r="Z518" s="4"/>
      <c r="AA518" s="4"/>
      <c r="AB518" s="4"/>
      <c r="AC518" s="4"/>
      <c r="AD518" s="4"/>
      <c r="AE518" s="4"/>
      <c r="AF518" s="54"/>
      <c r="AG518" s="55"/>
      <c r="AH518" s="4"/>
      <c r="AI518" s="4"/>
      <c r="AJ518" s="4"/>
      <c r="AK518" s="4"/>
      <c r="AL518" s="54"/>
      <c r="AM518" s="55"/>
      <c r="AN518" s="4"/>
      <c r="AO518" s="4"/>
    </row>
    <row r="519">
      <c r="A519" s="4" t="s">
        <v>1518</v>
      </c>
      <c r="B519" s="10">
        <v>41023.0</v>
      </c>
      <c r="C519" s="11" t="s">
        <v>159</v>
      </c>
      <c r="D519" s="11" t="s">
        <v>51</v>
      </c>
      <c r="E519" s="14" t="s">
        <v>52</v>
      </c>
      <c r="F519" s="11" t="s">
        <v>53</v>
      </c>
      <c r="G519" s="14" t="s">
        <v>54</v>
      </c>
      <c r="H519" s="11" t="s">
        <v>316</v>
      </c>
      <c r="I519" s="11"/>
      <c r="J519" s="11">
        <v>29.0</v>
      </c>
      <c r="K519" s="13">
        <v>41427.0</v>
      </c>
      <c r="L519" s="11">
        <f t="shared" si="52"/>
        <v>13</v>
      </c>
      <c r="M519" s="11">
        <v>425827.0</v>
      </c>
      <c r="N519" s="11">
        <v>1667.0</v>
      </c>
      <c r="P519" s="11">
        <v>18.0</v>
      </c>
      <c r="Q519" s="32">
        <v>55.0</v>
      </c>
      <c r="R519" s="22">
        <v>0.0</v>
      </c>
      <c r="S519">
        <f t="shared" si="1"/>
        <v>2012</v>
      </c>
      <c r="T519">
        <f t="shared" si="2"/>
        <v>4</v>
      </c>
      <c r="U519" s="4"/>
      <c r="V519" s="4"/>
      <c r="W519" s="4"/>
      <c r="X519" s="4"/>
      <c r="Y519" s="4"/>
      <c r="Z519" s="4"/>
      <c r="AA519" s="4"/>
      <c r="AB519" s="4"/>
      <c r="AC519" s="4"/>
      <c r="AD519" s="4">
        <v>30.0</v>
      </c>
      <c r="AE519" s="4">
        <v>29.0</v>
      </c>
      <c r="AF519" s="54">
        <v>171.0</v>
      </c>
      <c r="AG519" s="55">
        <v>0.069</v>
      </c>
      <c r="AH519" s="4">
        <v>131.0</v>
      </c>
      <c r="AI519" s="4">
        <v>118.0</v>
      </c>
      <c r="AJ519" s="4">
        <v>18.0</v>
      </c>
      <c r="AK519" s="4">
        <v>7.0</v>
      </c>
      <c r="AL519" s="54">
        <v>55.0</v>
      </c>
      <c r="AM519" s="55">
        <v>0.02</v>
      </c>
      <c r="AN519" s="4">
        <v>137.0</v>
      </c>
      <c r="AO519" s="4">
        <v>131.0</v>
      </c>
    </row>
    <row r="520">
      <c r="A520" s="4" t="s">
        <v>257</v>
      </c>
      <c r="B520" s="10">
        <v>41018.0</v>
      </c>
      <c r="C520" s="11" t="s">
        <v>270</v>
      </c>
      <c r="D520" s="11" t="s">
        <v>51</v>
      </c>
      <c r="E520" s="14" t="s">
        <v>52</v>
      </c>
      <c r="F520" s="11" t="s">
        <v>53</v>
      </c>
      <c r="G520" s="14" t="s">
        <v>54</v>
      </c>
      <c r="H520" s="11" t="s">
        <v>163</v>
      </c>
      <c r="I520" s="11" t="s">
        <v>956</v>
      </c>
      <c r="J520" s="11">
        <v>30.0</v>
      </c>
      <c r="K520" s="13">
        <v>41508.0</v>
      </c>
      <c r="L520" s="11">
        <f t="shared" si="52"/>
        <v>16</v>
      </c>
      <c r="M520" s="11">
        <v>451216.0</v>
      </c>
      <c r="N520" s="11">
        <v>6485.0</v>
      </c>
      <c r="O520" s="4" t="s">
        <v>59</v>
      </c>
      <c r="P520" s="11">
        <v>79.0</v>
      </c>
      <c r="Q520" s="32">
        <v>62.0</v>
      </c>
      <c r="R520" s="11">
        <v>0.0</v>
      </c>
      <c r="S520">
        <f t="shared" si="1"/>
        <v>2012</v>
      </c>
      <c r="T520">
        <f t="shared" si="2"/>
        <v>4</v>
      </c>
      <c r="AF520" s="18"/>
      <c r="AG520" s="19"/>
      <c r="AL520" s="18"/>
      <c r="AM520" s="19"/>
    </row>
    <row r="521">
      <c r="A521" s="4" t="s">
        <v>1521</v>
      </c>
      <c r="B521" s="10">
        <v>41016.0</v>
      </c>
      <c r="C521" s="11" t="s">
        <v>123</v>
      </c>
      <c r="D521" s="11" t="s">
        <v>51</v>
      </c>
      <c r="E521" s="14" t="s">
        <v>52</v>
      </c>
      <c r="F521" s="11" t="s">
        <v>53</v>
      </c>
      <c r="G521" s="14" t="s">
        <v>54</v>
      </c>
      <c r="H521" s="11" t="s">
        <v>126</v>
      </c>
      <c r="I521" s="11" t="s">
        <v>242</v>
      </c>
      <c r="J521" s="11">
        <v>30.0</v>
      </c>
      <c r="K521" s="13">
        <v>41525.0</v>
      </c>
      <c r="L521" s="11">
        <f t="shared" si="52"/>
        <v>17</v>
      </c>
      <c r="M521" s="11">
        <v>435044.0</v>
      </c>
      <c r="N521" s="11">
        <v>6176.0</v>
      </c>
      <c r="O521" s="4" t="s">
        <v>287</v>
      </c>
      <c r="P521" s="11">
        <v>30.0</v>
      </c>
      <c r="Q521" s="15">
        <v>106.667</v>
      </c>
      <c r="R521" s="11">
        <v>0.0</v>
      </c>
      <c r="S521">
        <f t="shared" si="1"/>
        <v>2012</v>
      </c>
      <c r="T521">
        <f t="shared" si="2"/>
        <v>4</v>
      </c>
      <c r="U521" s="4"/>
      <c r="V521" s="4"/>
      <c r="W521" s="4"/>
      <c r="X521" s="4"/>
      <c r="Y521" s="4"/>
      <c r="Z521" s="4"/>
      <c r="AA521" s="4"/>
      <c r="AB521" s="4"/>
      <c r="AC521" s="4"/>
      <c r="AD521" s="4">
        <v>23.0</v>
      </c>
      <c r="AE521" s="4">
        <v>21.0</v>
      </c>
      <c r="AF521" s="54">
        <v>134.667</v>
      </c>
      <c r="AG521" s="55">
        <v>0.166</v>
      </c>
      <c r="AH521" s="4">
        <v>76.0</v>
      </c>
      <c r="AI521" s="4">
        <v>86.0</v>
      </c>
      <c r="AJ521" s="4">
        <v>3.0</v>
      </c>
      <c r="AK521" s="4">
        <v>3.0</v>
      </c>
      <c r="AL521" s="54">
        <v>15.0</v>
      </c>
      <c r="AM521" s="55">
        <v>0.035</v>
      </c>
      <c r="AN521" s="4">
        <v>95.0</v>
      </c>
      <c r="AO521" s="4">
        <v>146.0</v>
      </c>
    </row>
    <row r="522">
      <c r="A522" s="4" t="s">
        <v>1522</v>
      </c>
      <c r="B522" s="10">
        <v>41011.0</v>
      </c>
      <c r="C522" s="11" t="s">
        <v>108</v>
      </c>
      <c r="D522" s="11" t="s">
        <v>51</v>
      </c>
      <c r="E522" s="14" t="s">
        <v>52</v>
      </c>
      <c r="F522" s="11" t="s">
        <v>53</v>
      </c>
      <c r="G522" s="14" t="s">
        <v>54</v>
      </c>
      <c r="H522" s="11" t="s">
        <v>230</v>
      </c>
      <c r="I522" s="11" t="s">
        <v>1523</v>
      </c>
      <c r="J522" s="11">
        <v>26.0</v>
      </c>
      <c r="K522" s="13">
        <v>41384.0</v>
      </c>
      <c r="L522" s="11">
        <f t="shared" si="52"/>
        <v>12</v>
      </c>
      <c r="M522" s="11">
        <v>543409.0</v>
      </c>
      <c r="N522" s="11">
        <v>8505.0</v>
      </c>
      <c r="O522" s="4" t="s">
        <v>59</v>
      </c>
      <c r="P522" s="11">
        <v>94.0</v>
      </c>
      <c r="Q522" s="15">
        <v>81.333</v>
      </c>
      <c r="R522" s="11">
        <v>0.0</v>
      </c>
      <c r="S522">
        <f t="shared" si="1"/>
        <v>2012</v>
      </c>
      <c r="T522">
        <f t="shared" si="2"/>
        <v>4</v>
      </c>
      <c r="AF522" s="18"/>
      <c r="AG522" s="19"/>
      <c r="AL522" s="18"/>
      <c r="AM522" s="19"/>
    </row>
    <row r="523">
      <c r="A523" s="4" t="s">
        <v>1524</v>
      </c>
      <c r="B523" s="10">
        <v>41010.0</v>
      </c>
      <c r="C523" s="11" t="s">
        <v>119</v>
      </c>
      <c r="D523" s="11" t="s">
        <v>51</v>
      </c>
      <c r="E523" s="14" t="s">
        <v>52</v>
      </c>
      <c r="F523" s="11" t="s">
        <v>53</v>
      </c>
      <c r="G523" s="14" t="s">
        <v>54</v>
      </c>
      <c r="H523" s="11" t="s">
        <v>92</v>
      </c>
      <c r="I523" s="11"/>
      <c r="J523" s="11">
        <v>31.0</v>
      </c>
      <c r="K523" s="13">
        <v>42100.0</v>
      </c>
      <c r="L523" s="11">
        <f t="shared" si="52"/>
        <v>36</v>
      </c>
      <c r="M523" s="11">
        <v>425492.0</v>
      </c>
      <c r="N523" s="11">
        <v>1852.0</v>
      </c>
      <c r="O523" s="4" t="s">
        <v>704</v>
      </c>
      <c r="P523" s="11">
        <v>131.0</v>
      </c>
      <c r="Q523" s="15">
        <v>128.0</v>
      </c>
      <c r="R523" s="22">
        <v>1.0</v>
      </c>
      <c r="S523">
        <f t="shared" si="1"/>
        <v>2012</v>
      </c>
      <c r="T523">
        <f t="shared" si="2"/>
        <v>4</v>
      </c>
      <c r="AF523" s="18"/>
      <c r="AG523" s="19"/>
      <c r="AL523" s="18"/>
      <c r="AM523" s="19"/>
    </row>
    <row r="524">
      <c r="A524" s="4" t="s">
        <v>559</v>
      </c>
      <c r="B524" s="10">
        <v>41009.0</v>
      </c>
      <c r="C524" s="11" t="s">
        <v>97</v>
      </c>
      <c r="D524" s="11" t="s">
        <v>51</v>
      </c>
      <c r="E524" s="14" t="s">
        <v>52</v>
      </c>
      <c r="F524" s="11" t="s">
        <v>53</v>
      </c>
      <c r="G524" s="14" t="s">
        <v>54</v>
      </c>
      <c r="H524" s="11" t="s">
        <v>250</v>
      </c>
      <c r="I524" s="11" t="s">
        <v>1446</v>
      </c>
      <c r="J524" s="11">
        <v>28.0</v>
      </c>
      <c r="K524" s="14"/>
      <c r="L524" s="14"/>
      <c r="M524" s="11">
        <v>457733.0</v>
      </c>
      <c r="N524" s="11">
        <v>9862.0</v>
      </c>
      <c r="O524" s="4" t="s">
        <v>59</v>
      </c>
      <c r="P524" s="11">
        <v>0.0</v>
      </c>
      <c r="Q524" s="32">
        <v>0.0</v>
      </c>
      <c r="R524" s="22">
        <v>0.0</v>
      </c>
      <c r="S524">
        <f t="shared" si="1"/>
        <v>2012</v>
      </c>
      <c r="T524">
        <f t="shared" si="2"/>
        <v>4</v>
      </c>
      <c r="AF524" s="18"/>
      <c r="AG524" s="19"/>
      <c r="AL524" s="18"/>
      <c r="AM524" s="19"/>
    </row>
    <row r="525">
      <c r="A525" s="4" t="s">
        <v>1525</v>
      </c>
      <c r="B525" s="10">
        <v>41002.0</v>
      </c>
      <c r="C525" s="11" t="s">
        <v>331</v>
      </c>
      <c r="D525" s="11" t="s">
        <v>51</v>
      </c>
      <c r="E525" s="14" t="s">
        <v>52</v>
      </c>
      <c r="F525" s="11" t="s">
        <v>53</v>
      </c>
      <c r="G525" s="22" t="s">
        <v>83</v>
      </c>
      <c r="H525" s="14"/>
      <c r="I525" s="14"/>
      <c r="J525" s="11">
        <v>25.0</v>
      </c>
      <c r="K525" s="14"/>
      <c r="L525" s="14"/>
      <c r="M525" s="11">
        <v>469167.0</v>
      </c>
      <c r="N525" s="11">
        <v>2377.0</v>
      </c>
      <c r="O525" s="4" t="s">
        <v>59</v>
      </c>
      <c r="P525" s="11">
        <v>0.0</v>
      </c>
      <c r="Q525" s="32">
        <v>0.0</v>
      </c>
      <c r="R525" s="22">
        <v>0.0</v>
      </c>
      <c r="S525">
        <f t="shared" si="1"/>
        <v>2012</v>
      </c>
      <c r="T525">
        <f t="shared" si="2"/>
        <v>4</v>
      </c>
      <c r="AF525" s="18"/>
      <c r="AG525" s="19"/>
      <c r="AL525" s="18"/>
      <c r="AM525" s="19"/>
    </row>
    <row r="526">
      <c r="A526" s="4" t="s">
        <v>508</v>
      </c>
      <c r="B526" s="10">
        <v>41001.0</v>
      </c>
      <c r="C526" s="11" t="s">
        <v>229</v>
      </c>
      <c r="D526" s="11" t="s">
        <v>51</v>
      </c>
      <c r="E526" s="14" t="s">
        <v>52</v>
      </c>
      <c r="F526" s="11" t="s">
        <v>53</v>
      </c>
      <c r="G526" s="22" t="s">
        <v>582</v>
      </c>
      <c r="H526" s="14"/>
      <c r="I526" s="14"/>
      <c r="J526" s="11">
        <v>28.0</v>
      </c>
      <c r="K526" s="13">
        <v>41462.0</v>
      </c>
      <c r="L526" s="11">
        <f t="shared" ref="L526:L528" si="53">ROUND(((K526-B526)/365)*12)</f>
        <v>15</v>
      </c>
      <c r="M526" s="11">
        <v>465657.0</v>
      </c>
      <c r="N526" s="11">
        <v>6941.0</v>
      </c>
      <c r="O526" s="4" t="s">
        <v>704</v>
      </c>
      <c r="P526" s="11">
        <v>216.0</v>
      </c>
      <c r="Q526" s="15">
        <v>202.333</v>
      </c>
      <c r="R526" s="22">
        <v>1.0</v>
      </c>
      <c r="S526">
        <f t="shared" si="1"/>
        <v>2012</v>
      </c>
      <c r="T526">
        <f t="shared" si="2"/>
        <v>4</v>
      </c>
      <c r="AF526" s="18"/>
      <c r="AG526" s="19"/>
      <c r="AL526" s="18"/>
      <c r="AM526" s="19"/>
    </row>
    <row r="527">
      <c r="A527" s="4" t="s">
        <v>1526</v>
      </c>
      <c r="B527" s="10">
        <v>41001.0</v>
      </c>
      <c r="C527" s="11" t="s">
        <v>156</v>
      </c>
      <c r="D527" s="11" t="s">
        <v>82</v>
      </c>
      <c r="E527" s="14" t="s">
        <v>52</v>
      </c>
      <c r="F527" s="11" t="s">
        <v>53</v>
      </c>
      <c r="G527" s="14" t="s">
        <v>54</v>
      </c>
      <c r="H527" s="11" t="s">
        <v>157</v>
      </c>
      <c r="I527" s="11" t="s">
        <v>280</v>
      </c>
      <c r="J527" s="11">
        <v>22.0</v>
      </c>
      <c r="K527" s="13">
        <v>42131.0</v>
      </c>
      <c r="L527" s="11">
        <f t="shared" si="53"/>
        <v>37</v>
      </c>
      <c r="M527" s="11">
        <v>543838.0</v>
      </c>
      <c r="N527" s="11" t="s">
        <v>1527</v>
      </c>
      <c r="P527" s="11">
        <v>0.0</v>
      </c>
      <c r="Q527" s="15">
        <v>0.0</v>
      </c>
      <c r="R527" s="11">
        <v>0.0</v>
      </c>
      <c r="S527">
        <f t="shared" si="1"/>
        <v>2012</v>
      </c>
      <c r="T527">
        <f t="shared" si="2"/>
        <v>4</v>
      </c>
      <c r="AF527" s="18"/>
      <c r="AG527" s="19"/>
      <c r="AL527" s="18"/>
      <c r="AM527" s="19"/>
    </row>
    <row r="528">
      <c r="A528" s="4" t="s">
        <v>1529</v>
      </c>
      <c r="B528" s="10">
        <v>41000.0</v>
      </c>
      <c r="C528" s="11" t="s">
        <v>142</v>
      </c>
      <c r="D528" s="11" t="s">
        <v>82</v>
      </c>
      <c r="E528" s="11" t="s">
        <v>52</v>
      </c>
      <c r="F528" s="11" t="s">
        <v>53</v>
      </c>
      <c r="G528" s="11" t="s">
        <v>54</v>
      </c>
      <c r="H528" s="11" t="s">
        <v>157</v>
      </c>
      <c r="I528" s="11" t="s">
        <v>202</v>
      </c>
      <c r="J528" s="11">
        <v>23.0</v>
      </c>
      <c r="K528" s="13">
        <v>42134.0</v>
      </c>
      <c r="L528" s="11">
        <f t="shared" si="53"/>
        <v>37</v>
      </c>
      <c r="M528" s="11">
        <v>519159.0</v>
      </c>
      <c r="N528" s="11" t="s">
        <v>1531</v>
      </c>
      <c r="P528" s="11">
        <v>0.0</v>
      </c>
      <c r="Q528" s="15">
        <v>0.0</v>
      </c>
      <c r="R528" s="22">
        <v>1.0</v>
      </c>
      <c r="S528">
        <f t="shared" si="1"/>
        <v>2012</v>
      </c>
      <c r="T528">
        <f t="shared" si="2"/>
        <v>4</v>
      </c>
      <c r="AF528" s="18"/>
      <c r="AG528" s="19"/>
      <c r="AL528" s="18"/>
      <c r="AM528" s="19"/>
    </row>
    <row r="529">
      <c r="A529" s="4" t="s">
        <v>1532</v>
      </c>
      <c r="B529" s="10">
        <v>41000.0</v>
      </c>
      <c r="C529" s="11" t="s">
        <v>119</v>
      </c>
      <c r="D529" s="11" t="s">
        <v>170</v>
      </c>
      <c r="E529" s="14" t="s">
        <v>52</v>
      </c>
      <c r="F529" s="11" t="s">
        <v>76</v>
      </c>
      <c r="G529" s="14" t="s">
        <v>54</v>
      </c>
      <c r="H529" s="11" t="s">
        <v>99</v>
      </c>
      <c r="I529" s="11"/>
      <c r="J529" s="11">
        <v>18.0</v>
      </c>
      <c r="K529" s="13">
        <v>42180.0</v>
      </c>
      <c r="L529" s="14"/>
      <c r="M529" s="11">
        <v>621354.0</v>
      </c>
      <c r="N529" s="11" t="s">
        <v>1533</v>
      </c>
      <c r="P529" s="11">
        <v>0.0</v>
      </c>
      <c r="Q529" s="15">
        <v>0.0</v>
      </c>
      <c r="R529" s="11">
        <v>0.0</v>
      </c>
      <c r="S529">
        <f t="shared" si="1"/>
        <v>2012</v>
      </c>
      <c r="T529">
        <f t="shared" si="2"/>
        <v>4</v>
      </c>
      <c r="AF529" s="18"/>
      <c r="AG529" s="19"/>
      <c r="AL529" s="18"/>
      <c r="AM529" s="19"/>
    </row>
    <row r="530">
      <c r="A530" s="4" t="s">
        <v>1534</v>
      </c>
      <c r="B530" s="10">
        <v>41000.0</v>
      </c>
      <c r="C530" s="11" t="s">
        <v>239</v>
      </c>
      <c r="D530" s="11" t="s">
        <v>151</v>
      </c>
      <c r="E530" s="11" t="s">
        <v>52</v>
      </c>
      <c r="F530" s="11" t="s">
        <v>53</v>
      </c>
      <c r="G530" s="11" t="s">
        <v>54</v>
      </c>
      <c r="H530" s="11" t="s">
        <v>260</v>
      </c>
      <c r="I530" s="11" t="s">
        <v>477</v>
      </c>
      <c r="J530" s="11">
        <v>22.0</v>
      </c>
      <c r="K530" s="14"/>
      <c r="L530" s="14"/>
      <c r="M530" s="11">
        <v>542887.0</v>
      </c>
      <c r="N530" s="11"/>
      <c r="P530" s="11">
        <v>0.0</v>
      </c>
      <c r="Q530" s="15">
        <v>0.0</v>
      </c>
      <c r="R530" s="22">
        <v>0.0</v>
      </c>
      <c r="S530">
        <f t="shared" si="1"/>
        <v>2012</v>
      </c>
      <c r="T530">
        <f t="shared" si="2"/>
        <v>4</v>
      </c>
      <c r="AF530" s="18"/>
      <c r="AG530" s="19"/>
      <c r="AL530" s="18"/>
      <c r="AM530" s="19"/>
    </row>
    <row r="531">
      <c r="A531" s="4" t="s">
        <v>1535</v>
      </c>
      <c r="B531" s="10">
        <v>41000.0</v>
      </c>
      <c r="C531" s="11" t="s">
        <v>109</v>
      </c>
      <c r="D531" s="11" t="s">
        <v>75</v>
      </c>
      <c r="E531" s="14" t="s">
        <v>52</v>
      </c>
      <c r="F531" s="11" t="s">
        <v>76</v>
      </c>
      <c r="G531" s="14" t="s">
        <v>54</v>
      </c>
      <c r="H531" s="11" t="s">
        <v>157</v>
      </c>
      <c r="I531" s="11" t="s">
        <v>539</v>
      </c>
      <c r="J531" s="11">
        <v>27.0</v>
      </c>
      <c r="K531" s="14"/>
      <c r="L531" s="14"/>
      <c r="M531" s="11">
        <v>502609.0</v>
      </c>
      <c r="N531" s="11">
        <v>4552.0</v>
      </c>
      <c r="P531" s="11">
        <v>0.0</v>
      </c>
      <c r="Q531" s="15">
        <v>0.0</v>
      </c>
      <c r="R531" s="22">
        <v>0.0</v>
      </c>
      <c r="S531">
        <f t="shared" si="1"/>
        <v>2012</v>
      </c>
      <c r="T531">
        <f t="shared" si="2"/>
        <v>4</v>
      </c>
      <c r="AF531" s="18"/>
      <c r="AG531" s="19"/>
      <c r="AL531" s="18"/>
      <c r="AM531" s="19"/>
    </row>
    <row r="532">
      <c r="A532" s="4" t="s">
        <v>1536</v>
      </c>
      <c r="B532" s="10">
        <v>41000.0</v>
      </c>
      <c r="C532" s="11" t="s">
        <v>125</v>
      </c>
      <c r="D532" s="11" t="s">
        <v>151</v>
      </c>
      <c r="E532" s="14" t="s">
        <v>52</v>
      </c>
      <c r="F532" s="11" t="s">
        <v>76</v>
      </c>
      <c r="G532" s="14" t="s">
        <v>54</v>
      </c>
      <c r="H532" s="11" t="s">
        <v>99</v>
      </c>
      <c r="I532" s="11" t="s">
        <v>1537</v>
      </c>
      <c r="J532" s="11">
        <v>20.0</v>
      </c>
      <c r="K532" s="13">
        <v>41467.0</v>
      </c>
      <c r="L532" s="11">
        <f>ROUND(((K532-B532)/365)*12)</f>
        <v>15</v>
      </c>
      <c r="M532" s="11">
        <v>592462.0</v>
      </c>
      <c r="N532" s="11" t="s">
        <v>1538</v>
      </c>
      <c r="O532" s="4" t="s">
        <v>59</v>
      </c>
      <c r="P532" s="11">
        <v>0.0</v>
      </c>
      <c r="Q532" s="15">
        <v>0.0</v>
      </c>
      <c r="R532" s="11">
        <v>0.0</v>
      </c>
      <c r="S532">
        <f t="shared" si="1"/>
        <v>2012</v>
      </c>
      <c r="T532">
        <f t="shared" si="2"/>
        <v>4</v>
      </c>
      <c r="AF532" s="18"/>
      <c r="AG532" s="19"/>
      <c r="AL532" s="18"/>
      <c r="AM532" s="19"/>
    </row>
    <row r="533">
      <c r="A533" s="4" t="s">
        <v>1539</v>
      </c>
      <c r="B533" s="10">
        <v>41000.0</v>
      </c>
      <c r="C533" s="11" t="s">
        <v>49</v>
      </c>
      <c r="D533" s="11" t="s">
        <v>151</v>
      </c>
      <c r="E533" s="14" t="s">
        <v>52</v>
      </c>
      <c r="F533" s="11" t="s">
        <v>53</v>
      </c>
      <c r="G533" s="14" t="s">
        <v>54</v>
      </c>
      <c r="H533" s="11" t="s">
        <v>211</v>
      </c>
      <c r="I533" s="11" t="s">
        <v>1540</v>
      </c>
      <c r="J533" s="11">
        <v>20.0</v>
      </c>
      <c r="K533" s="13">
        <v>41816.0</v>
      </c>
      <c r="L533" s="14"/>
      <c r="M533" s="11">
        <v>643240.0</v>
      </c>
      <c r="N533" s="11" t="s">
        <v>1541</v>
      </c>
      <c r="P533" s="11">
        <v>0.0</v>
      </c>
      <c r="Q533" s="15">
        <v>0.0</v>
      </c>
      <c r="R533" s="11">
        <v>0.0</v>
      </c>
      <c r="S533">
        <f t="shared" si="1"/>
        <v>2012</v>
      </c>
      <c r="T533">
        <f t="shared" si="2"/>
        <v>4</v>
      </c>
      <c r="AF533" s="18"/>
      <c r="AG533" s="19"/>
      <c r="AL533" s="18"/>
      <c r="AM533" s="19"/>
    </row>
    <row r="534">
      <c r="A534" s="4" t="s">
        <v>1542</v>
      </c>
      <c r="B534" s="10">
        <v>41000.0</v>
      </c>
      <c r="C534" s="11" t="s">
        <v>179</v>
      </c>
      <c r="D534" s="11" t="s">
        <v>151</v>
      </c>
      <c r="E534" s="11" t="s">
        <v>52</v>
      </c>
      <c r="F534" s="11" t="s">
        <v>53</v>
      </c>
      <c r="G534" s="11" t="s">
        <v>54</v>
      </c>
      <c r="H534" s="11" t="s">
        <v>316</v>
      </c>
      <c r="I534" s="11" t="s">
        <v>549</v>
      </c>
      <c r="J534" s="11">
        <v>20.0</v>
      </c>
      <c r="K534" s="13">
        <v>41460.0</v>
      </c>
      <c r="L534" s="11"/>
      <c r="M534" s="11">
        <v>596140.0</v>
      </c>
      <c r="N534" s="11" t="s">
        <v>1543</v>
      </c>
      <c r="P534" s="11">
        <v>0.0</v>
      </c>
      <c r="Q534" s="15">
        <v>0.0</v>
      </c>
      <c r="R534" s="22">
        <v>1.0</v>
      </c>
      <c r="S534">
        <f t="shared" si="1"/>
        <v>2012</v>
      </c>
      <c r="T534">
        <f t="shared" si="2"/>
        <v>4</v>
      </c>
      <c r="AF534" s="18"/>
      <c r="AG534" s="19"/>
      <c r="AL534" s="18"/>
      <c r="AM534" s="19"/>
    </row>
    <row r="535">
      <c r="A535" s="4" t="s">
        <v>1544</v>
      </c>
      <c r="B535" s="10">
        <v>41000.0</v>
      </c>
      <c r="C535" s="11" t="s">
        <v>179</v>
      </c>
      <c r="D535" s="11" t="s">
        <v>82</v>
      </c>
      <c r="E535" s="14" t="s">
        <v>52</v>
      </c>
      <c r="F535" s="11" t="s">
        <v>53</v>
      </c>
      <c r="G535" s="14" t="s">
        <v>54</v>
      </c>
      <c r="H535" s="11" t="s">
        <v>92</v>
      </c>
      <c r="I535" s="11" t="s">
        <v>1545</v>
      </c>
      <c r="J535" s="11">
        <v>25.0</v>
      </c>
      <c r="K535" s="13">
        <v>41411.0</v>
      </c>
      <c r="L535" s="11">
        <f>ROUND(((K535-B535)/365)*12)</f>
        <v>14</v>
      </c>
      <c r="M535" s="11">
        <v>277405.0</v>
      </c>
      <c r="N535" s="11">
        <v>8580.0</v>
      </c>
      <c r="P535" s="11">
        <v>82.0</v>
      </c>
      <c r="Q535" s="15">
        <v>88.333</v>
      </c>
      <c r="R535" s="22">
        <v>1.0</v>
      </c>
      <c r="S535">
        <f t="shared" si="1"/>
        <v>2012</v>
      </c>
      <c r="T535">
        <f t="shared" si="2"/>
        <v>4</v>
      </c>
      <c r="AF535" s="18"/>
      <c r="AG535" s="19"/>
      <c r="AL535" s="18"/>
      <c r="AM535" s="19"/>
    </row>
    <row r="536">
      <c r="A536" s="4" t="s">
        <v>1546</v>
      </c>
      <c r="B536" s="10">
        <v>40997.0</v>
      </c>
      <c r="C536" s="11" t="s">
        <v>159</v>
      </c>
      <c r="D536" s="11" t="s">
        <v>51</v>
      </c>
      <c r="E536" s="14" t="s">
        <v>52</v>
      </c>
      <c r="F536" s="11" t="s">
        <v>53</v>
      </c>
      <c r="G536" s="14" t="s">
        <v>54</v>
      </c>
      <c r="H536" s="11" t="s">
        <v>92</v>
      </c>
      <c r="I536" s="11"/>
      <c r="J536" s="11">
        <v>27.0</v>
      </c>
      <c r="K536" s="14"/>
      <c r="L536" s="14"/>
      <c r="M536" s="11">
        <v>451491.0</v>
      </c>
      <c r="N536" s="11">
        <v>4699.0</v>
      </c>
      <c r="O536" s="4" t="s">
        <v>59</v>
      </c>
      <c r="P536" s="11">
        <v>0.0</v>
      </c>
      <c r="Q536" s="32">
        <v>0.0</v>
      </c>
      <c r="R536" s="22">
        <v>0.0</v>
      </c>
      <c r="S536">
        <f t="shared" si="1"/>
        <v>2012</v>
      </c>
      <c r="T536">
        <f t="shared" si="2"/>
        <v>3</v>
      </c>
      <c r="AF536" s="18"/>
      <c r="AG536" s="19"/>
      <c r="AL536" s="18"/>
      <c r="AM536" s="19"/>
    </row>
    <row r="537">
      <c r="A537" s="4" t="s">
        <v>1547</v>
      </c>
      <c r="B537" s="10">
        <v>40995.0</v>
      </c>
      <c r="C537" s="11" t="s">
        <v>239</v>
      </c>
      <c r="D537" s="11" t="s">
        <v>51</v>
      </c>
      <c r="E537" s="14" t="s">
        <v>52</v>
      </c>
      <c r="F537" s="11" t="s">
        <v>76</v>
      </c>
      <c r="G537" s="22" t="s">
        <v>265</v>
      </c>
      <c r="H537" s="14"/>
      <c r="I537" s="14"/>
      <c r="J537" s="11">
        <v>27.0</v>
      </c>
      <c r="K537" s="14"/>
      <c r="L537" s="14"/>
      <c r="M537" s="11">
        <v>465065.0</v>
      </c>
      <c r="N537" s="11">
        <v>7122.0</v>
      </c>
      <c r="O537" s="4" t="s">
        <v>102</v>
      </c>
      <c r="P537" s="11">
        <v>0.0</v>
      </c>
      <c r="Q537" s="32">
        <v>0.0</v>
      </c>
      <c r="R537" s="22">
        <v>0.0</v>
      </c>
      <c r="S537">
        <f t="shared" si="1"/>
        <v>2012</v>
      </c>
      <c r="T537">
        <f t="shared" si="2"/>
        <v>3</v>
      </c>
      <c r="AF537" s="18"/>
      <c r="AG537" s="19"/>
      <c r="AL537" s="18"/>
      <c r="AM537" s="19"/>
    </row>
    <row r="538">
      <c r="A538" s="4" t="s">
        <v>736</v>
      </c>
      <c r="B538" s="10">
        <v>40988.0</v>
      </c>
      <c r="C538" s="11" t="s">
        <v>142</v>
      </c>
      <c r="D538" s="11" t="s">
        <v>51</v>
      </c>
      <c r="E538" s="14" t="s">
        <v>52</v>
      </c>
      <c r="F538" s="11" t="s">
        <v>53</v>
      </c>
      <c r="G538" s="22" t="s">
        <v>83</v>
      </c>
      <c r="H538" s="14"/>
      <c r="I538" s="14"/>
      <c r="J538" s="11">
        <v>21.0</v>
      </c>
      <c r="K538" s="13">
        <v>41888.0</v>
      </c>
      <c r="L538" s="11">
        <f>ROUND(((K538-B538)/365)*12)</f>
        <v>30</v>
      </c>
      <c r="M538" s="11">
        <v>527055.0</v>
      </c>
      <c r="N538" s="11">
        <v>5498.0</v>
      </c>
      <c r="O538" s="4" t="s">
        <v>59</v>
      </c>
      <c r="P538" s="11">
        <v>84.0</v>
      </c>
      <c r="Q538" s="15">
        <v>77.333</v>
      </c>
      <c r="R538" s="22">
        <v>1.0</v>
      </c>
      <c r="S538">
        <f t="shared" si="1"/>
        <v>2012</v>
      </c>
      <c r="T538">
        <f t="shared" si="2"/>
        <v>3</v>
      </c>
      <c r="AF538" s="18"/>
      <c r="AG538" s="19"/>
      <c r="AL538" s="18"/>
      <c r="AM538" s="19"/>
    </row>
    <row r="539">
      <c r="A539" s="4" t="s">
        <v>1549</v>
      </c>
      <c r="B539" s="10">
        <v>40977.0</v>
      </c>
      <c r="C539" s="11" t="s">
        <v>239</v>
      </c>
      <c r="D539" s="11" t="s">
        <v>170</v>
      </c>
      <c r="E539" s="14" t="s">
        <v>52</v>
      </c>
      <c r="F539" s="11" t="s">
        <v>53</v>
      </c>
      <c r="G539" s="14" t="s">
        <v>54</v>
      </c>
      <c r="H539" s="11" t="s">
        <v>218</v>
      </c>
      <c r="I539" s="11" t="s">
        <v>1550</v>
      </c>
      <c r="J539" s="11">
        <v>18.0</v>
      </c>
      <c r="K539" s="13">
        <v>41813.0</v>
      </c>
      <c r="L539" s="14"/>
      <c r="M539" s="11">
        <v>657209.0</v>
      </c>
      <c r="N539" s="11" t="s">
        <v>1551</v>
      </c>
      <c r="P539" s="11">
        <v>0.0</v>
      </c>
      <c r="Q539" s="15">
        <v>0.0</v>
      </c>
      <c r="R539" s="22">
        <v>1.0</v>
      </c>
      <c r="S539">
        <f t="shared" si="1"/>
        <v>2012</v>
      </c>
      <c r="T539">
        <f t="shared" si="2"/>
        <v>3</v>
      </c>
      <c r="AF539" s="18"/>
      <c r="AG539" s="19"/>
      <c r="AL539" s="18"/>
      <c r="AM539" s="19"/>
    </row>
    <row r="540">
      <c r="A540" s="4" t="s">
        <v>1552</v>
      </c>
      <c r="B540" s="10">
        <v>40974.0</v>
      </c>
      <c r="C540" s="11" t="s">
        <v>74</v>
      </c>
      <c r="D540" s="11" t="s">
        <v>110</v>
      </c>
      <c r="E540" s="14" t="s">
        <v>52</v>
      </c>
      <c r="F540" s="11" t="s">
        <v>76</v>
      </c>
      <c r="G540" s="14" t="s">
        <v>54</v>
      </c>
      <c r="H540" s="11" t="s">
        <v>279</v>
      </c>
      <c r="I540" s="11" t="s">
        <v>518</v>
      </c>
      <c r="J540" s="11">
        <v>23.0</v>
      </c>
      <c r="K540" s="13">
        <v>41415.0</v>
      </c>
      <c r="L540" s="11">
        <f>ROUND(((K540-B540)/365)*12)</f>
        <v>14</v>
      </c>
      <c r="M540" s="11">
        <v>519301.0</v>
      </c>
      <c r="N540" s="11">
        <v>11457.0</v>
      </c>
      <c r="O540" s="4" t="s">
        <v>704</v>
      </c>
      <c r="P540" s="11">
        <v>55.0</v>
      </c>
      <c r="Q540" s="15">
        <v>62.333</v>
      </c>
      <c r="R540" s="22">
        <v>1.0</v>
      </c>
      <c r="S540">
        <f t="shared" si="1"/>
        <v>2012</v>
      </c>
      <c r="T540">
        <f t="shared" si="2"/>
        <v>3</v>
      </c>
      <c r="AF540" s="18"/>
      <c r="AG540" s="19"/>
      <c r="AL540" s="18"/>
      <c r="AM540" s="19"/>
    </row>
    <row r="541">
      <c r="A541" s="4" t="s">
        <v>1553</v>
      </c>
      <c r="B541" s="10">
        <v>40969.0</v>
      </c>
      <c r="C541" s="11" t="s">
        <v>74</v>
      </c>
      <c r="D541" s="11" t="s">
        <v>170</v>
      </c>
      <c r="E541" s="11" t="s">
        <v>52</v>
      </c>
      <c r="F541" s="11" t="s">
        <v>76</v>
      </c>
      <c r="G541" s="11" t="s">
        <v>54</v>
      </c>
      <c r="H541" s="11" t="s">
        <v>99</v>
      </c>
      <c r="I541" s="11" t="s">
        <v>898</v>
      </c>
      <c r="J541" s="11">
        <v>19.0</v>
      </c>
      <c r="K541" s="13">
        <v>42177.0</v>
      </c>
      <c r="L541" s="14"/>
      <c r="M541" s="11">
        <v>608327.0</v>
      </c>
      <c r="N541" s="11" t="s">
        <v>1555</v>
      </c>
      <c r="P541" s="11">
        <v>0.0</v>
      </c>
      <c r="Q541" s="15">
        <v>0.0</v>
      </c>
      <c r="R541" s="22">
        <v>1.0</v>
      </c>
      <c r="S541">
        <f t="shared" si="1"/>
        <v>2012</v>
      </c>
      <c r="T541">
        <f t="shared" si="2"/>
        <v>3</v>
      </c>
      <c r="AF541" s="18"/>
      <c r="AG541" s="19"/>
      <c r="AL541" s="18"/>
      <c r="AM541" s="19"/>
    </row>
    <row r="542">
      <c r="A542" s="4" t="s">
        <v>1556</v>
      </c>
      <c r="B542" s="10">
        <v>40909.0</v>
      </c>
      <c r="C542" s="11" t="s">
        <v>142</v>
      </c>
      <c r="D542" s="11" t="s">
        <v>124</v>
      </c>
      <c r="E542" s="11" t="s">
        <v>52</v>
      </c>
      <c r="F542" s="11" t="s">
        <v>76</v>
      </c>
      <c r="G542" s="11" t="s">
        <v>265</v>
      </c>
      <c r="H542" s="11"/>
      <c r="I542" s="11"/>
      <c r="J542" s="11">
        <v>21.0</v>
      </c>
      <c r="K542" s="13">
        <v>41733.0</v>
      </c>
      <c r="L542" s="14"/>
      <c r="M542" s="11">
        <v>593479.0</v>
      </c>
      <c r="N542" s="11" t="s">
        <v>1557</v>
      </c>
      <c r="P542" s="11">
        <v>0.0</v>
      </c>
      <c r="Q542" s="15">
        <v>0.0</v>
      </c>
      <c r="R542" s="22">
        <v>1.0</v>
      </c>
      <c r="S542">
        <f t="shared" si="1"/>
        <v>2012</v>
      </c>
      <c r="T542">
        <f t="shared" si="2"/>
        <v>1</v>
      </c>
      <c r="AF542" s="18"/>
      <c r="AG542" s="19"/>
      <c r="AL542" s="18"/>
      <c r="AM542" s="19"/>
    </row>
    <row r="543">
      <c r="A543" s="4" t="s">
        <v>1558</v>
      </c>
      <c r="B543" s="10">
        <v>40909.0</v>
      </c>
      <c r="C543" s="11" t="s">
        <v>133</v>
      </c>
      <c r="D543" s="11" t="s">
        <v>82</v>
      </c>
      <c r="E543" s="14" t="s">
        <v>52</v>
      </c>
      <c r="F543" s="11" t="s">
        <v>53</v>
      </c>
      <c r="G543" s="14" t="s">
        <v>54</v>
      </c>
      <c r="H543" s="11" t="s">
        <v>597</v>
      </c>
      <c r="I543" s="11"/>
      <c r="J543" s="11">
        <v>28.0</v>
      </c>
      <c r="K543" s="13">
        <v>41384.0</v>
      </c>
      <c r="L543" s="14"/>
      <c r="M543" s="11">
        <v>446624.0</v>
      </c>
      <c r="N543" s="11">
        <v>3545.0</v>
      </c>
      <c r="P543" s="11">
        <v>0.0</v>
      </c>
      <c r="Q543" s="15">
        <v>0.0</v>
      </c>
      <c r="R543" s="22">
        <v>0.0</v>
      </c>
      <c r="S543">
        <f t="shared" si="1"/>
        <v>2012</v>
      </c>
      <c r="T543">
        <f t="shared" si="2"/>
        <v>1</v>
      </c>
      <c r="AF543" s="18"/>
      <c r="AG543" s="19"/>
      <c r="AL543" s="18"/>
      <c r="AM543" s="19"/>
    </row>
    <row r="544">
      <c r="A544" s="4" t="s">
        <v>207</v>
      </c>
      <c r="B544" s="10">
        <v>40909.0</v>
      </c>
      <c r="C544" s="11" t="s">
        <v>119</v>
      </c>
      <c r="D544" s="11" t="s">
        <v>110</v>
      </c>
      <c r="E544" s="11" t="s">
        <v>52</v>
      </c>
      <c r="F544" s="11" t="s">
        <v>76</v>
      </c>
      <c r="G544" s="11" t="s">
        <v>54</v>
      </c>
      <c r="H544" s="11" t="s">
        <v>211</v>
      </c>
      <c r="I544" s="11" t="s">
        <v>1383</v>
      </c>
      <c r="J544" s="11">
        <v>23.0</v>
      </c>
      <c r="K544" s="13">
        <v>42104.0</v>
      </c>
      <c r="L544" s="14"/>
      <c r="M544" s="11">
        <v>502432.0</v>
      </c>
      <c r="N544" s="11" t="s">
        <v>1384</v>
      </c>
      <c r="P544" s="11">
        <v>0.0</v>
      </c>
      <c r="Q544" s="15">
        <v>0.0</v>
      </c>
      <c r="R544" s="11">
        <v>0.0</v>
      </c>
      <c r="S544">
        <f t="shared" si="1"/>
        <v>2012</v>
      </c>
      <c r="T544">
        <f t="shared" si="2"/>
        <v>1</v>
      </c>
      <c r="AF544" s="18"/>
      <c r="AG544" s="19"/>
      <c r="AL544" s="18"/>
      <c r="AM544" s="19"/>
    </row>
    <row r="545">
      <c r="A545" s="4" t="s">
        <v>1559</v>
      </c>
      <c r="B545" s="10">
        <v>40909.0</v>
      </c>
      <c r="C545" s="11" t="s">
        <v>81</v>
      </c>
      <c r="D545" s="11" t="s">
        <v>151</v>
      </c>
      <c r="E545" s="22" t="s">
        <v>160</v>
      </c>
      <c r="F545" s="11" t="s">
        <v>53</v>
      </c>
      <c r="G545" s="14" t="s">
        <v>54</v>
      </c>
      <c r="H545" s="11" t="s">
        <v>302</v>
      </c>
      <c r="I545" s="11" t="s">
        <v>1560</v>
      </c>
      <c r="J545" s="11">
        <v>20.0</v>
      </c>
      <c r="K545" s="13">
        <v>41821.0</v>
      </c>
      <c r="L545" s="14"/>
      <c r="M545" s="11">
        <v>657627.0</v>
      </c>
      <c r="N545" s="11" t="s">
        <v>1561</v>
      </c>
      <c r="P545" s="11">
        <v>0.0</v>
      </c>
      <c r="Q545" s="15">
        <v>0.0</v>
      </c>
      <c r="R545" s="22">
        <v>1.0</v>
      </c>
      <c r="S545">
        <f t="shared" si="1"/>
        <v>2012</v>
      </c>
      <c r="T545">
        <f t="shared" si="2"/>
        <v>1</v>
      </c>
      <c r="AF545" s="18"/>
      <c r="AG545" s="19"/>
      <c r="AL545" s="18"/>
      <c r="AM545" s="19"/>
    </row>
    <row r="546">
      <c r="A546" s="4" t="s">
        <v>1562</v>
      </c>
      <c r="B546" s="10">
        <v>40909.0</v>
      </c>
      <c r="C546" s="11" t="s">
        <v>81</v>
      </c>
      <c r="D546" s="11" t="s">
        <v>151</v>
      </c>
      <c r="E546" s="14" t="s">
        <v>52</v>
      </c>
      <c r="F546" s="11" t="s">
        <v>53</v>
      </c>
      <c r="G546" s="14" t="s">
        <v>54</v>
      </c>
      <c r="H546" s="11" t="s">
        <v>92</v>
      </c>
      <c r="I546" s="11" t="s">
        <v>1563</v>
      </c>
      <c r="J546" s="11">
        <v>19.0</v>
      </c>
      <c r="K546" s="13">
        <v>41816.0</v>
      </c>
      <c r="L546" s="14"/>
      <c r="M546" s="11">
        <v>656805.0</v>
      </c>
      <c r="N546" s="11" t="s">
        <v>1564</v>
      </c>
      <c r="P546" s="11">
        <v>0.0</v>
      </c>
      <c r="Q546" s="15">
        <v>0.0</v>
      </c>
      <c r="R546" s="22">
        <v>1.0</v>
      </c>
      <c r="S546">
        <f t="shared" si="1"/>
        <v>2012</v>
      </c>
      <c r="T546">
        <f t="shared" si="2"/>
        <v>1</v>
      </c>
      <c r="AF546" s="18"/>
      <c r="AG546" s="19"/>
      <c r="AL546" s="18"/>
      <c r="AM546" s="19"/>
    </row>
    <row r="547">
      <c r="A547" s="4" t="s">
        <v>1566</v>
      </c>
      <c r="B547" s="20">
        <v>40909.0</v>
      </c>
      <c r="C547" s="11" t="s">
        <v>114</v>
      </c>
      <c r="D547" s="11" t="s">
        <v>170</v>
      </c>
      <c r="E547" s="11" t="s">
        <v>52</v>
      </c>
      <c r="F547" s="11" t="s">
        <v>76</v>
      </c>
      <c r="G547" s="11" t="s">
        <v>54</v>
      </c>
      <c r="H547" s="11" t="s">
        <v>291</v>
      </c>
      <c r="I547" s="11" t="s">
        <v>292</v>
      </c>
      <c r="J547" s="11">
        <v>18.0</v>
      </c>
      <c r="K547" s="13">
        <v>42543.0</v>
      </c>
      <c r="L547" s="14"/>
      <c r="M547" s="11">
        <v>670375.0</v>
      </c>
      <c r="N547" s="11" t="s">
        <v>1567</v>
      </c>
      <c r="P547" s="11">
        <v>0.0</v>
      </c>
      <c r="Q547" s="15">
        <v>0.0</v>
      </c>
      <c r="R547" s="22">
        <v>1.0</v>
      </c>
      <c r="S547">
        <f t="shared" si="1"/>
        <v>2012</v>
      </c>
      <c r="T547">
        <f t="shared" si="2"/>
        <v>1</v>
      </c>
      <c r="AF547" s="18"/>
      <c r="AG547" s="19"/>
      <c r="AL547" s="18"/>
      <c r="AM547" s="19"/>
    </row>
    <row r="548">
      <c r="A548" s="4" t="s">
        <v>1568</v>
      </c>
      <c r="B548" s="10">
        <v>40909.0</v>
      </c>
      <c r="C548" s="11" t="s">
        <v>138</v>
      </c>
      <c r="D548" s="11" t="s">
        <v>151</v>
      </c>
      <c r="E548" s="14" t="s">
        <v>52</v>
      </c>
      <c r="F548" s="11" t="s">
        <v>53</v>
      </c>
      <c r="G548" s="14" t="s">
        <v>54</v>
      </c>
      <c r="H548" s="11" t="s">
        <v>260</v>
      </c>
      <c r="I548" s="11" t="s">
        <v>1569</v>
      </c>
      <c r="J548" s="11">
        <v>21.0</v>
      </c>
      <c r="K548" s="13">
        <v>41817.0</v>
      </c>
      <c r="L548" s="14"/>
      <c r="M548" s="11">
        <v>643244.0</v>
      </c>
      <c r="N548" s="11" t="s">
        <v>1570</v>
      </c>
      <c r="P548" s="11">
        <v>0.0</v>
      </c>
      <c r="Q548" s="15">
        <v>0.0</v>
      </c>
      <c r="R548" s="22">
        <v>1.0</v>
      </c>
      <c r="S548">
        <f t="shared" si="1"/>
        <v>2012</v>
      </c>
      <c r="T548">
        <f t="shared" si="2"/>
        <v>1</v>
      </c>
      <c r="AF548" s="18"/>
      <c r="AG548" s="19"/>
      <c r="AL548" s="18"/>
      <c r="AM548" s="19"/>
    </row>
    <row r="549">
      <c r="A549" s="4" t="s">
        <v>1571</v>
      </c>
      <c r="B549" s="10">
        <v>40909.0</v>
      </c>
      <c r="C549" s="11" t="s">
        <v>97</v>
      </c>
      <c r="D549" s="11" t="s">
        <v>151</v>
      </c>
      <c r="E549" s="11" t="s">
        <v>52</v>
      </c>
      <c r="F549" s="11" t="s">
        <v>53</v>
      </c>
      <c r="G549" s="11" t="s">
        <v>54</v>
      </c>
      <c r="H549" s="11" t="s">
        <v>92</v>
      </c>
      <c r="I549" s="11" t="s">
        <v>1572</v>
      </c>
      <c r="J549" s="11">
        <v>20.0</v>
      </c>
      <c r="K549" s="13">
        <v>42180.0</v>
      </c>
      <c r="L549" s="14"/>
      <c r="M549" s="11">
        <v>664851.0</v>
      </c>
      <c r="N549" s="11" t="s">
        <v>1573</v>
      </c>
      <c r="P549" s="11">
        <v>0.0</v>
      </c>
      <c r="Q549" s="15">
        <v>0.0</v>
      </c>
      <c r="R549" s="22">
        <v>1.0</v>
      </c>
      <c r="S549">
        <f t="shared" si="1"/>
        <v>2012</v>
      </c>
      <c r="T549">
        <f t="shared" si="2"/>
        <v>1</v>
      </c>
      <c r="AF549" s="18"/>
      <c r="AG549" s="19"/>
      <c r="AL549" s="18"/>
      <c r="AM549" s="19"/>
    </row>
    <row r="550">
      <c r="A550" s="4" t="s">
        <v>1574</v>
      </c>
      <c r="B550" s="10">
        <v>40909.0</v>
      </c>
      <c r="C550" s="11" t="s">
        <v>125</v>
      </c>
      <c r="D550" s="11" t="s">
        <v>91</v>
      </c>
      <c r="E550" s="22" t="s">
        <v>392</v>
      </c>
      <c r="F550" s="11" t="s">
        <v>53</v>
      </c>
      <c r="G550" s="22" t="s">
        <v>265</v>
      </c>
      <c r="H550" s="14"/>
      <c r="I550" s="14"/>
      <c r="J550" s="11">
        <v>18.0</v>
      </c>
      <c r="K550" s="13">
        <v>41426.0</v>
      </c>
      <c r="L550" s="14"/>
      <c r="M550" s="11">
        <v>605893.0</v>
      </c>
      <c r="N550" s="11" t="s">
        <v>1575</v>
      </c>
      <c r="P550" s="11">
        <v>0.0</v>
      </c>
      <c r="Q550" s="15">
        <v>0.0</v>
      </c>
      <c r="R550" s="11">
        <v>0.0</v>
      </c>
      <c r="S550">
        <f t="shared" si="1"/>
        <v>2012</v>
      </c>
      <c r="T550">
        <f t="shared" si="2"/>
        <v>1</v>
      </c>
      <c r="AF550" s="18"/>
      <c r="AG550" s="19"/>
      <c r="AL550" s="18"/>
      <c r="AM550" s="19"/>
    </row>
    <row r="551">
      <c r="A551" s="4" t="s">
        <v>184</v>
      </c>
      <c r="B551" s="10">
        <v>40909.0</v>
      </c>
      <c r="C551" s="11" t="s">
        <v>179</v>
      </c>
      <c r="D551" s="11" t="s">
        <v>151</v>
      </c>
      <c r="E551" s="11" t="s">
        <v>52</v>
      </c>
      <c r="F551" s="11" t="s">
        <v>53</v>
      </c>
      <c r="G551" s="11" t="s">
        <v>54</v>
      </c>
      <c r="H551" s="11" t="s">
        <v>251</v>
      </c>
      <c r="I551" s="11" t="s">
        <v>252</v>
      </c>
      <c r="J551" s="11">
        <v>19.0</v>
      </c>
      <c r="K551" s="13">
        <v>41806.0</v>
      </c>
      <c r="L551" s="11"/>
      <c r="M551" s="11">
        <v>657710.0</v>
      </c>
      <c r="N551" s="11" t="s">
        <v>254</v>
      </c>
      <c r="O551" s="10"/>
      <c r="P551" s="11">
        <v>0.0</v>
      </c>
      <c r="Q551" s="15">
        <v>0.0</v>
      </c>
      <c r="R551" s="22">
        <v>1.0</v>
      </c>
      <c r="S551">
        <f t="shared" si="1"/>
        <v>2012</v>
      </c>
      <c r="T551">
        <f t="shared" si="2"/>
        <v>1</v>
      </c>
      <c r="AF551" s="18"/>
      <c r="AG551" s="19"/>
      <c r="AL551" s="18"/>
      <c r="AM551" s="19"/>
    </row>
    <row r="552">
      <c r="A552" s="4" t="s">
        <v>199</v>
      </c>
      <c r="B552" s="10">
        <v>40909.0</v>
      </c>
      <c r="C552" s="11" t="s">
        <v>74</v>
      </c>
      <c r="D552" s="11" t="s">
        <v>170</v>
      </c>
      <c r="E552" s="11" t="s">
        <v>52</v>
      </c>
      <c r="F552" s="11" t="s">
        <v>53</v>
      </c>
      <c r="G552" s="11" t="s">
        <v>54</v>
      </c>
      <c r="H552" s="11" t="s">
        <v>204</v>
      </c>
      <c r="I552" s="11" t="s">
        <v>204</v>
      </c>
      <c r="J552" s="11">
        <v>18.0</v>
      </c>
      <c r="K552" s="13">
        <v>42182.0</v>
      </c>
      <c r="L552" s="11"/>
      <c r="M552" s="11">
        <v>622230.0</v>
      </c>
      <c r="N552" s="11" t="s">
        <v>205</v>
      </c>
      <c r="O552" s="10"/>
      <c r="P552" s="11">
        <v>0.0</v>
      </c>
      <c r="Q552" s="15">
        <v>0.0</v>
      </c>
      <c r="R552" s="22">
        <v>1.0</v>
      </c>
      <c r="S552">
        <f t="shared" si="1"/>
        <v>2012</v>
      </c>
      <c r="T552">
        <f t="shared" si="2"/>
        <v>1</v>
      </c>
      <c r="AF552" s="18"/>
      <c r="AG552" s="19"/>
      <c r="AL552" s="18"/>
      <c r="AM552" s="19"/>
    </row>
    <row r="553">
      <c r="A553" s="4" t="s">
        <v>1576</v>
      </c>
      <c r="B553" s="10">
        <v>40874.0</v>
      </c>
      <c r="C553" s="11" t="s">
        <v>169</v>
      </c>
      <c r="D553" s="11" t="s">
        <v>170</v>
      </c>
      <c r="E553" s="11" t="s">
        <v>52</v>
      </c>
      <c r="F553" s="11" t="s">
        <v>1577</v>
      </c>
      <c r="G553" s="11" t="s">
        <v>54</v>
      </c>
      <c r="H553" s="11" t="s">
        <v>344</v>
      </c>
      <c r="I553" s="11" t="s">
        <v>1578</v>
      </c>
      <c r="J553" s="11">
        <v>17.0</v>
      </c>
      <c r="K553" s="13">
        <v>42177.0</v>
      </c>
      <c r="L553" s="11"/>
      <c r="M553" s="11">
        <v>664147.0</v>
      </c>
      <c r="N553" s="11" t="s">
        <v>1579</v>
      </c>
      <c r="O553" s="10"/>
      <c r="P553" s="11">
        <v>0.0</v>
      </c>
      <c r="Q553" s="15">
        <v>0.0</v>
      </c>
      <c r="R553" s="22">
        <v>1.0</v>
      </c>
      <c r="S553">
        <f t="shared" si="1"/>
        <v>2011</v>
      </c>
      <c r="T553">
        <f t="shared" si="2"/>
        <v>11</v>
      </c>
      <c r="AF553" s="18"/>
      <c r="AG553" s="19"/>
      <c r="AL553" s="18"/>
      <c r="AM553" s="19"/>
    </row>
    <row r="554">
      <c r="A554" s="4" t="s">
        <v>1580</v>
      </c>
      <c r="B554" s="10">
        <v>40863.0</v>
      </c>
      <c r="C554" s="11" t="s">
        <v>382</v>
      </c>
      <c r="D554" s="11" t="s">
        <v>151</v>
      </c>
      <c r="E554" s="11" t="s">
        <v>52</v>
      </c>
      <c r="F554" s="11" t="s">
        <v>53</v>
      </c>
      <c r="G554" s="11" t="s">
        <v>54</v>
      </c>
      <c r="H554" s="11" t="s">
        <v>92</v>
      </c>
      <c r="I554" s="11" t="s">
        <v>1572</v>
      </c>
      <c r="J554" s="11">
        <v>19.0</v>
      </c>
      <c r="K554" s="13">
        <v>41863.0</v>
      </c>
      <c r="L554" s="11"/>
      <c r="M554" s="11">
        <v>642030.0</v>
      </c>
      <c r="N554" s="11" t="s">
        <v>1581</v>
      </c>
      <c r="O554" s="10"/>
      <c r="P554" s="11">
        <v>0.0</v>
      </c>
      <c r="Q554" s="15">
        <v>0.0</v>
      </c>
      <c r="R554" s="11">
        <v>0.0</v>
      </c>
      <c r="S554">
        <f t="shared" si="1"/>
        <v>2011</v>
      </c>
      <c r="T554">
        <f t="shared" si="2"/>
        <v>11</v>
      </c>
      <c r="AF554" s="18"/>
      <c r="AG554" s="19"/>
      <c r="AL554" s="18"/>
      <c r="AM554" s="19"/>
    </row>
    <row r="555">
      <c r="A555" s="4" t="s">
        <v>1582</v>
      </c>
      <c r="B555" s="10">
        <v>40848.0</v>
      </c>
      <c r="C555" s="11" t="s">
        <v>133</v>
      </c>
      <c r="D555" s="11" t="s">
        <v>51</v>
      </c>
      <c r="E555" s="14" t="s">
        <v>52</v>
      </c>
      <c r="F555" s="11" t="s">
        <v>53</v>
      </c>
      <c r="G555" s="14" t="s">
        <v>54</v>
      </c>
      <c r="H555" s="11" t="s">
        <v>157</v>
      </c>
      <c r="I555" s="11" t="s">
        <v>1583</v>
      </c>
      <c r="J555" s="11">
        <v>32.0</v>
      </c>
      <c r="K555" s="13">
        <v>41370.0</v>
      </c>
      <c r="L555" s="11">
        <f t="shared" ref="L555:L560" si="54">ROUND(((K555-B555)/365)*12)</f>
        <v>17</v>
      </c>
      <c r="M555" s="11">
        <v>407793.0</v>
      </c>
      <c r="N555" s="11">
        <v>1507.0</v>
      </c>
      <c r="O555" s="4" t="s">
        <v>704</v>
      </c>
      <c r="P555" s="11">
        <v>122.0</v>
      </c>
      <c r="Q555" s="15">
        <v>793.667</v>
      </c>
      <c r="R555" s="22">
        <v>1.0</v>
      </c>
      <c r="S555">
        <f t="shared" si="1"/>
        <v>2011</v>
      </c>
      <c r="T555">
        <f t="shared" si="2"/>
        <v>11</v>
      </c>
      <c r="U555" s="4"/>
      <c r="V555" s="4"/>
      <c r="W555" s="4"/>
      <c r="X555" s="4"/>
      <c r="Y555" s="4"/>
      <c r="Z555" s="4"/>
      <c r="AA555" s="4"/>
      <c r="AB555" s="4"/>
      <c r="AC555" s="4"/>
      <c r="AD555" s="4">
        <v>28.0</v>
      </c>
      <c r="AE555" s="4">
        <v>28.0</v>
      </c>
      <c r="AF555" s="54">
        <v>160.0</v>
      </c>
      <c r="AG555" s="55">
        <v>0.07</v>
      </c>
      <c r="AH555" s="4">
        <v>151.0</v>
      </c>
      <c r="AI555" s="4">
        <v>118.0</v>
      </c>
      <c r="AJ555" s="4">
        <v>29.0</v>
      </c>
      <c r="AK555" s="4">
        <v>29.0</v>
      </c>
      <c r="AL555" s="54">
        <v>189.333</v>
      </c>
      <c r="AM555" s="55">
        <v>0.156</v>
      </c>
      <c r="AN555" s="4">
        <v>85.0</v>
      </c>
      <c r="AO555" s="4">
        <v>99.0</v>
      </c>
    </row>
    <row r="556">
      <c r="A556" s="4" t="s">
        <v>1585</v>
      </c>
      <c r="B556" s="10">
        <v>40817.0</v>
      </c>
      <c r="C556" s="11" t="s">
        <v>49</v>
      </c>
      <c r="D556" s="11" t="s">
        <v>210</v>
      </c>
      <c r="E556" s="11" t="s">
        <v>52</v>
      </c>
      <c r="F556" s="11" t="s">
        <v>53</v>
      </c>
      <c r="G556" s="11" t="s">
        <v>265</v>
      </c>
      <c r="H556" s="14"/>
      <c r="I556" s="14"/>
      <c r="J556" s="11">
        <v>23.0</v>
      </c>
      <c r="K556" s="13">
        <v>41368.0</v>
      </c>
      <c r="L556" s="11">
        <f t="shared" si="54"/>
        <v>18</v>
      </c>
      <c r="M556" s="11">
        <v>599998.0</v>
      </c>
      <c r="N556" s="11">
        <v>12277.0</v>
      </c>
      <c r="O556" s="4"/>
      <c r="P556" s="11">
        <v>25.0</v>
      </c>
      <c r="Q556" s="15">
        <v>30.0</v>
      </c>
      <c r="R556" s="22">
        <v>1.0</v>
      </c>
      <c r="S556">
        <f t="shared" si="1"/>
        <v>2011</v>
      </c>
      <c r="T556">
        <f t="shared" si="2"/>
        <v>10</v>
      </c>
      <c r="AF556" s="18"/>
      <c r="AG556" s="19"/>
      <c r="AL556" s="18"/>
      <c r="AM556" s="19"/>
    </row>
    <row r="557">
      <c r="A557" s="4" t="s">
        <v>1425</v>
      </c>
      <c r="B557" s="10">
        <v>40800.0</v>
      </c>
      <c r="C557" s="11" t="s">
        <v>169</v>
      </c>
      <c r="D557" s="11" t="s">
        <v>51</v>
      </c>
      <c r="E557" s="14" t="s">
        <v>52</v>
      </c>
      <c r="F557" s="11" t="s">
        <v>53</v>
      </c>
      <c r="G557" s="22" t="s">
        <v>265</v>
      </c>
      <c r="H557" s="14"/>
      <c r="I557" s="14"/>
      <c r="J557" s="11">
        <v>24.0</v>
      </c>
      <c r="K557" s="13">
        <v>41373.0</v>
      </c>
      <c r="L557" s="11">
        <f t="shared" si="54"/>
        <v>19</v>
      </c>
      <c r="M557" s="11">
        <v>471911.0</v>
      </c>
      <c r="N557" s="11">
        <v>6632.0</v>
      </c>
      <c r="O557" s="4" t="s">
        <v>287</v>
      </c>
      <c r="P557" s="11">
        <v>110.0</v>
      </c>
      <c r="Q557" s="15">
        <v>510.667</v>
      </c>
      <c r="R557" s="22">
        <v>1.0</v>
      </c>
      <c r="S557">
        <f t="shared" si="1"/>
        <v>2011</v>
      </c>
      <c r="T557">
        <f t="shared" si="2"/>
        <v>9</v>
      </c>
      <c r="U557" s="4"/>
      <c r="V557" s="4"/>
      <c r="W557" s="4"/>
      <c r="X557" s="4"/>
      <c r="Y557" s="4"/>
      <c r="Z557" s="4"/>
      <c r="AA557" s="4"/>
      <c r="AB557" s="4"/>
      <c r="AC557" s="4"/>
      <c r="AD557" s="4">
        <v>21.0</v>
      </c>
      <c r="AE557" s="4">
        <v>21.0</v>
      </c>
      <c r="AF557" s="54">
        <v>124.667</v>
      </c>
      <c r="AG557" s="55">
        <v>0.084</v>
      </c>
      <c r="AH557" s="4">
        <v>118.0</v>
      </c>
      <c r="AI557" s="4">
        <v>107.0</v>
      </c>
      <c r="AJ557" s="4">
        <v>15.0</v>
      </c>
      <c r="AK557" s="4">
        <v>7.0</v>
      </c>
      <c r="AL557" s="54">
        <v>46.667</v>
      </c>
      <c r="AM557" s="55">
        <v>0.055</v>
      </c>
      <c r="AN557" s="4">
        <v>174.0</v>
      </c>
      <c r="AO557" s="4">
        <v>104.0</v>
      </c>
    </row>
    <row r="558">
      <c r="A558" s="4" t="s">
        <v>1586</v>
      </c>
      <c r="B558" s="10">
        <v>40793.0</v>
      </c>
      <c r="C558" s="11" t="s">
        <v>123</v>
      </c>
      <c r="D558" s="11" t="s">
        <v>75</v>
      </c>
      <c r="E558" s="14" t="s">
        <v>52</v>
      </c>
      <c r="F558" s="11" t="s">
        <v>53</v>
      </c>
      <c r="G558" s="14" t="s">
        <v>54</v>
      </c>
      <c r="H558" s="11" t="s">
        <v>322</v>
      </c>
      <c r="I558" s="11" t="s">
        <v>679</v>
      </c>
      <c r="J558" s="11">
        <v>23.0</v>
      </c>
      <c r="K558" s="13">
        <v>41146.0</v>
      </c>
      <c r="L558" s="11">
        <f t="shared" si="54"/>
        <v>12</v>
      </c>
      <c r="M558" s="11">
        <v>502043.0</v>
      </c>
      <c r="N558" s="11">
        <v>10123.0</v>
      </c>
      <c r="O558" s="4" t="s">
        <v>287</v>
      </c>
      <c r="P558" s="11">
        <v>98.0</v>
      </c>
      <c r="Q558" s="15">
        <v>572.333</v>
      </c>
      <c r="R558" s="22">
        <v>1.0</v>
      </c>
      <c r="S558">
        <f t="shared" si="1"/>
        <v>2011</v>
      </c>
      <c r="T558">
        <f t="shared" si="2"/>
        <v>9</v>
      </c>
      <c r="AF558" s="18"/>
      <c r="AG558" s="19"/>
      <c r="AL558" s="18"/>
      <c r="AM558" s="19"/>
    </row>
    <row r="559">
      <c r="A559" s="4" t="s">
        <v>281</v>
      </c>
      <c r="B559" s="10">
        <v>40793.0</v>
      </c>
      <c r="C559" s="11" t="s">
        <v>74</v>
      </c>
      <c r="D559" s="11" t="s">
        <v>124</v>
      </c>
      <c r="E559" s="14" t="s">
        <v>52</v>
      </c>
      <c r="F559" s="11" t="s">
        <v>53</v>
      </c>
      <c r="G559" s="14" t="s">
        <v>54</v>
      </c>
      <c r="H559" s="11" t="s">
        <v>260</v>
      </c>
      <c r="I559" s="11" t="s">
        <v>283</v>
      </c>
      <c r="J559" s="11">
        <v>22.0</v>
      </c>
      <c r="K559" s="13">
        <v>41110.0</v>
      </c>
      <c r="L559" s="11">
        <f t="shared" si="54"/>
        <v>10</v>
      </c>
      <c r="M559" s="11">
        <v>518863.0</v>
      </c>
      <c r="N559" s="11">
        <v>10466.0</v>
      </c>
      <c r="P559" s="11">
        <v>18.0</v>
      </c>
      <c r="Q559" s="15">
        <v>94.333</v>
      </c>
      <c r="R559" s="22">
        <v>0.0</v>
      </c>
      <c r="S559">
        <f t="shared" si="1"/>
        <v>2011</v>
      </c>
      <c r="T559">
        <f t="shared" si="2"/>
        <v>9</v>
      </c>
      <c r="AF559" s="18"/>
      <c r="AG559" s="19"/>
      <c r="AL559" s="18"/>
      <c r="AM559" s="19"/>
    </row>
    <row r="560">
      <c r="A560" s="4" t="s">
        <v>1589</v>
      </c>
      <c r="B560" s="10">
        <v>40792.0</v>
      </c>
      <c r="C560" s="11" t="s">
        <v>96</v>
      </c>
      <c r="D560" s="11" t="s">
        <v>51</v>
      </c>
      <c r="E560" s="14" t="s">
        <v>52</v>
      </c>
      <c r="F560" s="11" t="s">
        <v>53</v>
      </c>
      <c r="G560" s="22" t="s">
        <v>265</v>
      </c>
      <c r="H560" s="14"/>
      <c r="I560" s="14"/>
      <c r="J560" s="11">
        <v>27.0</v>
      </c>
      <c r="K560" s="13">
        <v>41367.0</v>
      </c>
      <c r="L560" s="11">
        <f t="shared" si="54"/>
        <v>19</v>
      </c>
      <c r="M560" s="11">
        <v>434641.0</v>
      </c>
      <c r="N560" s="11">
        <v>3265.0</v>
      </c>
      <c r="P560" s="11">
        <v>114.0</v>
      </c>
      <c r="Q560" s="32">
        <v>119.0</v>
      </c>
      <c r="R560" s="22">
        <v>1.0</v>
      </c>
      <c r="S560">
        <f t="shared" si="1"/>
        <v>2011</v>
      </c>
      <c r="T560">
        <f t="shared" si="2"/>
        <v>9</v>
      </c>
      <c r="AF560" s="18"/>
      <c r="AG560" s="19"/>
      <c r="AL560" s="18"/>
      <c r="AM560" s="19"/>
    </row>
    <row r="561">
      <c r="A561" s="4" t="s">
        <v>1591</v>
      </c>
      <c r="B561" s="10">
        <v>40786.0</v>
      </c>
      <c r="C561" s="11" t="s">
        <v>259</v>
      </c>
      <c r="D561" s="11" t="s">
        <v>51</v>
      </c>
      <c r="E561" s="14" t="s">
        <v>52</v>
      </c>
      <c r="F561" s="11" t="s">
        <v>53</v>
      </c>
      <c r="G561" s="22" t="s">
        <v>83</v>
      </c>
      <c r="H561" s="14"/>
      <c r="I561" s="14"/>
      <c r="J561" s="11">
        <v>29.0</v>
      </c>
      <c r="K561" s="14"/>
      <c r="L561" s="14"/>
      <c r="M561" s="11">
        <v>430640.0</v>
      </c>
      <c r="N561" s="11">
        <v>4573.0</v>
      </c>
      <c r="P561" s="11">
        <v>0.0</v>
      </c>
      <c r="Q561" s="32">
        <v>0.0</v>
      </c>
      <c r="R561" s="22">
        <v>0.0</v>
      </c>
      <c r="S561">
        <f t="shared" si="1"/>
        <v>2011</v>
      </c>
      <c r="T561">
        <f t="shared" si="2"/>
        <v>8</v>
      </c>
      <c r="AF561" s="18"/>
      <c r="AG561" s="19"/>
      <c r="AL561" s="18"/>
      <c r="AM561" s="19"/>
    </row>
    <row r="562">
      <c r="A562" s="4" t="s">
        <v>1592</v>
      </c>
      <c r="B562" s="10">
        <v>40767.0</v>
      </c>
      <c r="C562" s="11" t="s">
        <v>119</v>
      </c>
      <c r="D562" s="11" t="s">
        <v>51</v>
      </c>
      <c r="E562" s="22" t="s">
        <v>392</v>
      </c>
      <c r="F562" s="11" t="s">
        <v>53</v>
      </c>
      <c r="G562" s="14" t="s">
        <v>54</v>
      </c>
      <c r="H562" s="11" t="s">
        <v>204</v>
      </c>
      <c r="I562" s="11" t="s">
        <v>197</v>
      </c>
      <c r="J562" s="11">
        <v>25.0</v>
      </c>
      <c r="K562" s="13">
        <v>41004.0</v>
      </c>
      <c r="L562" s="11">
        <f t="shared" ref="L562:L565" si="55">ROUND(((K562-B562)/365)*12)</f>
        <v>8</v>
      </c>
      <c r="M562" s="11">
        <v>446359.0</v>
      </c>
      <c r="N562" s="11">
        <v>2616.0</v>
      </c>
      <c r="O562" s="4" t="s">
        <v>224</v>
      </c>
      <c r="P562" s="11">
        <v>610.0</v>
      </c>
      <c r="Q562" s="15">
        <v>2483.0</v>
      </c>
      <c r="R562" s="22">
        <v>1.0</v>
      </c>
      <c r="S562">
        <f t="shared" si="1"/>
        <v>2011</v>
      </c>
      <c r="T562">
        <f t="shared" si="2"/>
        <v>8</v>
      </c>
      <c r="AF562" s="18"/>
      <c r="AG562" s="19"/>
      <c r="AL562" s="18"/>
      <c r="AM562" s="19"/>
    </row>
    <row r="563">
      <c r="A563" s="4" t="s">
        <v>67</v>
      </c>
      <c r="B563" s="10">
        <v>40764.0</v>
      </c>
      <c r="C563" s="11" t="s">
        <v>81</v>
      </c>
      <c r="D563" s="11" t="s">
        <v>51</v>
      </c>
      <c r="E563" s="14" t="s">
        <v>52</v>
      </c>
      <c r="F563" s="11" t="s">
        <v>53</v>
      </c>
      <c r="G563" s="22" t="s">
        <v>83</v>
      </c>
      <c r="H563" s="14"/>
      <c r="I563" s="14"/>
      <c r="J563" s="11">
        <v>22.0</v>
      </c>
      <c r="K563" s="13">
        <v>41143.0</v>
      </c>
      <c r="L563" s="11">
        <f t="shared" si="55"/>
        <v>12</v>
      </c>
      <c r="M563" s="11">
        <v>523989.0</v>
      </c>
      <c r="N563" s="11">
        <v>3862.0</v>
      </c>
      <c r="O563" s="4" t="s">
        <v>59</v>
      </c>
      <c r="P563" s="11">
        <v>76.0</v>
      </c>
      <c r="Q563" s="15">
        <v>353.0</v>
      </c>
      <c r="R563" s="22">
        <v>1.0</v>
      </c>
      <c r="S563">
        <f t="shared" si="1"/>
        <v>2011</v>
      </c>
      <c r="T563">
        <f t="shared" si="2"/>
        <v>8</v>
      </c>
      <c r="U563" s="4"/>
      <c r="V563" s="4"/>
      <c r="W563" s="4"/>
      <c r="X563" s="4"/>
      <c r="Y563" s="4"/>
      <c r="Z563" s="4"/>
      <c r="AA563" s="4"/>
      <c r="AB563" s="4"/>
      <c r="AC563" s="4"/>
      <c r="AD563" s="4">
        <v>13.0</v>
      </c>
      <c r="AE563" s="4">
        <v>10.0</v>
      </c>
      <c r="AF563" s="54">
        <v>60.667</v>
      </c>
      <c r="AG563" s="55">
        <v>0.114</v>
      </c>
      <c r="AH563" s="4">
        <v>102.0</v>
      </c>
      <c r="AI563" s="4">
        <v>102.0</v>
      </c>
      <c r="AJ563" s="4">
        <v>1.0</v>
      </c>
      <c r="AK563" s="4">
        <v>0.0</v>
      </c>
      <c r="AL563" s="54">
        <v>0.667</v>
      </c>
      <c r="AM563" s="55">
        <v>-0.5</v>
      </c>
      <c r="AN563" s="4">
        <v>712.0</v>
      </c>
      <c r="AO563" s="4">
        <v>311.0</v>
      </c>
    </row>
    <row r="564">
      <c r="A564" s="4" t="s">
        <v>1593</v>
      </c>
      <c r="B564" s="10">
        <v>40760.0</v>
      </c>
      <c r="C564" s="11" t="s">
        <v>49</v>
      </c>
      <c r="D564" s="11" t="s">
        <v>51</v>
      </c>
      <c r="E564" s="22" t="s">
        <v>1594</v>
      </c>
      <c r="F564" s="11" t="s">
        <v>76</v>
      </c>
      <c r="G564" s="14" t="s">
        <v>54</v>
      </c>
      <c r="H564" s="11" t="s">
        <v>157</v>
      </c>
      <c r="I564" s="11" t="s">
        <v>1595</v>
      </c>
      <c r="J564" s="11">
        <v>32.0</v>
      </c>
      <c r="K564" s="13">
        <v>41433.0</v>
      </c>
      <c r="L564" s="11">
        <f t="shared" si="55"/>
        <v>22</v>
      </c>
      <c r="M564" s="11">
        <v>425547.0</v>
      </c>
      <c r="N564" s="11">
        <v>1885.0</v>
      </c>
      <c r="O564" s="4" t="s">
        <v>805</v>
      </c>
      <c r="P564" s="11">
        <v>17.0</v>
      </c>
      <c r="Q564" s="32">
        <v>32.0</v>
      </c>
      <c r="R564" s="22">
        <v>0.0</v>
      </c>
      <c r="S564">
        <f t="shared" si="1"/>
        <v>2011</v>
      </c>
      <c r="T564">
        <f t="shared" si="2"/>
        <v>8</v>
      </c>
      <c r="AF564" s="18"/>
      <c r="AG564" s="19"/>
      <c r="AL564" s="18"/>
      <c r="AM564" s="19"/>
    </row>
    <row r="565">
      <c r="A565" s="4" t="s">
        <v>1597</v>
      </c>
      <c r="B565" s="10">
        <v>40756.0</v>
      </c>
      <c r="C565" s="11" t="s">
        <v>142</v>
      </c>
      <c r="D565" s="11" t="s">
        <v>151</v>
      </c>
      <c r="E565" s="14" t="s">
        <v>52</v>
      </c>
      <c r="F565" s="11" t="s">
        <v>53</v>
      </c>
      <c r="G565" s="14" t="s">
        <v>54</v>
      </c>
      <c r="H565" s="11" t="s">
        <v>157</v>
      </c>
      <c r="I565" s="11" t="s">
        <v>242</v>
      </c>
      <c r="J565" s="11">
        <v>19.0</v>
      </c>
      <c r="K565" s="13">
        <v>41460.0</v>
      </c>
      <c r="L565" s="11">
        <f t="shared" si="55"/>
        <v>23</v>
      </c>
      <c r="M565" s="11">
        <v>592422.0</v>
      </c>
      <c r="N565" s="11">
        <v>14914.0</v>
      </c>
      <c r="P565" s="11">
        <v>2.0</v>
      </c>
      <c r="Q565" s="15">
        <v>1.333</v>
      </c>
      <c r="R565" s="22">
        <v>1.0</v>
      </c>
      <c r="S565">
        <f t="shared" si="1"/>
        <v>2011</v>
      </c>
      <c r="T565">
        <f t="shared" si="2"/>
        <v>8</v>
      </c>
      <c r="AF565" s="18"/>
      <c r="AG565" s="19"/>
      <c r="AL565" s="18"/>
      <c r="AM565" s="19"/>
    </row>
    <row r="566">
      <c r="A566" s="4" t="s">
        <v>1598</v>
      </c>
      <c r="B566" s="10">
        <v>40756.0</v>
      </c>
      <c r="C566" s="11" t="s">
        <v>133</v>
      </c>
      <c r="D566" s="11" t="s">
        <v>151</v>
      </c>
      <c r="E566" s="11" t="s">
        <v>52</v>
      </c>
      <c r="F566" s="11" t="s">
        <v>53</v>
      </c>
      <c r="G566" s="11" t="s">
        <v>54</v>
      </c>
      <c r="H566" s="11" t="s">
        <v>157</v>
      </c>
      <c r="I566" s="11" t="s">
        <v>1599</v>
      </c>
      <c r="J566" s="11">
        <v>22.0</v>
      </c>
      <c r="K566" s="13">
        <v>41840.0</v>
      </c>
      <c r="L566" s="11"/>
      <c r="M566" s="11">
        <v>658792.0</v>
      </c>
      <c r="N566" s="11" t="s">
        <v>1600</v>
      </c>
      <c r="P566" s="11">
        <v>0.0</v>
      </c>
      <c r="Q566" s="15">
        <v>0.0</v>
      </c>
      <c r="R566" s="22">
        <v>1.0</v>
      </c>
      <c r="S566">
        <f t="shared" si="1"/>
        <v>2011</v>
      </c>
      <c r="T566">
        <f t="shared" si="2"/>
        <v>8</v>
      </c>
      <c r="AF566" s="18"/>
      <c r="AG566" s="19"/>
      <c r="AL566" s="18"/>
      <c r="AM566" s="19"/>
    </row>
    <row r="567">
      <c r="A567" s="4" t="s">
        <v>1601</v>
      </c>
      <c r="B567" s="10">
        <v>40756.0</v>
      </c>
      <c r="C567" s="11" t="s">
        <v>239</v>
      </c>
      <c r="D567" s="11" t="s">
        <v>124</v>
      </c>
      <c r="E567" s="14" t="s">
        <v>52</v>
      </c>
      <c r="F567" s="11" t="s">
        <v>53</v>
      </c>
      <c r="G567" s="22" t="s">
        <v>436</v>
      </c>
      <c r="H567" s="14"/>
      <c r="I567" s="14"/>
      <c r="J567" s="11">
        <v>25.0</v>
      </c>
      <c r="K567" s="13">
        <v>41114.0</v>
      </c>
      <c r="L567" s="11">
        <f t="shared" ref="L567:L569" si="56">ROUND(((K567-B567)/365)*12)</f>
        <v>12</v>
      </c>
      <c r="M567" s="11">
        <v>547568.0</v>
      </c>
      <c r="N567" s="11">
        <v>5440.0</v>
      </c>
      <c r="P567" s="11">
        <v>19.0</v>
      </c>
      <c r="Q567" s="15">
        <v>19.333</v>
      </c>
      <c r="R567" s="22">
        <v>0.0</v>
      </c>
      <c r="S567">
        <f t="shared" si="1"/>
        <v>2011</v>
      </c>
      <c r="T567">
        <f t="shared" si="2"/>
        <v>8</v>
      </c>
      <c r="AF567" s="18"/>
      <c r="AG567" s="19"/>
      <c r="AL567" s="18"/>
      <c r="AM567" s="19"/>
    </row>
    <row r="568">
      <c r="A568" s="4" t="s">
        <v>447</v>
      </c>
      <c r="B568" s="10">
        <v>40756.0</v>
      </c>
      <c r="C568" s="11" t="s">
        <v>81</v>
      </c>
      <c r="D568" s="11" t="s">
        <v>91</v>
      </c>
      <c r="E568" s="14" t="s">
        <v>52</v>
      </c>
      <c r="F568" s="11" t="s">
        <v>53</v>
      </c>
      <c r="G568" s="14" t="s">
        <v>54</v>
      </c>
      <c r="H568" s="11" t="s">
        <v>597</v>
      </c>
      <c r="I568" s="11" t="s">
        <v>1306</v>
      </c>
      <c r="J568" s="11">
        <v>21.0</v>
      </c>
      <c r="K568" s="13">
        <v>41806.0</v>
      </c>
      <c r="L568" s="11">
        <f t="shared" si="56"/>
        <v>35</v>
      </c>
      <c r="M568" s="11">
        <v>607306.0</v>
      </c>
      <c r="N568" s="11" t="s">
        <v>1307</v>
      </c>
      <c r="P568" s="11">
        <v>0.0</v>
      </c>
      <c r="Q568" s="15">
        <v>0.0</v>
      </c>
      <c r="R568" s="22">
        <v>0.0</v>
      </c>
      <c r="S568">
        <f t="shared" si="1"/>
        <v>2011</v>
      </c>
      <c r="T568">
        <f t="shared" si="2"/>
        <v>8</v>
      </c>
      <c r="AF568" s="18"/>
      <c r="AG568" s="19"/>
      <c r="AL568" s="18"/>
      <c r="AM568" s="19"/>
    </row>
    <row r="569">
      <c r="A569" s="4" t="s">
        <v>1602</v>
      </c>
      <c r="B569" s="10">
        <v>40756.0</v>
      </c>
      <c r="C569" s="11" t="s">
        <v>103</v>
      </c>
      <c r="D569" s="11" t="s">
        <v>91</v>
      </c>
      <c r="E569" s="11" t="s">
        <v>52</v>
      </c>
      <c r="F569" s="11" t="s">
        <v>53</v>
      </c>
      <c r="G569" s="11" t="s">
        <v>54</v>
      </c>
      <c r="H569" s="11" t="s">
        <v>341</v>
      </c>
      <c r="I569" s="11"/>
      <c r="J569" s="11">
        <v>19.0</v>
      </c>
      <c r="K569" s="13">
        <v>41116.0</v>
      </c>
      <c r="L569" s="11">
        <f t="shared" si="56"/>
        <v>12</v>
      </c>
      <c r="M569" s="11">
        <v>595024.0</v>
      </c>
      <c r="N569" s="11" t="s">
        <v>1603</v>
      </c>
      <c r="P569" s="11">
        <v>0.0</v>
      </c>
      <c r="Q569" s="15">
        <v>0.0</v>
      </c>
      <c r="R569" s="11">
        <v>0.0</v>
      </c>
      <c r="S569">
        <f t="shared" si="1"/>
        <v>2011</v>
      </c>
      <c r="T569">
        <f t="shared" si="2"/>
        <v>8</v>
      </c>
      <c r="AF569" s="18"/>
      <c r="AG569" s="19"/>
      <c r="AL569" s="18"/>
      <c r="AM569" s="19"/>
    </row>
    <row r="570">
      <c r="A570" s="4" t="s">
        <v>1604</v>
      </c>
      <c r="B570" s="10">
        <v>40756.0</v>
      </c>
      <c r="C570" s="11" t="s">
        <v>125</v>
      </c>
      <c r="D570" s="11" t="s">
        <v>151</v>
      </c>
      <c r="E570" s="14" t="s">
        <v>52</v>
      </c>
      <c r="F570" s="11" t="s">
        <v>53</v>
      </c>
      <c r="G570" s="14" t="s">
        <v>54</v>
      </c>
      <c r="H570" s="11" t="s">
        <v>154</v>
      </c>
      <c r="I570" s="11" t="s">
        <v>1605</v>
      </c>
      <c r="J570" s="11">
        <v>20.0</v>
      </c>
      <c r="K570" s="13">
        <v>41806.0</v>
      </c>
      <c r="L570" s="14"/>
      <c r="M570" s="11">
        <v>657695.0</v>
      </c>
      <c r="N570" s="11" t="s">
        <v>1606</v>
      </c>
      <c r="P570" s="11">
        <v>0.0</v>
      </c>
      <c r="Q570" s="15">
        <v>0.0</v>
      </c>
      <c r="R570" s="22">
        <v>1.0</v>
      </c>
      <c r="S570">
        <f t="shared" si="1"/>
        <v>2011</v>
      </c>
      <c r="T570">
        <f t="shared" si="2"/>
        <v>8</v>
      </c>
      <c r="AF570" s="18"/>
      <c r="AG570" s="19"/>
      <c r="AL570" s="18"/>
      <c r="AM570" s="19"/>
    </row>
    <row r="571">
      <c r="A571" s="4" t="s">
        <v>1607</v>
      </c>
      <c r="B571" s="10">
        <v>40746.0</v>
      </c>
      <c r="C571" s="11" t="s">
        <v>90</v>
      </c>
      <c r="D571" s="11" t="s">
        <v>51</v>
      </c>
      <c r="E571" s="14" t="s">
        <v>52</v>
      </c>
      <c r="F571" s="11" t="s">
        <v>53</v>
      </c>
      <c r="G571" s="14" t="s">
        <v>54</v>
      </c>
      <c r="H571" s="11" t="s">
        <v>341</v>
      </c>
      <c r="I571" s="11" t="s">
        <v>1608</v>
      </c>
      <c r="J571" s="11">
        <v>29.0</v>
      </c>
      <c r="K571" s="13">
        <v>41179.0</v>
      </c>
      <c r="L571" s="11">
        <f t="shared" ref="L571:L576" si="57">ROUND(((K571-B571)/365)*12)</f>
        <v>14</v>
      </c>
      <c r="M571" s="11">
        <v>430911.0</v>
      </c>
      <c r="N571" s="11">
        <v>1902.0</v>
      </c>
      <c r="O571" s="4" t="s">
        <v>704</v>
      </c>
      <c r="P571" s="11">
        <v>77.0</v>
      </c>
      <c r="Q571" s="15">
        <v>71.333</v>
      </c>
      <c r="R571" s="22">
        <v>1.0</v>
      </c>
      <c r="S571">
        <f t="shared" si="1"/>
        <v>2011</v>
      </c>
      <c r="T571">
        <f t="shared" si="2"/>
        <v>7</v>
      </c>
      <c r="AF571" s="18"/>
      <c r="AG571" s="19"/>
      <c r="AL571" s="18"/>
      <c r="AM571" s="19"/>
    </row>
    <row r="572">
      <c r="A572" s="4" t="s">
        <v>1609</v>
      </c>
      <c r="B572" s="10">
        <v>40739.0</v>
      </c>
      <c r="C572" s="11" t="s">
        <v>81</v>
      </c>
      <c r="D572" s="11" t="s">
        <v>75</v>
      </c>
      <c r="E572" s="14" t="s">
        <v>52</v>
      </c>
      <c r="F572" s="11" t="s">
        <v>53</v>
      </c>
      <c r="G572" s="22" t="s">
        <v>265</v>
      </c>
      <c r="H572" s="14"/>
      <c r="I572" s="14"/>
      <c r="J572" s="11">
        <v>25.0</v>
      </c>
      <c r="K572" s="13">
        <v>41733.0</v>
      </c>
      <c r="L572" s="11">
        <f t="shared" si="57"/>
        <v>33</v>
      </c>
      <c r="M572" s="11">
        <v>467856.0</v>
      </c>
      <c r="N572" s="11">
        <v>2506.0</v>
      </c>
      <c r="P572" s="11">
        <v>0.0</v>
      </c>
      <c r="Q572" s="15">
        <v>0.0</v>
      </c>
      <c r="R572" s="22">
        <v>0.0</v>
      </c>
      <c r="S572">
        <f t="shared" si="1"/>
        <v>2011</v>
      </c>
      <c r="T572">
        <f t="shared" si="2"/>
        <v>7</v>
      </c>
      <c r="AF572" s="18"/>
      <c r="AG572" s="19"/>
      <c r="AL572" s="18"/>
      <c r="AM572" s="19"/>
    </row>
    <row r="573">
      <c r="A573" s="4" t="s">
        <v>1610</v>
      </c>
      <c r="B573" s="10">
        <v>40739.0</v>
      </c>
      <c r="C573" s="11" t="s">
        <v>711</v>
      </c>
      <c r="D573" s="11" t="s">
        <v>82</v>
      </c>
      <c r="E573" s="14" t="s">
        <v>52</v>
      </c>
      <c r="F573" s="11" t="s">
        <v>53</v>
      </c>
      <c r="G573" s="14" t="s">
        <v>54</v>
      </c>
      <c r="H573" s="11" t="s">
        <v>260</v>
      </c>
      <c r="I573" s="11" t="s">
        <v>898</v>
      </c>
      <c r="J573" s="11">
        <v>24.0</v>
      </c>
      <c r="K573" s="13">
        <v>41449.0</v>
      </c>
      <c r="L573" s="11">
        <f t="shared" si="57"/>
        <v>23</v>
      </c>
      <c r="M573" s="11">
        <v>518669.0</v>
      </c>
      <c r="N573" s="11" t="s">
        <v>1612</v>
      </c>
      <c r="P573" s="11">
        <v>0.0</v>
      </c>
      <c r="Q573" s="15">
        <v>0.0</v>
      </c>
      <c r="R573" s="22">
        <v>0.0</v>
      </c>
      <c r="S573">
        <f t="shared" si="1"/>
        <v>2011</v>
      </c>
      <c r="T573">
        <f t="shared" si="2"/>
        <v>7</v>
      </c>
      <c r="AF573" s="18"/>
      <c r="AG573" s="19"/>
      <c r="AL573" s="18"/>
      <c r="AM573" s="19"/>
    </row>
    <row r="574">
      <c r="A574" s="4" t="s">
        <v>1613</v>
      </c>
      <c r="B574" s="10">
        <v>40738.0</v>
      </c>
      <c r="C574" s="11" t="s">
        <v>97</v>
      </c>
      <c r="D574" s="11" t="s">
        <v>51</v>
      </c>
      <c r="E574" s="14" t="s">
        <v>52</v>
      </c>
      <c r="F574" s="11" t="s">
        <v>76</v>
      </c>
      <c r="G574" s="14" t="s">
        <v>54</v>
      </c>
      <c r="H574" s="11" t="s">
        <v>218</v>
      </c>
      <c r="I574" s="11"/>
      <c r="J574" s="11">
        <v>23.0</v>
      </c>
      <c r="K574" s="13">
        <v>41142.0</v>
      </c>
      <c r="L574" s="11">
        <f t="shared" si="57"/>
        <v>13</v>
      </c>
      <c r="M574" s="11">
        <v>474463.0</v>
      </c>
      <c r="N574" s="11">
        <v>8223.0</v>
      </c>
      <c r="O574" s="4" t="s">
        <v>59</v>
      </c>
      <c r="P574" s="11">
        <v>65.0</v>
      </c>
      <c r="Q574" s="15">
        <v>314.667</v>
      </c>
      <c r="R574" s="22">
        <v>1.0</v>
      </c>
      <c r="S574">
        <f t="shared" si="1"/>
        <v>2011</v>
      </c>
      <c r="T574">
        <f t="shared" si="2"/>
        <v>7</v>
      </c>
      <c r="U574" s="4"/>
      <c r="V574" s="4"/>
      <c r="W574" s="4"/>
      <c r="X574" s="4"/>
      <c r="Y574" s="4"/>
      <c r="Z574" s="4"/>
      <c r="AA574" s="4"/>
      <c r="AB574" s="4"/>
      <c r="AC574" s="4"/>
      <c r="AD574" s="4">
        <v>13.0</v>
      </c>
      <c r="AE574" s="4">
        <v>13.0</v>
      </c>
      <c r="AF574" s="54">
        <v>83.333</v>
      </c>
      <c r="AG574" s="55">
        <v>0.101</v>
      </c>
      <c r="AH574" s="4">
        <v>101.0</v>
      </c>
      <c r="AI574" s="4">
        <v>99.0</v>
      </c>
      <c r="AJ574" s="4">
        <v>6.0</v>
      </c>
      <c r="AK574" s="4">
        <v>6.0</v>
      </c>
      <c r="AL574" s="54">
        <v>35.0</v>
      </c>
      <c r="AM574" s="55">
        <v>0.131</v>
      </c>
      <c r="AN574" s="4">
        <v>65.0</v>
      </c>
      <c r="AO574" s="4">
        <v>66.0</v>
      </c>
    </row>
    <row r="575">
      <c r="A575" s="4" t="s">
        <v>570</v>
      </c>
      <c r="B575" s="10">
        <v>40736.0</v>
      </c>
      <c r="C575" s="11" t="s">
        <v>711</v>
      </c>
      <c r="D575" s="11" t="s">
        <v>124</v>
      </c>
      <c r="E575" s="14" t="s">
        <v>52</v>
      </c>
      <c r="F575" s="11" t="s">
        <v>76</v>
      </c>
      <c r="G575" s="14" t="s">
        <v>54</v>
      </c>
      <c r="H575" s="11" t="s">
        <v>92</v>
      </c>
      <c r="I575" s="11" t="s">
        <v>1614</v>
      </c>
      <c r="J575" s="11">
        <v>22.0</v>
      </c>
      <c r="K575" s="13">
        <v>41413.0</v>
      </c>
      <c r="L575" s="11">
        <f t="shared" si="57"/>
        <v>22</v>
      </c>
      <c r="M575" s="11">
        <v>542879.0</v>
      </c>
      <c r="N575" s="11" t="s">
        <v>1615</v>
      </c>
      <c r="P575" s="11">
        <v>0.0</v>
      </c>
      <c r="Q575" s="15">
        <v>0.0</v>
      </c>
      <c r="R575" s="22">
        <v>1.0</v>
      </c>
      <c r="S575">
        <f t="shared" si="1"/>
        <v>2011</v>
      </c>
      <c r="T575">
        <f t="shared" si="2"/>
        <v>7</v>
      </c>
      <c r="AF575" s="18"/>
      <c r="AG575" s="19"/>
      <c r="AL575" s="18"/>
      <c r="AM575" s="19"/>
    </row>
    <row r="576">
      <c r="A576" s="4" t="s">
        <v>1616</v>
      </c>
      <c r="B576" s="10">
        <v>40725.0</v>
      </c>
      <c r="C576" s="11" t="s">
        <v>270</v>
      </c>
      <c r="D576" s="11" t="s">
        <v>110</v>
      </c>
      <c r="E576" s="14" t="s">
        <v>52</v>
      </c>
      <c r="F576" s="11" t="s">
        <v>53</v>
      </c>
      <c r="G576" s="22" t="s">
        <v>83</v>
      </c>
      <c r="H576" s="14"/>
      <c r="I576" s="14"/>
      <c r="J576" s="11">
        <v>22.0</v>
      </c>
      <c r="K576" s="13">
        <v>41405.0</v>
      </c>
      <c r="L576" s="11">
        <f t="shared" si="57"/>
        <v>22</v>
      </c>
      <c r="M576" s="11">
        <v>503474.0</v>
      </c>
      <c r="N576" s="11" t="s">
        <v>1617</v>
      </c>
      <c r="P576" s="11">
        <v>0.0</v>
      </c>
      <c r="Q576" s="15">
        <v>0.0</v>
      </c>
      <c r="R576" s="22">
        <v>1.0</v>
      </c>
      <c r="S576">
        <f t="shared" si="1"/>
        <v>2011</v>
      </c>
      <c r="T576">
        <f t="shared" si="2"/>
        <v>7</v>
      </c>
      <c r="AF576" s="18"/>
      <c r="AG576" s="19"/>
      <c r="AL576" s="18"/>
      <c r="AM576" s="19"/>
    </row>
    <row r="577">
      <c r="A577" s="4" t="s">
        <v>1015</v>
      </c>
      <c r="B577" s="10">
        <v>40722.0</v>
      </c>
      <c r="C577" s="11" t="s">
        <v>138</v>
      </c>
      <c r="D577" s="11" t="s">
        <v>91</v>
      </c>
      <c r="E577" s="11" t="s">
        <v>52</v>
      </c>
      <c r="F577" s="11" t="s">
        <v>53</v>
      </c>
      <c r="G577" s="11" t="s">
        <v>54</v>
      </c>
      <c r="H577" s="11" t="s">
        <v>416</v>
      </c>
      <c r="I577" s="11" t="s">
        <v>1618</v>
      </c>
      <c r="J577" s="11">
        <v>23.0</v>
      </c>
      <c r="K577" s="13">
        <v>41078.0</v>
      </c>
      <c r="L577" s="14"/>
      <c r="M577" s="11">
        <v>571969.0</v>
      </c>
      <c r="N577" s="11">
        <v>11580.0</v>
      </c>
      <c r="P577" s="11">
        <v>3.0</v>
      </c>
      <c r="Q577" s="15">
        <v>3.0</v>
      </c>
      <c r="R577" s="22">
        <v>1.0</v>
      </c>
      <c r="S577">
        <f t="shared" si="1"/>
        <v>2011</v>
      </c>
      <c r="T577">
        <f t="shared" si="2"/>
        <v>6</v>
      </c>
      <c r="AF577" s="18"/>
      <c r="AG577" s="19"/>
      <c r="AL577" s="18"/>
      <c r="AM577" s="19"/>
    </row>
    <row r="578">
      <c r="A578" s="4" t="s">
        <v>1619</v>
      </c>
      <c r="B578" s="10">
        <v>40710.0</v>
      </c>
      <c r="C578" s="11" t="s">
        <v>138</v>
      </c>
      <c r="D578" s="11" t="s">
        <v>51</v>
      </c>
      <c r="E578" s="14" t="s">
        <v>52</v>
      </c>
      <c r="F578" s="11" t="s">
        <v>53</v>
      </c>
      <c r="G578" s="14" t="s">
        <v>54</v>
      </c>
      <c r="H578" s="11" t="s">
        <v>302</v>
      </c>
      <c r="I578" s="11" t="s">
        <v>302</v>
      </c>
      <c r="J578" s="11">
        <v>25.0</v>
      </c>
      <c r="K578" s="13">
        <v>41122.0</v>
      </c>
      <c r="L578" s="11">
        <f t="shared" ref="L578:L582" si="58">ROUND(((K578-B578)/365)*12)</f>
        <v>14</v>
      </c>
      <c r="M578" s="11">
        <v>501955.0</v>
      </c>
      <c r="N578" s="11">
        <v>2692.0</v>
      </c>
      <c r="O578" s="4" t="s">
        <v>59</v>
      </c>
      <c r="P578" s="11">
        <v>192.0</v>
      </c>
      <c r="Q578" s="15">
        <v>173.333</v>
      </c>
      <c r="R578" s="22">
        <v>1.0</v>
      </c>
      <c r="S578">
        <f t="shared" si="1"/>
        <v>2011</v>
      </c>
      <c r="T578">
        <f t="shared" si="2"/>
        <v>6</v>
      </c>
      <c r="AF578" s="18"/>
      <c r="AG578" s="19"/>
      <c r="AL578" s="18"/>
      <c r="AM578" s="19"/>
    </row>
    <row r="579">
      <c r="A579" s="4" t="s">
        <v>1620</v>
      </c>
      <c r="B579" s="10">
        <v>40704.0</v>
      </c>
      <c r="C579" s="11" t="s">
        <v>133</v>
      </c>
      <c r="D579" s="11" t="s">
        <v>51</v>
      </c>
      <c r="E579" s="14" t="s">
        <v>52</v>
      </c>
      <c r="F579" s="11" t="s">
        <v>53</v>
      </c>
      <c r="G579" s="22" t="s">
        <v>735</v>
      </c>
      <c r="H579" s="14"/>
      <c r="I579" s="14"/>
      <c r="J579" s="11">
        <v>30.0</v>
      </c>
      <c r="K579" s="13">
        <v>41069.0</v>
      </c>
      <c r="L579" s="11">
        <f t="shared" si="58"/>
        <v>12</v>
      </c>
      <c r="M579" s="11">
        <v>493137.0</v>
      </c>
      <c r="N579" s="11">
        <v>7775.0</v>
      </c>
      <c r="O579" s="4" t="s">
        <v>704</v>
      </c>
      <c r="P579" s="11">
        <v>52.0</v>
      </c>
      <c r="Q579" s="15">
        <v>167.667</v>
      </c>
      <c r="R579" s="22">
        <v>0.0</v>
      </c>
      <c r="S579">
        <f t="shared" si="1"/>
        <v>2011</v>
      </c>
      <c r="T579">
        <f t="shared" si="2"/>
        <v>6</v>
      </c>
      <c r="U579" s="4"/>
      <c r="V579" s="4"/>
      <c r="W579" s="4"/>
      <c r="X579" s="4"/>
      <c r="Y579" s="4"/>
      <c r="Z579" s="4"/>
      <c r="AA579" s="4"/>
      <c r="AB579" s="4"/>
      <c r="AC579" s="4"/>
      <c r="AD579" s="4">
        <v>8.0</v>
      </c>
      <c r="AE579" s="4">
        <v>7.0</v>
      </c>
      <c r="AF579" s="54">
        <v>37.333</v>
      </c>
      <c r="AG579" s="55">
        <v>0.018</v>
      </c>
      <c r="AH579" s="4">
        <v>125.0</v>
      </c>
      <c r="AI579" s="4">
        <v>124.0</v>
      </c>
      <c r="AJ579" s="4">
        <v>11.0</v>
      </c>
      <c r="AK579" s="4">
        <v>11.0</v>
      </c>
      <c r="AL579" s="54">
        <v>45.667</v>
      </c>
      <c r="AM579" s="55">
        <v>0.098</v>
      </c>
      <c r="AN579" s="4">
        <v>195.0</v>
      </c>
      <c r="AO579" s="4">
        <v>146.0</v>
      </c>
    </row>
    <row r="580">
      <c r="A580" s="4" t="s">
        <v>515</v>
      </c>
      <c r="B580" s="10">
        <v>40703.0</v>
      </c>
      <c r="C580" s="11" t="s">
        <v>133</v>
      </c>
      <c r="D580" s="11" t="s">
        <v>51</v>
      </c>
      <c r="E580" s="14" t="s">
        <v>52</v>
      </c>
      <c r="F580" s="11" t="s">
        <v>76</v>
      </c>
      <c r="G580" s="14" t="s">
        <v>54</v>
      </c>
      <c r="H580" s="11" t="s">
        <v>1621</v>
      </c>
      <c r="I580" s="11" t="s">
        <v>597</v>
      </c>
      <c r="J580" s="11">
        <v>31.0</v>
      </c>
      <c r="K580" s="13">
        <v>41028.0</v>
      </c>
      <c r="L580" s="11">
        <f t="shared" si="58"/>
        <v>11</v>
      </c>
      <c r="M580" s="11">
        <v>448179.0</v>
      </c>
      <c r="N580" s="11">
        <v>4806.0</v>
      </c>
      <c r="O580" s="4" t="s">
        <v>704</v>
      </c>
      <c r="P580" s="11">
        <v>128.0</v>
      </c>
      <c r="Q580" s="15">
        <v>203.0</v>
      </c>
      <c r="R580" s="22">
        <v>1.0</v>
      </c>
      <c r="S580">
        <f t="shared" si="1"/>
        <v>2011</v>
      </c>
      <c r="T580">
        <f t="shared" si="2"/>
        <v>6</v>
      </c>
      <c r="AF580" s="18"/>
      <c r="AG580" s="19"/>
      <c r="AL580" s="18"/>
      <c r="AM580" s="19"/>
    </row>
    <row r="581">
      <c r="A581" s="4" t="s">
        <v>1623</v>
      </c>
      <c r="B581" s="10">
        <v>40697.0</v>
      </c>
      <c r="C581" s="11" t="s">
        <v>382</v>
      </c>
      <c r="D581" s="11" t="s">
        <v>51</v>
      </c>
      <c r="E581" s="14" t="s">
        <v>52</v>
      </c>
      <c r="F581" s="11" t="s">
        <v>76</v>
      </c>
      <c r="G581" s="22" t="s">
        <v>582</v>
      </c>
      <c r="H581" s="14"/>
      <c r="I581" s="14"/>
      <c r="J581" s="11">
        <v>30.0</v>
      </c>
      <c r="K581" s="13">
        <v>41172.0</v>
      </c>
      <c r="L581" s="11">
        <f t="shared" si="58"/>
        <v>16</v>
      </c>
      <c r="M581" s="11">
        <v>407822.0</v>
      </c>
      <c r="N581" s="11">
        <v>2047.0</v>
      </c>
      <c r="O581" s="4" t="s">
        <v>704</v>
      </c>
      <c r="P581" s="11">
        <v>118.0</v>
      </c>
      <c r="Q581" s="15">
        <v>645.667</v>
      </c>
      <c r="R581" s="22">
        <v>1.0</v>
      </c>
      <c r="S581">
        <f t="shared" si="1"/>
        <v>2011</v>
      </c>
      <c r="T581">
        <f t="shared" si="2"/>
        <v>6</v>
      </c>
      <c r="U581" s="4"/>
      <c r="V581" s="4"/>
      <c r="W581" s="4"/>
      <c r="X581" s="4"/>
      <c r="Y581" s="4"/>
      <c r="Z581" s="4"/>
      <c r="AA581" s="4"/>
      <c r="AB581" s="4"/>
      <c r="AC581" s="4"/>
      <c r="AD581" s="4">
        <v>10.0</v>
      </c>
      <c r="AE581" s="4">
        <v>10.0</v>
      </c>
      <c r="AF581" s="54">
        <v>59.0</v>
      </c>
      <c r="AG581" s="55">
        <v>0.122</v>
      </c>
      <c r="AH581" s="4">
        <v>80.0</v>
      </c>
      <c r="AI581" s="4">
        <v>82.0</v>
      </c>
      <c r="AJ581" s="4">
        <v>3.0</v>
      </c>
      <c r="AK581" s="4">
        <v>3.0</v>
      </c>
      <c r="AL581" s="54">
        <v>10.667</v>
      </c>
      <c r="AM581" s="55">
        <v>0.076</v>
      </c>
      <c r="AN581" s="4">
        <v>201.0</v>
      </c>
      <c r="AO581" s="4">
        <v>205.0</v>
      </c>
    </row>
    <row r="582">
      <c r="A582" s="4" t="s">
        <v>1624</v>
      </c>
      <c r="B582" s="10">
        <v>40697.0</v>
      </c>
      <c r="C582" s="11" t="s">
        <v>229</v>
      </c>
      <c r="D582" s="11" t="s">
        <v>82</v>
      </c>
      <c r="E582" s="14" t="s">
        <v>52</v>
      </c>
      <c r="F582" s="11" t="s">
        <v>76</v>
      </c>
      <c r="G582" s="14" t="s">
        <v>54</v>
      </c>
      <c r="H582" s="11" t="s">
        <v>92</v>
      </c>
      <c r="I582" s="11"/>
      <c r="J582" s="11">
        <v>20.0</v>
      </c>
      <c r="K582" s="13">
        <v>41501.0</v>
      </c>
      <c r="L582" s="11">
        <f t="shared" si="58"/>
        <v>26</v>
      </c>
      <c r="M582" s="11">
        <v>543424.0</v>
      </c>
      <c r="N582" s="11">
        <v>8493.0</v>
      </c>
      <c r="O582" s="4" t="s">
        <v>704</v>
      </c>
      <c r="P582" s="11">
        <v>24.0</v>
      </c>
      <c r="Q582" s="15">
        <v>119.667</v>
      </c>
      <c r="R582" s="22">
        <v>1.0</v>
      </c>
      <c r="S582">
        <f t="shared" si="1"/>
        <v>2011</v>
      </c>
      <c r="T582">
        <f t="shared" si="2"/>
        <v>6</v>
      </c>
      <c r="AF582" s="18"/>
      <c r="AG582" s="19"/>
      <c r="AL582" s="18"/>
      <c r="AM582" s="19"/>
    </row>
    <row r="583">
      <c r="A583" s="4" t="s">
        <v>651</v>
      </c>
      <c r="B583" s="10">
        <v>40695.0</v>
      </c>
      <c r="C583" s="11" t="s">
        <v>179</v>
      </c>
      <c r="D583" s="11" t="s">
        <v>51</v>
      </c>
      <c r="E583" s="14" t="s">
        <v>52</v>
      </c>
      <c r="F583" s="11" t="s">
        <v>53</v>
      </c>
      <c r="G583" s="14" t="s">
        <v>54</v>
      </c>
      <c r="H583" s="11" t="s">
        <v>316</v>
      </c>
      <c r="I583" s="11" t="s">
        <v>1625</v>
      </c>
      <c r="J583" s="11">
        <v>23.0</v>
      </c>
      <c r="K583" s="14"/>
      <c r="L583" s="14"/>
      <c r="M583" s="11">
        <v>474226.0</v>
      </c>
      <c r="N583" s="11">
        <v>2534.0</v>
      </c>
      <c r="O583" s="4" t="s">
        <v>59</v>
      </c>
      <c r="P583" s="11">
        <v>0.0</v>
      </c>
      <c r="Q583" s="32">
        <v>0.0</v>
      </c>
      <c r="R583" s="22">
        <v>0.0</v>
      </c>
      <c r="S583">
        <f t="shared" si="1"/>
        <v>2011</v>
      </c>
      <c r="T583">
        <f t="shared" si="2"/>
        <v>6</v>
      </c>
      <c r="AF583" s="18"/>
      <c r="AG583" s="19"/>
      <c r="AL583" s="18"/>
      <c r="AM583" s="19"/>
    </row>
    <row r="584">
      <c r="A584" s="4" t="s">
        <v>1626</v>
      </c>
      <c r="B584" s="10">
        <v>40695.0</v>
      </c>
      <c r="C584" s="11" t="s">
        <v>350</v>
      </c>
      <c r="D584" s="11" t="s">
        <v>82</v>
      </c>
      <c r="E584" s="14" t="s">
        <v>52</v>
      </c>
      <c r="F584" s="11" t="s">
        <v>53</v>
      </c>
      <c r="G584" s="14" t="s">
        <v>54</v>
      </c>
      <c r="H584" s="11" t="s">
        <v>153</v>
      </c>
      <c r="I584" s="11" t="s">
        <v>1627</v>
      </c>
      <c r="J584" s="11">
        <v>22.0</v>
      </c>
      <c r="K584" s="13">
        <v>41381.0</v>
      </c>
      <c r="L584" s="11">
        <f t="shared" ref="L584:L586" si="59">ROUND(((K584-B584)/365)*12)</f>
        <v>23</v>
      </c>
      <c r="M584" s="11">
        <v>572257.0</v>
      </c>
      <c r="N584" s="11" t="s">
        <v>1628</v>
      </c>
      <c r="P584" s="11">
        <v>0.0</v>
      </c>
      <c r="Q584" s="15">
        <v>0.0</v>
      </c>
      <c r="R584" s="22">
        <v>0.0</v>
      </c>
      <c r="S584">
        <f t="shared" si="1"/>
        <v>2011</v>
      </c>
      <c r="T584">
        <f t="shared" si="2"/>
        <v>6</v>
      </c>
      <c r="AF584" s="18"/>
      <c r="AG584" s="19"/>
      <c r="AL584" s="18"/>
      <c r="AM584" s="19"/>
    </row>
    <row r="585">
      <c r="A585" s="4" t="s">
        <v>1629</v>
      </c>
      <c r="B585" s="10">
        <v>40694.0</v>
      </c>
      <c r="C585" s="11" t="s">
        <v>103</v>
      </c>
      <c r="D585" s="11" t="s">
        <v>82</v>
      </c>
      <c r="E585" s="14" t="s">
        <v>52</v>
      </c>
      <c r="F585" s="11" t="s">
        <v>53</v>
      </c>
      <c r="G585" s="11" t="s">
        <v>672</v>
      </c>
      <c r="H585" s="14"/>
      <c r="I585" s="14"/>
      <c r="J585" s="11">
        <v>25.0</v>
      </c>
      <c r="K585" s="13">
        <v>41033.0</v>
      </c>
      <c r="L585" s="11">
        <f t="shared" si="59"/>
        <v>11</v>
      </c>
      <c r="M585" s="11">
        <v>463752.0</v>
      </c>
      <c r="N585" s="11" t="s">
        <v>1630</v>
      </c>
      <c r="P585" s="11">
        <v>0.0</v>
      </c>
      <c r="Q585" s="15">
        <v>0.0</v>
      </c>
      <c r="R585" s="22">
        <v>0.0</v>
      </c>
      <c r="S585">
        <f t="shared" si="1"/>
        <v>2011</v>
      </c>
      <c r="T585">
        <f t="shared" si="2"/>
        <v>5</v>
      </c>
      <c r="AF585" s="18"/>
      <c r="AG585" s="19"/>
      <c r="AL585" s="18"/>
      <c r="AM585" s="19"/>
    </row>
    <row r="586">
      <c r="A586" s="4" t="s">
        <v>1631</v>
      </c>
      <c r="B586" s="10">
        <v>40679.0</v>
      </c>
      <c r="C586" s="11" t="s">
        <v>109</v>
      </c>
      <c r="D586" s="11" t="s">
        <v>51</v>
      </c>
      <c r="E586" s="14" t="s">
        <v>52</v>
      </c>
      <c r="F586" s="11" t="s">
        <v>53</v>
      </c>
      <c r="G586" s="22" t="s">
        <v>83</v>
      </c>
      <c r="H586" s="14"/>
      <c r="I586" s="14"/>
      <c r="J586" s="11">
        <v>21.0</v>
      </c>
      <c r="K586" s="13">
        <v>41159.0</v>
      </c>
      <c r="L586" s="11">
        <f t="shared" si="59"/>
        <v>16</v>
      </c>
      <c r="M586" s="11">
        <v>516769.0</v>
      </c>
      <c r="N586" s="11">
        <v>8476.0</v>
      </c>
      <c r="O586" s="4" t="s">
        <v>287</v>
      </c>
      <c r="P586" s="11">
        <v>80.0</v>
      </c>
      <c r="Q586" s="15">
        <v>144.333</v>
      </c>
      <c r="R586" s="11">
        <v>0.0</v>
      </c>
      <c r="S586">
        <f t="shared" si="1"/>
        <v>2011</v>
      </c>
      <c r="T586">
        <f t="shared" si="2"/>
        <v>5</v>
      </c>
      <c r="AF586" s="18"/>
      <c r="AG586" s="19"/>
      <c r="AL586" s="18"/>
      <c r="AM586" s="19"/>
    </row>
    <row r="587">
      <c r="A587" s="4" t="s">
        <v>1632</v>
      </c>
      <c r="B587" s="10">
        <v>40665.0</v>
      </c>
      <c r="C587" s="11" t="s">
        <v>142</v>
      </c>
      <c r="D587" s="11" t="s">
        <v>75</v>
      </c>
      <c r="E587" s="14" t="s">
        <v>52</v>
      </c>
      <c r="F587" s="11" t="s">
        <v>53</v>
      </c>
      <c r="G587" s="14" t="s">
        <v>54</v>
      </c>
      <c r="H587" s="11" t="s">
        <v>157</v>
      </c>
      <c r="I587" s="11" t="s">
        <v>202</v>
      </c>
      <c r="J587" s="11">
        <v>27.0</v>
      </c>
      <c r="K587" s="13"/>
      <c r="L587" s="11"/>
      <c r="M587" s="11">
        <v>447821.0</v>
      </c>
      <c r="N587" s="11" t="s">
        <v>1633</v>
      </c>
      <c r="P587" s="11">
        <v>0.0</v>
      </c>
      <c r="Q587" s="15">
        <v>0.0</v>
      </c>
      <c r="R587" s="22">
        <v>0.0</v>
      </c>
      <c r="S587">
        <f t="shared" si="1"/>
        <v>2011</v>
      </c>
      <c r="T587">
        <f t="shared" si="2"/>
        <v>5</v>
      </c>
      <c r="AF587" s="18"/>
      <c r="AG587" s="19"/>
      <c r="AL587" s="18"/>
      <c r="AM587" s="19"/>
    </row>
    <row r="588">
      <c r="A588" s="4" t="s">
        <v>1634</v>
      </c>
      <c r="B588" s="10">
        <v>40664.0</v>
      </c>
      <c r="C588" s="11" t="s">
        <v>159</v>
      </c>
      <c r="D588" s="11" t="s">
        <v>151</v>
      </c>
      <c r="E588" s="11" t="s">
        <v>52</v>
      </c>
      <c r="F588" s="11" t="s">
        <v>53</v>
      </c>
      <c r="G588" s="11" t="s">
        <v>54</v>
      </c>
      <c r="H588" s="11" t="s">
        <v>92</v>
      </c>
      <c r="I588" s="11" t="s">
        <v>93</v>
      </c>
      <c r="J588" s="11">
        <v>21.0</v>
      </c>
      <c r="K588" s="13">
        <v>41080.0</v>
      </c>
      <c r="L588" s="11">
        <f t="shared" ref="L588:L589" si="60">ROUND(((K588-B588)/365)*12)</f>
        <v>14</v>
      </c>
      <c r="M588" s="11">
        <v>605477.0</v>
      </c>
      <c r="N588" s="11">
        <v>13604.0</v>
      </c>
      <c r="P588" s="11">
        <v>12.0</v>
      </c>
      <c r="Q588" s="15">
        <v>13.0</v>
      </c>
      <c r="R588" s="22">
        <v>1.0</v>
      </c>
      <c r="S588">
        <f t="shared" si="1"/>
        <v>2011</v>
      </c>
      <c r="T588">
        <f t="shared" si="2"/>
        <v>5</v>
      </c>
      <c r="AF588" s="18"/>
      <c r="AG588" s="19"/>
      <c r="AL588" s="18"/>
      <c r="AM588" s="19"/>
    </row>
    <row r="589">
      <c r="A589" s="4" t="s">
        <v>1635</v>
      </c>
      <c r="B589" s="10">
        <v>40664.0</v>
      </c>
      <c r="C589" s="11" t="s">
        <v>108</v>
      </c>
      <c r="D589" s="11" t="s">
        <v>91</v>
      </c>
      <c r="E589" s="14" t="s">
        <v>52</v>
      </c>
      <c r="F589" s="11" t="s">
        <v>53</v>
      </c>
      <c r="G589" s="14" t="s">
        <v>54</v>
      </c>
      <c r="H589" s="11" t="s">
        <v>99</v>
      </c>
      <c r="I589" s="11"/>
      <c r="J589" s="11">
        <v>19.0</v>
      </c>
      <c r="K589" s="13">
        <v>41030.0</v>
      </c>
      <c r="L589" s="11">
        <f t="shared" si="60"/>
        <v>12</v>
      </c>
      <c r="M589" s="11">
        <v>592135.0</v>
      </c>
      <c r="N589" s="11">
        <v>13360.0</v>
      </c>
      <c r="P589" s="11">
        <v>96.0</v>
      </c>
      <c r="Q589" s="15">
        <v>93.0</v>
      </c>
      <c r="R589" s="22">
        <v>1.0</v>
      </c>
      <c r="S589">
        <f t="shared" si="1"/>
        <v>2011</v>
      </c>
      <c r="T589">
        <f t="shared" si="2"/>
        <v>5</v>
      </c>
      <c r="AF589" s="18"/>
      <c r="AG589" s="19"/>
      <c r="AL589" s="18"/>
      <c r="AM589" s="19"/>
    </row>
    <row r="590">
      <c r="A590" s="4" t="s">
        <v>1637</v>
      </c>
      <c r="B590" s="10">
        <v>40664.0</v>
      </c>
      <c r="C590" s="11" t="s">
        <v>138</v>
      </c>
      <c r="D590" s="11" t="s">
        <v>170</v>
      </c>
      <c r="E590" s="14" t="s">
        <v>52</v>
      </c>
      <c r="F590" s="11" t="s">
        <v>76</v>
      </c>
      <c r="G590" s="14" t="s">
        <v>54</v>
      </c>
      <c r="H590" s="11" t="s">
        <v>337</v>
      </c>
      <c r="I590" s="11" t="s">
        <v>1092</v>
      </c>
      <c r="J590" s="11">
        <v>18.0</v>
      </c>
      <c r="K590" s="13">
        <v>41846.0</v>
      </c>
      <c r="L590" s="14"/>
      <c r="M590" s="11">
        <v>595912.0</v>
      </c>
      <c r="N590" s="11" t="s">
        <v>1638</v>
      </c>
      <c r="P590" s="11">
        <v>0.0</v>
      </c>
      <c r="Q590" s="15">
        <v>0.0</v>
      </c>
      <c r="R590" s="11">
        <v>0.0</v>
      </c>
      <c r="S590">
        <f t="shared" si="1"/>
        <v>2011</v>
      </c>
      <c r="T590">
        <f t="shared" si="2"/>
        <v>5</v>
      </c>
      <c r="AF590" s="18"/>
      <c r="AG590" s="19"/>
      <c r="AL590" s="18"/>
      <c r="AM590" s="19"/>
    </row>
    <row r="591">
      <c r="A591" s="4" t="s">
        <v>1639</v>
      </c>
      <c r="B591" s="10">
        <v>40664.0</v>
      </c>
      <c r="C591" s="11" t="s">
        <v>270</v>
      </c>
      <c r="D591" s="11" t="s">
        <v>151</v>
      </c>
      <c r="E591" s="11" t="s">
        <v>52</v>
      </c>
      <c r="F591" s="11" t="s">
        <v>76</v>
      </c>
      <c r="G591" s="11" t="s">
        <v>54</v>
      </c>
      <c r="H591" s="11" t="s">
        <v>92</v>
      </c>
      <c r="I591" s="11" t="s">
        <v>1372</v>
      </c>
      <c r="J591" s="11">
        <v>22.0</v>
      </c>
      <c r="K591" s="13">
        <v>41102.0</v>
      </c>
      <c r="L591" s="11">
        <f t="shared" ref="L591:L593" si="61">ROUND(((K591-B591)/365)*12)</f>
        <v>14</v>
      </c>
      <c r="M591" s="11">
        <v>605350.0</v>
      </c>
      <c r="N591" s="11" t="s">
        <v>1640</v>
      </c>
      <c r="P591" s="11">
        <v>0.0</v>
      </c>
      <c r="Q591" s="15">
        <v>0.0</v>
      </c>
      <c r="R591" s="22">
        <v>1.0</v>
      </c>
      <c r="S591">
        <f t="shared" si="1"/>
        <v>2011</v>
      </c>
      <c r="T591">
        <f t="shared" si="2"/>
        <v>5</v>
      </c>
      <c r="AF591" s="18"/>
      <c r="AG591" s="19"/>
      <c r="AL591" s="18"/>
      <c r="AM591" s="19"/>
    </row>
    <row r="592">
      <c r="A592" s="4" t="s">
        <v>1641</v>
      </c>
      <c r="B592" s="10">
        <v>40664.0</v>
      </c>
      <c r="C592" s="11" t="s">
        <v>156</v>
      </c>
      <c r="D592" s="11" t="s">
        <v>82</v>
      </c>
      <c r="E592" s="14" t="s">
        <v>52</v>
      </c>
      <c r="F592" s="11" t="s">
        <v>53</v>
      </c>
      <c r="G592" s="14" t="s">
        <v>54</v>
      </c>
      <c r="H592" s="11" t="s">
        <v>305</v>
      </c>
      <c r="I592" s="11" t="s">
        <v>450</v>
      </c>
      <c r="J592" s="11">
        <v>24.0</v>
      </c>
      <c r="K592" s="13">
        <v>41083.0</v>
      </c>
      <c r="L592" s="11">
        <f t="shared" si="61"/>
        <v>14</v>
      </c>
      <c r="M592" s="11">
        <v>543520.0</v>
      </c>
      <c r="N592" s="11" t="s">
        <v>1642</v>
      </c>
      <c r="P592" s="11">
        <v>0.0</v>
      </c>
      <c r="Q592" s="15">
        <v>0.0</v>
      </c>
      <c r="R592" s="22">
        <v>1.0</v>
      </c>
      <c r="S592">
        <f t="shared" si="1"/>
        <v>2011</v>
      </c>
      <c r="T592">
        <f t="shared" si="2"/>
        <v>5</v>
      </c>
      <c r="AF592" s="18"/>
      <c r="AG592" s="19"/>
      <c r="AL592" s="18"/>
      <c r="AM592" s="19"/>
    </row>
    <row r="593">
      <c r="A593" s="4" t="s">
        <v>1643</v>
      </c>
      <c r="B593" s="10">
        <v>40640.0</v>
      </c>
      <c r="C593" s="11" t="s">
        <v>90</v>
      </c>
      <c r="D593" s="11" t="s">
        <v>82</v>
      </c>
      <c r="E593" s="11" t="s">
        <v>52</v>
      </c>
      <c r="F593" s="11" t="s">
        <v>76</v>
      </c>
      <c r="G593" s="11" t="s">
        <v>54</v>
      </c>
      <c r="H593" s="11" t="s">
        <v>153</v>
      </c>
      <c r="I593" s="11"/>
      <c r="J593" s="11">
        <v>26.0</v>
      </c>
      <c r="K593" s="13">
        <v>41369.0</v>
      </c>
      <c r="L593" s="11">
        <f t="shared" si="61"/>
        <v>24</v>
      </c>
      <c r="M593" s="11">
        <v>502108.0</v>
      </c>
      <c r="N593" s="11" t="s">
        <v>1644</v>
      </c>
      <c r="P593" s="11">
        <v>0.0</v>
      </c>
      <c r="Q593" s="15">
        <v>0.0</v>
      </c>
      <c r="R593" s="22">
        <v>1.0</v>
      </c>
      <c r="S593">
        <f t="shared" si="1"/>
        <v>2011</v>
      </c>
      <c r="T593">
        <f t="shared" si="2"/>
        <v>4</v>
      </c>
      <c r="AF593" s="18"/>
      <c r="AG593" s="19"/>
      <c r="AL593" s="18"/>
      <c r="AM593" s="19"/>
    </row>
    <row r="594">
      <c r="A594" s="4" t="s">
        <v>338</v>
      </c>
      <c r="B594" s="10">
        <v>40634.0</v>
      </c>
      <c r="C594" s="11" t="s">
        <v>169</v>
      </c>
      <c r="D594" s="11" t="s">
        <v>151</v>
      </c>
      <c r="E594" s="11" t="s">
        <v>52</v>
      </c>
      <c r="F594" s="11" t="s">
        <v>53</v>
      </c>
      <c r="G594" s="11" t="s">
        <v>54</v>
      </c>
      <c r="H594" s="11" t="s">
        <v>92</v>
      </c>
      <c r="I594" s="11" t="s">
        <v>770</v>
      </c>
      <c r="J594" s="11">
        <v>21.0</v>
      </c>
      <c r="K594" s="13">
        <v>41446.0</v>
      </c>
      <c r="L594" s="11"/>
      <c r="M594" s="11">
        <v>642121.0</v>
      </c>
      <c r="N594" s="11" t="s">
        <v>771</v>
      </c>
      <c r="P594" s="11">
        <v>0.0</v>
      </c>
      <c r="Q594" s="15">
        <v>0.0</v>
      </c>
      <c r="R594" s="22">
        <v>1.0</v>
      </c>
      <c r="S594">
        <f t="shared" si="1"/>
        <v>2011</v>
      </c>
      <c r="T594">
        <f t="shared" si="2"/>
        <v>4</v>
      </c>
      <c r="AF594" s="18"/>
      <c r="AG594" s="19"/>
      <c r="AL594" s="18"/>
      <c r="AM594" s="19"/>
    </row>
    <row r="595">
      <c r="A595" s="4" t="s">
        <v>1645</v>
      </c>
      <c r="B595" s="10">
        <v>40634.0</v>
      </c>
      <c r="C595" s="11" t="s">
        <v>114</v>
      </c>
      <c r="D595" s="11" t="s">
        <v>151</v>
      </c>
      <c r="E595" s="11" t="s">
        <v>52</v>
      </c>
      <c r="F595" s="11" t="s">
        <v>53</v>
      </c>
      <c r="G595" s="11" t="s">
        <v>54</v>
      </c>
      <c r="H595" s="11" t="s">
        <v>291</v>
      </c>
      <c r="I595" s="11" t="s">
        <v>1646</v>
      </c>
      <c r="J595" s="11">
        <v>19.0</v>
      </c>
      <c r="K595" s="13">
        <v>41448.0</v>
      </c>
      <c r="L595" s="11"/>
      <c r="M595" s="11">
        <v>642159.0</v>
      </c>
      <c r="N595" s="11" t="s">
        <v>1647</v>
      </c>
      <c r="O595" s="4"/>
      <c r="P595" s="11">
        <v>0.0</v>
      </c>
      <c r="Q595" s="15">
        <v>0.0</v>
      </c>
      <c r="R595" s="22">
        <v>1.0</v>
      </c>
      <c r="S595">
        <f t="shared" si="1"/>
        <v>2011</v>
      </c>
      <c r="T595">
        <f t="shared" si="2"/>
        <v>4</v>
      </c>
      <c r="AF595" s="18"/>
      <c r="AG595" s="19"/>
      <c r="AL595" s="18"/>
      <c r="AM595" s="19"/>
    </row>
    <row r="596">
      <c r="A596" s="4" t="s">
        <v>1648</v>
      </c>
      <c r="B596" s="10">
        <v>40634.0</v>
      </c>
      <c r="C596" s="11" t="s">
        <v>123</v>
      </c>
      <c r="D596" s="11" t="s">
        <v>91</v>
      </c>
      <c r="E596" s="11" t="s">
        <v>52</v>
      </c>
      <c r="F596" s="11" t="s">
        <v>53</v>
      </c>
      <c r="G596" s="11" t="s">
        <v>54</v>
      </c>
      <c r="H596" s="11" t="s">
        <v>157</v>
      </c>
      <c r="I596" s="11" t="s">
        <v>1649</v>
      </c>
      <c r="J596" s="11">
        <v>22.0</v>
      </c>
      <c r="K596" s="13">
        <v>41080.0</v>
      </c>
      <c r="L596" s="11">
        <f t="shared" ref="L596:L597" si="62">ROUND(((K596-B596)/365)*12)</f>
        <v>15</v>
      </c>
      <c r="M596" s="11">
        <v>592324.0</v>
      </c>
      <c r="N596" s="11" t="s">
        <v>1650</v>
      </c>
      <c r="O596" s="4" t="s">
        <v>1651</v>
      </c>
      <c r="P596" s="11">
        <v>0.0</v>
      </c>
      <c r="Q596" s="15">
        <v>0.0</v>
      </c>
      <c r="R596" s="11">
        <v>0.0</v>
      </c>
      <c r="S596">
        <f t="shared" si="1"/>
        <v>2011</v>
      </c>
      <c r="T596">
        <f t="shared" si="2"/>
        <v>4</v>
      </c>
      <c r="AF596" s="18"/>
      <c r="AG596" s="19"/>
      <c r="AL596" s="18"/>
      <c r="AM596" s="19"/>
    </row>
    <row r="597">
      <c r="A597" s="4" t="s">
        <v>1652</v>
      </c>
      <c r="B597" s="10">
        <v>40610.0</v>
      </c>
      <c r="C597" s="11" t="s">
        <v>96</v>
      </c>
      <c r="D597" s="11" t="s">
        <v>82</v>
      </c>
      <c r="E597" s="14" t="s">
        <v>52</v>
      </c>
      <c r="F597" s="11" t="s">
        <v>53</v>
      </c>
      <c r="G597" s="14" t="s">
        <v>54</v>
      </c>
      <c r="H597" s="11" t="s">
        <v>92</v>
      </c>
      <c r="I597" s="11" t="s">
        <v>139</v>
      </c>
      <c r="J597" s="11">
        <v>24.0</v>
      </c>
      <c r="K597" s="13">
        <v>41004.0</v>
      </c>
      <c r="L597" s="11">
        <f t="shared" si="62"/>
        <v>13</v>
      </c>
      <c r="M597" s="11">
        <v>543236.0</v>
      </c>
      <c r="N597" s="11" t="s">
        <v>1654</v>
      </c>
      <c r="P597" s="11">
        <v>0.0</v>
      </c>
      <c r="Q597" s="15">
        <v>0.0</v>
      </c>
      <c r="R597" s="11">
        <v>0.0</v>
      </c>
      <c r="S597">
        <f t="shared" si="1"/>
        <v>2011</v>
      </c>
      <c r="T597">
        <f t="shared" si="2"/>
        <v>3</v>
      </c>
      <c r="AF597" s="18"/>
      <c r="AG597" s="19"/>
      <c r="AL597" s="18"/>
      <c r="AM597" s="19"/>
    </row>
    <row r="598">
      <c r="A598" s="4" t="s">
        <v>1655</v>
      </c>
      <c r="B598" s="10">
        <v>40604.0</v>
      </c>
      <c r="C598" s="11" t="s">
        <v>209</v>
      </c>
      <c r="D598" s="11" t="s">
        <v>51</v>
      </c>
      <c r="E598" s="14" t="s">
        <v>52</v>
      </c>
      <c r="F598" s="11" t="s">
        <v>53</v>
      </c>
      <c r="G598" s="14" t="s">
        <v>54</v>
      </c>
      <c r="H598" s="11" t="s">
        <v>416</v>
      </c>
      <c r="I598" s="11" t="s">
        <v>1656</v>
      </c>
      <c r="J598" s="11">
        <v>28.0</v>
      </c>
      <c r="K598" s="14"/>
      <c r="L598" s="14"/>
      <c r="M598" s="11">
        <v>448592.0</v>
      </c>
      <c r="N598" s="11">
        <v>7613.0</v>
      </c>
      <c r="O598" s="4" t="s">
        <v>817</v>
      </c>
      <c r="P598" s="11">
        <v>0.0</v>
      </c>
      <c r="Q598" s="32">
        <v>0.0</v>
      </c>
      <c r="R598" s="22">
        <v>0.0</v>
      </c>
      <c r="S598">
        <f t="shared" si="1"/>
        <v>2011</v>
      </c>
      <c r="T598">
        <f t="shared" si="2"/>
        <v>3</v>
      </c>
      <c r="AF598" s="18"/>
      <c r="AG598" s="19"/>
      <c r="AL598" s="18"/>
      <c r="AM598" s="19"/>
    </row>
    <row r="599">
      <c r="A599" s="4" t="s">
        <v>1657</v>
      </c>
      <c r="B599" s="10">
        <v>40603.0</v>
      </c>
      <c r="C599" s="11" t="s">
        <v>81</v>
      </c>
      <c r="D599" s="11" t="s">
        <v>151</v>
      </c>
      <c r="E599" s="14" t="s">
        <v>52</v>
      </c>
      <c r="F599" s="11" t="s">
        <v>76</v>
      </c>
      <c r="G599" s="14" t="s">
        <v>54</v>
      </c>
      <c r="H599" s="11" t="s">
        <v>279</v>
      </c>
      <c r="I599" s="11" t="s">
        <v>643</v>
      </c>
      <c r="J599" s="11">
        <v>21.0</v>
      </c>
      <c r="K599" s="13">
        <v>41080.0</v>
      </c>
      <c r="L599" s="11">
        <f>ROUND(((K599-B599)/365)*12)</f>
        <v>16</v>
      </c>
      <c r="M599" s="11">
        <v>543056.0</v>
      </c>
      <c r="N599" s="11">
        <v>13293.0</v>
      </c>
      <c r="P599" s="11">
        <v>54.0</v>
      </c>
      <c r="Q599" s="15">
        <v>68.0</v>
      </c>
      <c r="R599" s="22">
        <v>1.0</v>
      </c>
      <c r="S599">
        <f t="shared" si="1"/>
        <v>2011</v>
      </c>
      <c r="T599">
        <f t="shared" si="2"/>
        <v>3</v>
      </c>
      <c r="AF599" s="18"/>
      <c r="AG599" s="19"/>
      <c r="AL599" s="18"/>
      <c r="AM599" s="19"/>
    </row>
    <row r="600">
      <c r="A600" s="4" t="s">
        <v>1658</v>
      </c>
      <c r="B600" s="10">
        <v>40603.0</v>
      </c>
      <c r="C600" s="11" t="s">
        <v>123</v>
      </c>
      <c r="D600" s="11" t="s">
        <v>151</v>
      </c>
      <c r="E600" s="14" t="s">
        <v>52</v>
      </c>
      <c r="F600" s="11" t="s">
        <v>53</v>
      </c>
      <c r="G600" s="14" t="s">
        <v>54</v>
      </c>
      <c r="H600" s="11" t="s">
        <v>126</v>
      </c>
      <c r="I600" s="11" t="s">
        <v>1659</v>
      </c>
      <c r="J600" s="11">
        <v>19.0</v>
      </c>
      <c r="K600" s="13">
        <v>41809.0</v>
      </c>
      <c r="L600" s="14"/>
      <c r="M600" s="11">
        <v>592492.0</v>
      </c>
      <c r="N600" s="11" t="s">
        <v>1660</v>
      </c>
      <c r="P600" s="11">
        <v>0.0</v>
      </c>
      <c r="Q600" s="15">
        <v>0.0</v>
      </c>
      <c r="R600" s="22">
        <v>1.0</v>
      </c>
      <c r="S600">
        <f t="shared" si="1"/>
        <v>2011</v>
      </c>
      <c r="T600">
        <f t="shared" si="2"/>
        <v>3</v>
      </c>
      <c r="AF600" s="18"/>
      <c r="AG600" s="19"/>
      <c r="AL600" s="18"/>
      <c r="AM600" s="19"/>
    </row>
    <row r="601">
      <c r="A601" s="4" t="s">
        <v>1661</v>
      </c>
      <c r="B601" s="10">
        <v>40602.0</v>
      </c>
      <c r="C601" s="11" t="s">
        <v>156</v>
      </c>
      <c r="D601" s="11" t="s">
        <v>51</v>
      </c>
      <c r="E601" s="14" t="s">
        <v>52</v>
      </c>
      <c r="F601" s="11" t="s">
        <v>53</v>
      </c>
      <c r="G601" s="14" t="s">
        <v>54</v>
      </c>
      <c r="H601" s="11" t="s">
        <v>99</v>
      </c>
      <c r="I601" s="11"/>
      <c r="J601" s="11">
        <v>29.0</v>
      </c>
      <c r="K601" s="13">
        <v>41006.0</v>
      </c>
      <c r="L601" s="11">
        <f>ROUND(((K601-B601)/365)*12)</f>
        <v>13</v>
      </c>
      <c r="M601" s="11">
        <v>425794.0</v>
      </c>
      <c r="N601" s="11">
        <v>2233.0</v>
      </c>
      <c r="O601" s="4" t="s">
        <v>404</v>
      </c>
      <c r="P601" s="11">
        <v>138.0</v>
      </c>
      <c r="Q601" s="15">
        <v>894.0</v>
      </c>
      <c r="R601" s="22">
        <v>1.0</v>
      </c>
      <c r="S601">
        <f t="shared" si="1"/>
        <v>2011</v>
      </c>
      <c r="T601">
        <f t="shared" si="2"/>
        <v>2</v>
      </c>
      <c r="U601" s="4"/>
      <c r="V601" s="4"/>
      <c r="W601" s="4"/>
      <c r="X601" s="4"/>
      <c r="Y601" s="4"/>
      <c r="Z601" s="4"/>
      <c r="AA601" s="4"/>
      <c r="AB601" s="4"/>
      <c r="AC601" s="4"/>
      <c r="AD601" s="4">
        <v>33.0</v>
      </c>
      <c r="AE601" s="4">
        <v>33.0</v>
      </c>
      <c r="AF601" s="54">
        <v>230.333</v>
      </c>
      <c r="AG601" s="55">
        <v>0.173</v>
      </c>
      <c r="AH601" s="4">
        <v>62.0</v>
      </c>
      <c r="AI601" s="4">
        <v>73.0</v>
      </c>
      <c r="AJ601" s="4">
        <v>32.0</v>
      </c>
      <c r="AK601" s="4">
        <v>32.0</v>
      </c>
      <c r="AL601" s="54">
        <v>198.667</v>
      </c>
      <c r="AM601" s="55">
        <v>0.159</v>
      </c>
      <c r="AN601" s="4">
        <v>102.0</v>
      </c>
      <c r="AO601" s="4">
        <v>80.0</v>
      </c>
    </row>
    <row r="602">
      <c r="A602" s="4" t="s">
        <v>1662</v>
      </c>
      <c r="B602" s="10">
        <v>40544.0</v>
      </c>
      <c r="C602" s="11" t="s">
        <v>350</v>
      </c>
      <c r="D602" s="11" t="s">
        <v>75</v>
      </c>
      <c r="E602" s="11" t="s">
        <v>52</v>
      </c>
      <c r="F602" s="11" t="s">
        <v>53</v>
      </c>
      <c r="G602" s="11" t="s">
        <v>54</v>
      </c>
      <c r="H602" s="11" t="s">
        <v>344</v>
      </c>
      <c r="I602" s="11" t="s">
        <v>1663</v>
      </c>
      <c r="J602" s="11">
        <v>25.0</v>
      </c>
      <c r="K602" s="13">
        <v>41421.0</v>
      </c>
      <c r="L602" s="14"/>
      <c r="M602" s="11">
        <v>489295.0</v>
      </c>
      <c r="N602" s="11">
        <v>3599.0</v>
      </c>
      <c r="P602" s="11">
        <v>71.0</v>
      </c>
      <c r="Q602" s="15">
        <v>63.667</v>
      </c>
      <c r="R602" s="22">
        <v>1.0</v>
      </c>
      <c r="S602">
        <f t="shared" si="1"/>
        <v>2011</v>
      </c>
      <c r="T602">
        <f t="shared" si="2"/>
        <v>1</v>
      </c>
      <c r="AF602" s="18"/>
      <c r="AG602" s="19"/>
      <c r="AL602" s="18"/>
      <c r="AM602" s="19"/>
    </row>
    <row r="603">
      <c r="A603" s="4" t="s">
        <v>1664</v>
      </c>
      <c r="B603" s="10">
        <v>40544.0</v>
      </c>
      <c r="C603" s="11" t="s">
        <v>259</v>
      </c>
      <c r="D603" s="11" t="s">
        <v>151</v>
      </c>
      <c r="E603" s="11" t="s">
        <v>52</v>
      </c>
      <c r="F603" s="11" t="s">
        <v>53</v>
      </c>
      <c r="G603" s="11" t="s">
        <v>54</v>
      </c>
      <c r="H603" s="11" t="s">
        <v>416</v>
      </c>
      <c r="I603" s="11" t="s">
        <v>1665</v>
      </c>
      <c r="J603" s="11">
        <v>21.0</v>
      </c>
      <c r="K603" s="13">
        <v>41086.0</v>
      </c>
      <c r="L603" s="14"/>
      <c r="M603" s="11">
        <v>605344.0</v>
      </c>
      <c r="N603" s="11" t="s">
        <v>1666</v>
      </c>
      <c r="P603" s="11">
        <v>0.0</v>
      </c>
      <c r="Q603" s="15">
        <v>0.0</v>
      </c>
      <c r="R603" s="22">
        <v>1.0</v>
      </c>
      <c r="S603">
        <f t="shared" si="1"/>
        <v>2011</v>
      </c>
      <c r="T603">
        <f t="shared" si="2"/>
        <v>1</v>
      </c>
      <c r="AF603" s="18"/>
      <c r="AG603" s="19"/>
      <c r="AL603" s="18"/>
      <c r="AM603" s="19"/>
    </row>
    <row r="604">
      <c r="A604" s="4" t="s">
        <v>1667</v>
      </c>
      <c r="B604" s="10">
        <v>40544.0</v>
      </c>
      <c r="C604" s="11" t="s">
        <v>259</v>
      </c>
      <c r="D604" s="11" t="s">
        <v>91</v>
      </c>
      <c r="E604" s="14" t="s">
        <v>52</v>
      </c>
      <c r="F604" s="11" t="s">
        <v>53</v>
      </c>
      <c r="G604" s="14" t="s">
        <v>54</v>
      </c>
      <c r="H604" s="11" t="s">
        <v>476</v>
      </c>
      <c r="I604" s="11" t="s">
        <v>909</v>
      </c>
      <c r="J604" s="11">
        <v>22.0</v>
      </c>
      <c r="K604" s="13">
        <v>41079.0</v>
      </c>
      <c r="L604" s="14"/>
      <c r="M604" s="11">
        <v>592702.0</v>
      </c>
      <c r="N604" s="11" t="s">
        <v>1668</v>
      </c>
      <c r="P604" s="11">
        <v>0.0</v>
      </c>
      <c r="Q604" s="15">
        <v>0.0</v>
      </c>
      <c r="R604" s="22">
        <v>0.0</v>
      </c>
      <c r="S604">
        <f t="shared" si="1"/>
        <v>2011</v>
      </c>
      <c r="T604">
        <f t="shared" si="2"/>
        <v>1</v>
      </c>
      <c r="AF604" s="18"/>
      <c r="AG604" s="19"/>
      <c r="AL604" s="18"/>
      <c r="AM604" s="19"/>
    </row>
    <row r="605">
      <c r="A605" s="4" t="s">
        <v>1669</v>
      </c>
      <c r="B605" s="10">
        <v>40544.0</v>
      </c>
      <c r="C605" s="11" t="s">
        <v>119</v>
      </c>
      <c r="D605" s="11" t="s">
        <v>170</v>
      </c>
      <c r="E605" s="14" t="s">
        <v>52</v>
      </c>
      <c r="F605" s="11" t="s">
        <v>53</v>
      </c>
      <c r="G605" s="14" t="s">
        <v>54</v>
      </c>
      <c r="H605" s="11" t="s">
        <v>230</v>
      </c>
      <c r="I605" s="11"/>
      <c r="J605" s="11">
        <v>19.0</v>
      </c>
      <c r="K605" s="13">
        <v>41082.0</v>
      </c>
      <c r="L605" s="14"/>
      <c r="M605" s="11">
        <v>592219.0</v>
      </c>
      <c r="N605" s="11" t="s">
        <v>1670</v>
      </c>
      <c r="P605" s="11">
        <v>0.0</v>
      </c>
      <c r="Q605" s="15">
        <v>0.0</v>
      </c>
      <c r="R605" s="22">
        <v>1.0</v>
      </c>
      <c r="S605">
        <f t="shared" si="1"/>
        <v>2011</v>
      </c>
      <c r="T605">
        <f t="shared" si="2"/>
        <v>1</v>
      </c>
      <c r="AF605" s="18"/>
      <c r="AG605" s="19"/>
      <c r="AL605" s="18"/>
      <c r="AM605" s="19"/>
    </row>
    <row r="606">
      <c r="A606" s="4" t="s">
        <v>1671</v>
      </c>
      <c r="B606" s="10">
        <v>40544.0</v>
      </c>
      <c r="C606" s="11" t="s">
        <v>382</v>
      </c>
      <c r="D606" s="11" t="s">
        <v>151</v>
      </c>
      <c r="E606" s="11" t="s">
        <v>52</v>
      </c>
      <c r="F606" s="11" t="s">
        <v>53</v>
      </c>
      <c r="G606" s="11" t="s">
        <v>54</v>
      </c>
      <c r="H606" s="11" t="s">
        <v>337</v>
      </c>
      <c r="I606" s="11" t="s">
        <v>154</v>
      </c>
      <c r="J606" s="11">
        <v>21.0</v>
      </c>
      <c r="K606" s="13">
        <v>41083.0</v>
      </c>
      <c r="L606" s="11"/>
      <c r="M606" s="11">
        <v>623184.0</v>
      </c>
      <c r="N606" s="11">
        <v>13911.0</v>
      </c>
      <c r="P606" s="11">
        <v>88.0</v>
      </c>
      <c r="Q606" s="15">
        <v>84.333</v>
      </c>
      <c r="R606" s="22">
        <v>1.0</v>
      </c>
      <c r="S606">
        <f t="shared" si="1"/>
        <v>2011</v>
      </c>
      <c r="T606">
        <f t="shared" si="2"/>
        <v>1</v>
      </c>
      <c r="AF606" s="18"/>
      <c r="AG606" s="19"/>
      <c r="AL606" s="18"/>
      <c r="AM606" s="19"/>
    </row>
    <row r="607">
      <c r="A607" s="4" t="s">
        <v>1673</v>
      </c>
      <c r="B607" s="10">
        <v>40544.0</v>
      </c>
      <c r="C607" s="11" t="s">
        <v>108</v>
      </c>
      <c r="D607" s="11" t="s">
        <v>91</v>
      </c>
      <c r="E607" s="14" t="s">
        <v>52</v>
      </c>
      <c r="F607" s="11" t="s">
        <v>76</v>
      </c>
      <c r="G607" s="14" t="s">
        <v>54</v>
      </c>
      <c r="H607" s="11" t="s">
        <v>260</v>
      </c>
      <c r="I607" s="11" t="s">
        <v>1674</v>
      </c>
      <c r="J607" s="11">
        <v>23.0</v>
      </c>
      <c r="K607" s="13">
        <v>41008.0</v>
      </c>
      <c r="L607" s="14"/>
      <c r="M607" s="11">
        <v>501958.0</v>
      </c>
      <c r="N607" s="11" t="s">
        <v>1675</v>
      </c>
      <c r="P607" s="11">
        <v>0.0</v>
      </c>
      <c r="Q607" s="15">
        <v>0.0</v>
      </c>
      <c r="R607" s="11">
        <v>0.0</v>
      </c>
      <c r="S607">
        <f t="shared" si="1"/>
        <v>2011</v>
      </c>
      <c r="T607">
        <f t="shared" si="2"/>
        <v>1</v>
      </c>
      <c r="AF607" s="18"/>
      <c r="AG607" s="19"/>
      <c r="AL607" s="18"/>
      <c r="AM607" s="19"/>
    </row>
    <row r="608">
      <c r="A608" s="4" t="s">
        <v>1676</v>
      </c>
      <c r="B608" s="10">
        <v>40544.0</v>
      </c>
      <c r="C608" s="11" t="s">
        <v>123</v>
      </c>
      <c r="D608" s="11" t="s">
        <v>151</v>
      </c>
      <c r="E608" s="11" t="s">
        <v>52</v>
      </c>
      <c r="F608" s="11" t="s">
        <v>76</v>
      </c>
      <c r="G608" s="11" t="s">
        <v>54</v>
      </c>
      <c r="H608" s="11" t="s">
        <v>316</v>
      </c>
      <c r="I608" s="11" t="s">
        <v>1677</v>
      </c>
      <c r="J608" s="11">
        <v>19.0</v>
      </c>
      <c r="K608" s="13">
        <v>41508.0</v>
      </c>
      <c r="L608" s="14"/>
      <c r="M608" s="11">
        <v>592155.0</v>
      </c>
      <c r="N608" s="11" t="s">
        <v>1678</v>
      </c>
      <c r="P608" s="11">
        <v>0.0</v>
      </c>
      <c r="Q608" s="15">
        <v>0.0</v>
      </c>
      <c r="R608" s="22">
        <v>1.0</v>
      </c>
      <c r="S608">
        <f t="shared" si="1"/>
        <v>2011</v>
      </c>
      <c r="T608">
        <f t="shared" si="2"/>
        <v>1</v>
      </c>
      <c r="AF608" s="18"/>
      <c r="AG608" s="19"/>
      <c r="AL608" s="18"/>
      <c r="AM608" s="19"/>
    </row>
    <row r="609">
      <c r="A609" s="4" t="s">
        <v>1679</v>
      </c>
      <c r="B609" s="10">
        <v>40544.0</v>
      </c>
      <c r="C609" s="11" t="s">
        <v>109</v>
      </c>
      <c r="D609" s="11" t="s">
        <v>91</v>
      </c>
      <c r="E609" s="14" t="s">
        <v>52</v>
      </c>
      <c r="F609" s="11" t="s">
        <v>53</v>
      </c>
      <c r="G609" s="22" t="s">
        <v>672</v>
      </c>
      <c r="H609" s="14"/>
      <c r="I609" s="14"/>
      <c r="J609" s="11">
        <v>21.0</v>
      </c>
      <c r="K609" s="14"/>
      <c r="L609" s="14"/>
      <c r="M609" s="11">
        <v>573665.0</v>
      </c>
      <c r="N609" s="11" t="s">
        <v>1680</v>
      </c>
      <c r="P609" s="11">
        <v>0.0</v>
      </c>
      <c r="Q609" s="15">
        <v>0.0</v>
      </c>
      <c r="R609" s="22">
        <v>0.0</v>
      </c>
      <c r="S609">
        <f t="shared" si="1"/>
        <v>2011</v>
      </c>
      <c r="T609">
        <f t="shared" si="2"/>
        <v>1</v>
      </c>
      <c r="AF609" s="18"/>
      <c r="AG609" s="19"/>
      <c r="AL609" s="18"/>
      <c r="AM609" s="19"/>
    </row>
    <row r="610">
      <c r="A610" s="4" t="s">
        <v>1681</v>
      </c>
      <c r="B610" s="10">
        <v>40544.0</v>
      </c>
      <c r="C610" s="11" t="s">
        <v>138</v>
      </c>
      <c r="D610" s="11" t="s">
        <v>170</v>
      </c>
      <c r="E610" s="11" t="s">
        <v>52</v>
      </c>
      <c r="F610" s="11" t="s">
        <v>53</v>
      </c>
      <c r="G610" s="11" t="s">
        <v>54</v>
      </c>
      <c r="H610" s="11" t="s">
        <v>260</v>
      </c>
      <c r="I610" s="11" t="s">
        <v>322</v>
      </c>
      <c r="J610" s="11">
        <v>17.0</v>
      </c>
      <c r="K610" s="13">
        <v>42196.0</v>
      </c>
      <c r="L610" s="14"/>
      <c r="M610" s="11">
        <v>664117.0</v>
      </c>
      <c r="N610" s="11" t="s">
        <v>1682</v>
      </c>
      <c r="P610" s="11">
        <v>0.0</v>
      </c>
      <c r="Q610" s="15">
        <v>0.0</v>
      </c>
      <c r="R610" s="22">
        <v>1.0</v>
      </c>
      <c r="S610">
        <f t="shared" si="1"/>
        <v>2011</v>
      </c>
      <c r="T610">
        <f t="shared" si="2"/>
        <v>1</v>
      </c>
      <c r="AF610" s="18"/>
      <c r="AG610" s="19"/>
      <c r="AL610" s="18"/>
      <c r="AM610" s="19"/>
    </row>
    <row r="611">
      <c r="A611" s="4" t="s">
        <v>1683</v>
      </c>
      <c r="B611" s="10">
        <v>40544.0</v>
      </c>
      <c r="C611" s="11" t="s">
        <v>138</v>
      </c>
      <c r="D611" s="11" t="s">
        <v>151</v>
      </c>
      <c r="E611" s="11" t="s">
        <v>52</v>
      </c>
      <c r="F611" s="11" t="s">
        <v>53</v>
      </c>
      <c r="G611" s="11" t="s">
        <v>54</v>
      </c>
      <c r="H611" s="11" t="s">
        <v>92</v>
      </c>
      <c r="I611" s="11" t="s">
        <v>1684</v>
      </c>
      <c r="J611" s="11">
        <v>19.0</v>
      </c>
      <c r="K611" s="13">
        <v>41092.0</v>
      </c>
      <c r="L611" s="14"/>
      <c r="M611" s="11">
        <v>621203.0</v>
      </c>
      <c r="N611" s="11" t="s">
        <v>1685</v>
      </c>
      <c r="P611" s="11">
        <v>0.0</v>
      </c>
      <c r="Q611" s="15">
        <v>0.0</v>
      </c>
      <c r="R611" s="22">
        <v>1.0</v>
      </c>
      <c r="S611">
        <f t="shared" si="1"/>
        <v>2011</v>
      </c>
      <c r="T611">
        <f t="shared" si="2"/>
        <v>1</v>
      </c>
      <c r="AF611" s="18"/>
      <c r="AG611" s="19"/>
      <c r="AL611" s="18"/>
      <c r="AM611" s="19"/>
    </row>
    <row r="612">
      <c r="A612" s="4" t="s">
        <v>1686</v>
      </c>
      <c r="B612" s="10">
        <v>40544.0</v>
      </c>
      <c r="C612" s="11" t="s">
        <v>97</v>
      </c>
      <c r="D612" s="11" t="s">
        <v>75</v>
      </c>
      <c r="E612" s="14" t="s">
        <v>52</v>
      </c>
      <c r="F612" s="11" t="s">
        <v>53</v>
      </c>
      <c r="G612" s="14" t="s">
        <v>54</v>
      </c>
      <c r="H612" s="11" t="s">
        <v>260</v>
      </c>
      <c r="I612" s="11"/>
      <c r="J612" s="11">
        <v>29.0</v>
      </c>
      <c r="K612" s="13">
        <v>41104.0</v>
      </c>
      <c r="L612" s="14"/>
      <c r="M612" s="11">
        <v>425818.0</v>
      </c>
      <c r="N612" s="11">
        <v>2159.0</v>
      </c>
      <c r="P612" s="11">
        <v>0.0</v>
      </c>
      <c r="Q612" s="15">
        <v>0.0</v>
      </c>
      <c r="R612" s="22">
        <v>0.0</v>
      </c>
      <c r="S612">
        <f t="shared" si="1"/>
        <v>2011</v>
      </c>
      <c r="T612">
        <f t="shared" si="2"/>
        <v>1</v>
      </c>
      <c r="AF612" s="18"/>
      <c r="AG612" s="19"/>
      <c r="AL612" s="18"/>
      <c r="AM612" s="19"/>
    </row>
    <row r="613">
      <c r="A613" s="4" t="s">
        <v>1687</v>
      </c>
      <c r="B613" s="10">
        <v>40544.0</v>
      </c>
      <c r="C613" s="11" t="s">
        <v>103</v>
      </c>
      <c r="D613" s="11" t="s">
        <v>75</v>
      </c>
      <c r="E613" s="14" t="s">
        <v>52</v>
      </c>
      <c r="F613" s="11" t="s">
        <v>53</v>
      </c>
      <c r="G613" s="14" t="s">
        <v>54</v>
      </c>
      <c r="H613" s="11" t="s">
        <v>279</v>
      </c>
      <c r="I613" s="11" t="s">
        <v>1688</v>
      </c>
      <c r="J613" s="11">
        <v>30.0</v>
      </c>
      <c r="K613" s="13">
        <v>41370.0</v>
      </c>
      <c r="L613" s="14"/>
      <c r="M613" s="11">
        <v>444382.0</v>
      </c>
      <c r="N613" s="11">
        <v>5890.0</v>
      </c>
      <c r="P613" s="11">
        <v>0.0</v>
      </c>
      <c r="Q613" s="15">
        <v>0.0</v>
      </c>
      <c r="R613" s="22">
        <v>0.0</v>
      </c>
      <c r="S613">
        <f t="shared" si="1"/>
        <v>2011</v>
      </c>
      <c r="T613">
        <f t="shared" si="2"/>
        <v>1</v>
      </c>
      <c r="AF613" s="18"/>
      <c r="AG613" s="19"/>
      <c r="AL613" s="18"/>
      <c r="AM613" s="19"/>
    </row>
    <row r="614">
      <c r="A614" s="4" t="s">
        <v>1689</v>
      </c>
      <c r="B614" s="10">
        <v>40544.0</v>
      </c>
      <c r="C614" s="11" t="s">
        <v>382</v>
      </c>
      <c r="D614" s="11" t="s">
        <v>151</v>
      </c>
      <c r="E614" s="11" t="s">
        <v>52</v>
      </c>
      <c r="F614" s="11" t="s">
        <v>76</v>
      </c>
      <c r="G614" s="11" t="s">
        <v>54</v>
      </c>
      <c r="H614" s="11" t="s">
        <v>240</v>
      </c>
      <c r="I614" s="11" t="s">
        <v>240</v>
      </c>
      <c r="J614" s="11">
        <v>19.0</v>
      </c>
      <c r="K614" s="13">
        <v>41815.0</v>
      </c>
      <c r="L614" s="14"/>
      <c r="M614" s="11">
        <v>643466.0</v>
      </c>
      <c r="N614" s="11" t="s">
        <v>1690</v>
      </c>
      <c r="P614" s="11">
        <v>0.0</v>
      </c>
      <c r="Q614" s="15">
        <v>0.0</v>
      </c>
      <c r="R614" s="22">
        <v>1.0</v>
      </c>
      <c r="S614">
        <f t="shared" si="1"/>
        <v>2011</v>
      </c>
      <c r="T614">
        <f t="shared" si="2"/>
        <v>1</v>
      </c>
      <c r="AF614" s="18"/>
      <c r="AG614" s="19"/>
      <c r="AL614" s="18"/>
      <c r="AM614" s="19"/>
    </row>
    <row r="615">
      <c r="A615" s="4" t="s">
        <v>484</v>
      </c>
      <c r="B615" s="10">
        <v>40544.0</v>
      </c>
      <c r="C615" s="11" t="s">
        <v>331</v>
      </c>
      <c r="D615" s="11" t="s">
        <v>91</v>
      </c>
      <c r="E615" s="11" t="s">
        <v>52</v>
      </c>
      <c r="F615" s="11" t="s">
        <v>53</v>
      </c>
      <c r="G615" s="11" t="s">
        <v>83</v>
      </c>
      <c r="H615" s="11"/>
      <c r="I615" s="11"/>
      <c r="J615" s="11">
        <v>24.0</v>
      </c>
      <c r="K615" s="13">
        <v>41062.0</v>
      </c>
      <c r="L615" s="14"/>
      <c r="M615" s="11">
        <v>491708.0</v>
      </c>
      <c r="N615" s="11">
        <v>8992.0</v>
      </c>
      <c r="P615" s="11">
        <v>149.0</v>
      </c>
      <c r="Q615" s="15">
        <v>155.0</v>
      </c>
      <c r="R615" s="22">
        <v>1.0</v>
      </c>
      <c r="S615">
        <f t="shared" si="1"/>
        <v>2011</v>
      </c>
      <c r="T615">
        <f t="shared" si="2"/>
        <v>1</v>
      </c>
      <c r="AF615" s="18"/>
      <c r="AG615" s="19"/>
      <c r="AL615" s="18"/>
      <c r="AM615" s="19"/>
    </row>
    <row r="616">
      <c r="A616" s="4" t="s">
        <v>612</v>
      </c>
      <c r="B616" s="10">
        <v>40544.0</v>
      </c>
      <c r="C616" s="11" t="s">
        <v>125</v>
      </c>
      <c r="D616" s="11" t="s">
        <v>151</v>
      </c>
      <c r="E616" s="14" t="s">
        <v>52</v>
      </c>
      <c r="F616" s="11" t="s">
        <v>53</v>
      </c>
      <c r="G616" s="14" t="s">
        <v>54</v>
      </c>
      <c r="H616" s="11" t="s">
        <v>153</v>
      </c>
      <c r="I616" s="11" t="s">
        <v>180</v>
      </c>
      <c r="J616" s="11">
        <v>20.0</v>
      </c>
      <c r="K616" s="13">
        <v>41443.0</v>
      </c>
      <c r="L616" s="14"/>
      <c r="M616" s="11">
        <v>623437.0</v>
      </c>
      <c r="N616" s="11" t="s">
        <v>654</v>
      </c>
      <c r="P616" s="11">
        <v>0.0</v>
      </c>
      <c r="Q616" s="15">
        <v>0.0</v>
      </c>
      <c r="R616" s="22">
        <v>0.0</v>
      </c>
      <c r="S616">
        <f t="shared" si="1"/>
        <v>2011</v>
      </c>
      <c r="T616">
        <f t="shared" si="2"/>
        <v>1</v>
      </c>
      <c r="AF616" s="18"/>
      <c r="AG616" s="19"/>
      <c r="AL616" s="18"/>
      <c r="AM616" s="19"/>
    </row>
    <row r="617">
      <c r="A617" s="4" t="s">
        <v>1692</v>
      </c>
      <c r="B617" s="10">
        <v>40544.0</v>
      </c>
      <c r="C617" s="11" t="s">
        <v>125</v>
      </c>
      <c r="D617" s="11" t="s">
        <v>170</v>
      </c>
      <c r="E617" s="11" t="s">
        <v>52</v>
      </c>
      <c r="F617" s="11" t="s">
        <v>76</v>
      </c>
      <c r="G617" s="11" t="s">
        <v>436</v>
      </c>
      <c r="H617" s="11"/>
      <c r="I617" s="11"/>
      <c r="J617" s="11">
        <v>19.0</v>
      </c>
      <c r="K617" s="13">
        <v>41446.0</v>
      </c>
      <c r="L617" s="14"/>
      <c r="M617" s="11">
        <v>623913.0</v>
      </c>
      <c r="N617" s="11">
        <v>14382.0</v>
      </c>
      <c r="O617" s="4"/>
      <c r="P617" s="11">
        <v>14.0</v>
      </c>
      <c r="Q617" s="15">
        <v>17.333</v>
      </c>
      <c r="R617" s="22">
        <v>1.0</v>
      </c>
      <c r="S617">
        <f t="shared" si="1"/>
        <v>2011</v>
      </c>
      <c r="T617">
        <f t="shared" si="2"/>
        <v>1</v>
      </c>
      <c r="AF617" s="18"/>
      <c r="AG617" s="19"/>
      <c r="AL617" s="18"/>
      <c r="AM617" s="19"/>
    </row>
    <row r="618">
      <c r="A618" s="4" t="s">
        <v>1693</v>
      </c>
      <c r="B618" s="10">
        <v>40544.0</v>
      </c>
      <c r="C618" s="11" t="s">
        <v>130</v>
      </c>
      <c r="D618" s="11" t="s">
        <v>151</v>
      </c>
      <c r="E618" s="11" t="s">
        <v>52</v>
      </c>
      <c r="F618" s="11" t="s">
        <v>53</v>
      </c>
      <c r="G618" s="11" t="s">
        <v>54</v>
      </c>
      <c r="H618" s="11" t="s">
        <v>204</v>
      </c>
      <c r="I618" s="11" t="s">
        <v>204</v>
      </c>
      <c r="J618" s="11">
        <v>21.0</v>
      </c>
      <c r="K618" s="13">
        <v>41109.0</v>
      </c>
      <c r="L618" s="14"/>
      <c r="M618" s="11">
        <v>543677.0</v>
      </c>
      <c r="N618" s="11" t="s">
        <v>1694</v>
      </c>
      <c r="O618" s="4" t="s">
        <v>59</v>
      </c>
      <c r="P618" s="11">
        <v>0.0</v>
      </c>
      <c r="Q618" s="15">
        <v>0.0</v>
      </c>
      <c r="R618" s="22">
        <v>0.0</v>
      </c>
      <c r="S618">
        <f t="shared" si="1"/>
        <v>2011</v>
      </c>
      <c r="T618">
        <f t="shared" si="2"/>
        <v>1</v>
      </c>
      <c r="AF618" s="18"/>
      <c r="AG618" s="19"/>
      <c r="AL618" s="18"/>
      <c r="AM618" s="19"/>
    </row>
    <row r="619">
      <c r="A619" s="4" t="s">
        <v>173</v>
      </c>
      <c r="B619" s="10">
        <v>40544.0</v>
      </c>
      <c r="C619" s="11" t="s">
        <v>179</v>
      </c>
      <c r="D619" s="11" t="s">
        <v>170</v>
      </c>
      <c r="E619" s="11" t="s">
        <v>52</v>
      </c>
      <c r="F619" s="11" t="s">
        <v>76</v>
      </c>
      <c r="G619" s="11" t="s">
        <v>54</v>
      </c>
      <c r="H619" s="11" t="s">
        <v>157</v>
      </c>
      <c r="I619" s="11" t="s">
        <v>218</v>
      </c>
      <c r="J619" s="11">
        <v>18.0</v>
      </c>
      <c r="K619" s="13">
        <v>42175.0</v>
      </c>
      <c r="L619" s="14"/>
      <c r="M619" s="11">
        <v>605179.0</v>
      </c>
      <c r="N619" s="11" t="s">
        <v>1695</v>
      </c>
      <c r="P619" s="11">
        <v>0.0</v>
      </c>
      <c r="Q619" s="15">
        <v>0.0</v>
      </c>
      <c r="R619" s="22">
        <v>1.0</v>
      </c>
      <c r="S619">
        <f t="shared" si="1"/>
        <v>2011</v>
      </c>
      <c r="T619">
        <f t="shared" si="2"/>
        <v>1</v>
      </c>
      <c r="AF619" s="18"/>
      <c r="AG619" s="19"/>
      <c r="AL619" s="18"/>
      <c r="AM619" s="19"/>
    </row>
    <row r="620">
      <c r="A620" s="4" t="s">
        <v>1697</v>
      </c>
      <c r="B620" s="10">
        <v>40544.0</v>
      </c>
      <c r="C620" s="11" t="s">
        <v>179</v>
      </c>
      <c r="D620" s="11" t="s">
        <v>170</v>
      </c>
      <c r="E620" s="11" t="s">
        <v>52</v>
      </c>
      <c r="F620" s="11" t="s">
        <v>53</v>
      </c>
      <c r="G620" s="11" t="s">
        <v>54</v>
      </c>
      <c r="H620" s="11" t="s">
        <v>244</v>
      </c>
      <c r="I620" s="11" t="s">
        <v>244</v>
      </c>
      <c r="J620" s="11">
        <v>17.0</v>
      </c>
      <c r="K620" s="13">
        <v>42173.0</v>
      </c>
      <c r="L620" s="14"/>
      <c r="M620" s="11">
        <v>664126.0</v>
      </c>
      <c r="N620" s="11" t="s">
        <v>1698</v>
      </c>
      <c r="P620" s="11">
        <v>0.0</v>
      </c>
      <c r="Q620" s="15">
        <v>0.0</v>
      </c>
      <c r="R620" s="22">
        <v>1.0</v>
      </c>
      <c r="S620">
        <f t="shared" si="1"/>
        <v>2011</v>
      </c>
      <c r="T620">
        <f t="shared" si="2"/>
        <v>1</v>
      </c>
      <c r="AF620" s="18"/>
      <c r="AG620" s="19"/>
      <c r="AL620" s="18"/>
      <c r="AM620" s="19"/>
    </row>
    <row r="621">
      <c r="A621" s="4" t="s">
        <v>1699</v>
      </c>
      <c r="B621" s="10">
        <v>40544.0</v>
      </c>
      <c r="C621" s="11" t="s">
        <v>711</v>
      </c>
      <c r="D621" s="11" t="s">
        <v>75</v>
      </c>
      <c r="E621" s="14" t="s">
        <v>52</v>
      </c>
      <c r="F621" s="11" t="s">
        <v>53</v>
      </c>
      <c r="G621" s="14" t="s">
        <v>54</v>
      </c>
      <c r="H621" s="11" t="s">
        <v>157</v>
      </c>
      <c r="I621" s="11" t="s">
        <v>157</v>
      </c>
      <c r="J621" s="11">
        <v>26.0</v>
      </c>
      <c r="K621" s="13">
        <v>41843.0</v>
      </c>
      <c r="L621" s="14"/>
      <c r="M621" s="11">
        <v>453221.0</v>
      </c>
      <c r="N621" s="11" t="s">
        <v>1700</v>
      </c>
      <c r="P621" s="11">
        <v>0.0</v>
      </c>
      <c r="Q621" s="15">
        <v>0.0</v>
      </c>
      <c r="R621" s="22">
        <v>1.0</v>
      </c>
      <c r="S621">
        <f t="shared" si="1"/>
        <v>2011</v>
      </c>
      <c r="T621">
        <f t="shared" si="2"/>
        <v>1</v>
      </c>
      <c r="AF621" s="18"/>
      <c r="AG621" s="19"/>
      <c r="AL621" s="18"/>
      <c r="AM621" s="19"/>
    </row>
    <row r="622">
      <c r="A622" s="4" t="s">
        <v>1701</v>
      </c>
      <c r="B622" s="10">
        <v>40544.0</v>
      </c>
      <c r="C622" s="11" t="s">
        <v>711</v>
      </c>
      <c r="D622" s="11" t="s">
        <v>170</v>
      </c>
      <c r="E622" s="11" t="s">
        <v>52</v>
      </c>
      <c r="F622" s="11" t="s">
        <v>76</v>
      </c>
      <c r="G622" s="11" t="s">
        <v>54</v>
      </c>
      <c r="H622" s="11" t="s">
        <v>416</v>
      </c>
      <c r="I622" s="11"/>
      <c r="J622" s="11">
        <v>18.0</v>
      </c>
      <c r="K622" s="13">
        <v>41082.0</v>
      </c>
      <c r="L622" s="11"/>
      <c r="M622" s="11">
        <v>621373.0</v>
      </c>
      <c r="N622" s="11" t="s">
        <v>1702</v>
      </c>
      <c r="O622" s="4"/>
      <c r="P622" s="11">
        <v>0.0</v>
      </c>
      <c r="Q622" s="15">
        <v>0.0</v>
      </c>
      <c r="R622" s="11">
        <v>0.0</v>
      </c>
      <c r="S622">
        <f t="shared" si="1"/>
        <v>2011</v>
      </c>
      <c r="T622">
        <f t="shared" si="2"/>
        <v>1</v>
      </c>
      <c r="AF622" s="18"/>
      <c r="AG622" s="19"/>
      <c r="AL622" s="18"/>
      <c r="AM622" s="19"/>
    </row>
    <row r="623">
      <c r="A623" s="4" t="s">
        <v>1703</v>
      </c>
      <c r="B623" s="10">
        <v>40544.0</v>
      </c>
      <c r="C623" s="11" t="s">
        <v>74</v>
      </c>
      <c r="D623" s="11" t="s">
        <v>110</v>
      </c>
      <c r="E623" s="11" t="s">
        <v>52</v>
      </c>
      <c r="F623" s="11" t="s">
        <v>53</v>
      </c>
      <c r="G623" s="11" t="s">
        <v>54</v>
      </c>
      <c r="H623" s="11" t="s">
        <v>157</v>
      </c>
      <c r="I623" s="11" t="s">
        <v>1477</v>
      </c>
      <c r="J623" s="11">
        <v>24.0</v>
      </c>
      <c r="K623" s="13">
        <v>41004.0</v>
      </c>
      <c r="L623" s="11"/>
      <c r="M623" s="11">
        <v>571963.0</v>
      </c>
      <c r="N623" s="11">
        <v>9919.0</v>
      </c>
      <c r="O623" s="4"/>
      <c r="P623" s="11">
        <v>7.0</v>
      </c>
      <c r="Q623" s="15">
        <v>10.0</v>
      </c>
      <c r="R623" s="22">
        <v>1.0</v>
      </c>
      <c r="S623">
        <f t="shared" si="1"/>
        <v>2011</v>
      </c>
      <c r="T623">
        <f t="shared" si="2"/>
        <v>1</v>
      </c>
      <c r="U623" s="4"/>
      <c r="V623" s="4"/>
      <c r="W623" s="4"/>
      <c r="X623" s="4"/>
      <c r="Y623" s="4"/>
      <c r="Z623" s="4"/>
      <c r="AA623" s="4"/>
      <c r="AB623" s="4"/>
      <c r="AC623" s="4"/>
      <c r="AD623" s="4"/>
      <c r="AE623" s="4"/>
      <c r="AF623" s="54"/>
      <c r="AG623" s="55"/>
      <c r="AH623" s="4"/>
      <c r="AI623" s="4"/>
      <c r="AJ623" s="4"/>
      <c r="AK623" s="4"/>
      <c r="AL623" s="54"/>
      <c r="AM623" s="55"/>
      <c r="AN623" s="4"/>
      <c r="AO623" s="4"/>
    </row>
    <row r="624">
      <c r="A624" s="4" t="s">
        <v>1705</v>
      </c>
      <c r="B624" s="10">
        <v>40544.0</v>
      </c>
      <c r="C624" s="11" t="s">
        <v>74</v>
      </c>
      <c r="D624" s="11" t="s">
        <v>170</v>
      </c>
      <c r="E624" s="11" t="s">
        <v>52</v>
      </c>
      <c r="F624" s="11" t="s">
        <v>53</v>
      </c>
      <c r="G624" s="11" t="s">
        <v>54</v>
      </c>
      <c r="H624" s="11" t="s">
        <v>218</v>
      </c>
      <c r="I624" s="11" t="s">
        <v>1706</v>
      </c>
      <c r="J624" s="11">
        <v>18.0</v>
      </c>
      <c r="K624" s="13">
        <v>42181.0</v>
      </c>
      <c r="L624" s="11"/>
      <c r="M624" s="11">
        <v>606983.0</v>
      </c>
      <c r="N624" s="11">
        <v>17695.0</v>
      </c>
      <c r="O624" s="4"/>
      <c r="P624" s="11">
        <v>19.0</v>
      </c>
      <c r="Q624" s="15">
        <v>19.667</v>
      </c>
      <c r="R624" s="22">
        <v>1.0</v>
      </c>
      <c r="S624">
        <f t="shared" si="1"/>
        <v>2011</v>
      </c>
      <c r="T624">
        <f t="shared" si="2"/>
        <v>1</v>
      </c>
      <c r="U624" s="4"/>
      <c r="V624" s="4"/>
      <c r="W624" s="4"/>
      <c r="X624" s="4"/>
      <c r="Y624" s="4"/>
      <c r="Z624" s="4"/>
      <c r="AA624" s="4"/>
      <c r="AB624" s="4"/>
      <c r="AC624" s="4"/>
      <c r="AD624" s="4"/>
      <c r="AE624" s="4"/>
      <c r="AF624" s="54"/>
      <c r="AG624" s="55"/>
      <c r="AH624" s="4"/>
      <c r="AI624" s="4"/>
      <c r="AJ624" s="4"/>
      <c r="AK624" s="4"/>
      <c r="AL624" s="54"/>
      <c r="AM624" s="55"/>
      <c r="AN624" s="4"/>
      <c r="AO624" s="4"/>
    </row>
    <row r="625">
      <c r="A625" s="4" t="s">
        <v>1707</v>
      </c>
      <c r="B625" s="10">
        <v>40513.0</v>
      </c>
      <c r="C625" s="11" t="s">
        <v>103</v>
      </c>
      <c r="D625" s="11" t="s">
        <v>51</v>
      </c>
      <c r="E625" s="14" t="s">
        <v>52</v>
      </c>
      <c r="F625" s="11" t="s">
        <v>76</v>
      </c>
      <c r="G625" s="14" t="s">
        <v>54</v>
      </c>
      <c r="H625" s="11" t="s">
        <v>412</v>
      </c>
      <c r="I625" s="11" t="s">
        <v>1708</v>
      </c>
      <c r="J625" s="11">
        <v>47.0</v>
      </c>
      <c r="K625" s="13">
        <v>41006.0</v>
      </c>
      <c r="L625" s="11">
        <f>ROUND(((K625-B625)/365)*12)</f>
        <v>16</v>
      </c>
      <c r="M625" s="11">
        <v>119469.0</v>
      </c>
      <c r="N625" s="11">
        <v>1091.0</v>
      </c>
      <c r="O625" s="4" t="s">
        <v>287</v>
      </c>
      <c r="P625" s="11">
        <v>10.0</v>
      </c>
      <c r="Q625" s="15">
        <v>53.667</v>
      </c>
      <c r="R625" s="22">
        <v>0.0</v>
      </c>
      <c r="S625">
        <f t="shared" si="1"/>
        <v>2010</v>
      </c>
      <c r="T625">
        <f t="shared" si="2"/>
        <v>12</v>
      </c>
      <c r="U625" s="4"/>
      <c r="V625" s="4"/>
      <c r="W625" s="4"/>
      <c r="X625" s="4"/>
      <c r="Y625" s="4"/>
      <c r="Z625" s="4"/>
      <c r="AA625" s="4"/>
      <c r="AB625" s="4"/>
      <c r="AC625" s="4"/>
      <c r="AD625" s="4">
        <v>19.0</v>
      </c>
      <c r="AE625" s="4">
        <v>19.0</v>
      </c>
      <c r="AF625" s="54">
        <v>111.667</v>
      </c>
      <c r="AG625" s="55">
        <v>0.093</v>
      </c>
      <c r="AH625" s="4">
        <v>120.0</v>
      </c>
      <c r="AI625" s="4">
        <v>122.0</v>
      </c>
      <c r="AJ625" s="4">
        <v>10.0</v>
      </c>
      <c r="AK625" s="4">
        <v>10.0</v>
      </c>
      <c r="AL625" s="54">
        <v>53.667</v>
      </c>
      <c r="AM625" s="55">
        <v>0.071</v>
      </c>
      <c r="AN625" s="4">
        <v>123.0</v>
      </c>
      <c r="AO625" s="4">
        <v>132.0</v>
      </c>
    </row>
    <row r="626">
      <c r="A626" s="4" t="s">
        <v>1711</v>
      </c>
      <c r="B626" s="10">
        <v>40483.0</v>
      </c>
      <c r="C626" s="11" t="s">
        <v>97</v>
      </c>
      <c r="D626" s="11" t="s">
        <v>170</v>
      </c>
      <c r="E626" s="14" t="s">
        <v>52</v>
      </c>
      <c r="F626" s="11" t="s">
        <v>76</v>
      </c>
      <c r="G626" s="14" t="s">
        <v>54</v>
      </c>
      <c r="H626" s="11" t="s">
        <v>153</v>
      </c>
      <c r="I626" s="11" t="s">
        <v>1712</v>
      </c>
      <c r="J626" s="11">
        <v>22.0</v>
      </c>
      <c r="K626" s="14"/>
      <c r="L626" s="14"/>
      <c r="M626" s="11">
        <v>657698.0</v>
      </c>
      <c r="N626" s="11"/>
      <c r="P626" s="11">
        <v>0.0</v>
      </c>
      <c r="Q626" s="15">
        <v>0.0</v>
      </c>
      <c r="R626" s="22">
        <v>0.0</v>
      </c>
      <c r="S626">
        <f t="shared" si="1"/>
        <v>2010</v>
      </c>
      <c r="T626">
        <f t="shared" si="2"/>
        <v>11</v>
      </c>
      <c r="AF626" s="18"/>
      <c r="AG626" s="19"/>
      <c r="AL626" s="18"/>
      <c r="AM626" s="19"/>
    </row>
    <row r="627">
      <c r="A627" s="4" t="s">
        <v>1713</v>
      </c>
      <c r="B627" s="10">
        <v>40483.0</v>
      </c>
      <c r="C627" s="11" t="s">
        <v>711</v>
      </c>
      <c r="D627" s="11" t="s">
        <v>151</v>
      </c>
      <c r="E627" s="11" t="s">
        <v>52</v>
      </c>
      <c r="F627" s="11" t="s">
        <v>53</v>
      </c>
      <c r="G627" s="11" t="s">
        <v>54</v>
      </c>
      <c r="H627" s="11" t="s">
        <v>260</v>
      </c>
      <c r="I627" s="11" t="s">
        <v>230</v>
      </c>
      <c r="J627" s="11">
        <v>22.0</v>
      </c>
      <c r="K627" s="13">
        <v>41008.0</v>
      </c>
      <c r="L627" s="11">
        <f t="shared" ref="L627:L637" si="63">ROUND(((K627-B627)/365)*12)</f>
        <v>17</v>
      </c>
      <c r="M627" s="11">
        <v>473879.0</v>
      </c>
      <c r="N627" s="11">
        <v>11710.0</v>
      </c>
      <c r="P627" s="11">
        <v>186.0</v>
      </c>
      <c r="Q627" s="15">
        <v>199.333</v>
      </c>
      <c r="R627" s="22">
        <v>1.0</v>
      </c>
      <c r="S627">
        <f t="shared" si="1"/>
        <v>2010</v>
      </c>
      <c r="T627">
        <f t="shared" si="2"/>
        <v>11</v>
      </c>
      <c r="AF627" s="18"/>
      <c r="AG627" s="19"/>
      <c r="AL627" s="18"/>
      <c r="AM627" s="19"/>
    </row>
    <row r="628">
      <c r="A628" s="4" t="s">
        <v>1714</v>
      </c>
      <c r="B628" s="10">
        <v>40466.0</v>
      </c>
      <c r="C628" s="11" t="s">
        <v>156</v>
      </c>
      <c r="D628" s="11" t="s">
        <v>82</v>
      </c>
      <c r="E628" s="14" t="s">
        <v>52</v>
      </c>
      <c r="F628" s="11" t="s">
        <v>53</v>
      </c>
      <c r="G628" s="14" t="s">
        <v>54</v>
      </c>
      <c r="H628" s="11" t="s">
        <v>92</v>
      </c>
      <c r="I628" s="11" t="s">
        <v>812</v>
      </c>
      <c r="J628" s="11">
        <v>23.0</v>
      </c>
      <c r="K628" s="13">
        <v>41004.0</v>
      </c>
      <c r="L628" s="11">
        <f t="shared" si="63"/>
        <v>18</v>
      </c>
      <c r="M628" s="11">
        <v>543237.0</v>
      </c>
      <c r="N628" s="11" t="s">
        <v>1715</v>
      </c>
      <c r="P628" s="11">
        <v>0.0</v>
      </c>
      <c r="Q628" s="15">
        <v>0.0</v>
      </c>
      <c r="R628" s="22">
        <v>0.0</v>
      </c>
      <c r="S628">
        <f t="shared" si="1"/>
        <v>2010</v>
      </c>
      <c r="T628">
        <f t="shared" si="2"/>
        <v>10</v>
      </c>
      <c r="AF628" s="18"/>
      <c r="AG628" s="19"/>
      <c r="AL628" s="18"/>
      <c r="AM628" s="19"/>
    </row>
    <row r="629">
      <c r="A629" s="4" t="s">
        <v>1716</v>
      </c>
      <c r="B629" s="10">
        <v>40464.0</v>
      </c>
      <c r="C629" s="11" t="s">
        <v>74</v>
      </c>
      <c r="D629" s="11" t="s">
        <v>51</v>
      </c>
      <c r="E629" s="22" t="s">
        <v>160</v>
      </c>
      <c r="F629" s="11" t="s">
        <v>53</v>
      </c>
      <c r="G629" s="14" t="s">
        <v>54</v>
      </c>
      <c r="H629" s="11" t="s">
        <v>251</v>
      </c>
      <c r="I629" s="11" t="s">
        <v>251</v>
      </c>
      <c r="J629" s="11">
        <v>26.0</v>
      </c>
      <c r="K629" s="13">
        <v>41008.0</v>
      </c>
      <c r="L629" s="11">
        <f t="shared" si="63"/>
        <v>18</v>
      </c>
      <c r="M629" s="11">
        <v>452239.0</v>
      </c>
      <c r="N629" s="11">
        <v>6827.0</v>
      </c>
      <c r="O629" s="4" t="s">
        <v>817</v>
      </c>
      <c r="P629" s="11">
        <v>319.0</v>
      </c>
      <c r="Q629" s="15">
        <v>933.0</v>
      </c>
      <c r="R629" s="22">
        <v>1.0</v>
      </c>
      <c r="S629">
        <f t="shared" si="1"/>
        <v>2010</v>
      </c>
      <c r="T629">
        <f t="shared" si="2"/>
        <v>10</v>
      </c>
      <c r="AF629" s="18"/>
      <c r="AG629" s="19"/>
      <c r="AL629" s="18"/>
      <c r="AM629" s="19"/>
    </row>
    <row r="630">
      <c r="A630" s="4" t="s">
        <v>1717</v>
      </c>
      <c r="B630" s="10">
        <v>40452.0</v>
      </c>
      <c r="C630" s="11" t="s">
        <v>169</v>
      </c>
      <c r="D630" s="11" t="s">
        <v>51</v>
      </c>
      <c r="E630" s="14" t="s">
        <v>52</v>
      </c>
      <c r="F630" s="11" t="s">
        <v>53</v>
      </c>
      <c r="G630" s="14" t="s">
        <v>54</v>
      </c>
      <c r="H630" s="11" t="s">
        <v>92</v>
      </c>
      <c r="I630" s="11" t="s">
        <v>546</v>
      </c>
      <c r="J630" s="11">
        <v>26.0</v>
      </c>
      <c r="K630" s="13">
        <v>41144.0</v>
      </c>
      <c r="L630" s="11">
        <f t="shared" si="63"/>
        <v>23</v>
      </c>
      <c r="M630" s="11">
        <v>459932.0</v>
      </c>
      <c r="N630" s="11">
        <v>559.0</v>
      </c>
      <c r="O630" s="4" t="s">
        <v>704</v>
      </c>
      <c r="P630" s="11">
        <v>62.0</v>
      </c>
      <c r="Q630" s="15">
        <v>57.667</v>
      </c>
      <c r="R630" s="22">
        <v>1.0</v>
      </c>
      <c r="S630">
        <f t="shared" si="1"/>
        <v>2010</v>
      </c>
      <c r="T630">
        <f t="shared" si="2"/>
        <v>10</v>
      </c>
      <c r="AF630" s="18"/>
      <c r="AG630" s="19"/>
      <c r="AL630" s="18"/>
      <c r="AM630" s="19"/>
    </row>
    <row r="631">
      <c r="A631" s="4" t="s">
        <v>1718</v>
      </c>
      <c r="B631" s="10">
        <v>40452.0</v>
      </c>
      <c r="C631" s="11" t="s">
        <v>179</v>
      </c>
      <c r="D631" s="11" t="s">
        <v>110</v>
      </c>
      <c r="E631" s="14" t="s">
        <v>52</v>
      </c>
      <c r="F631" s="11" t="s">
        <v>53</v>
      </c>
      <c r="G631" s="22" t="s">
        <v>265</v>
      </c>
      <c r="H631" s="14"/>
      <c r="I631" s="14"/>
      <c r="J631" s="11">
        <v>20.0</v>
      </c>
      <c r="K631" s="13">
        <v>41007.0</v>
      </c>
      <c r="L631" s="11">
        <f t="shared" si="63"/>
        <v>18</v>
      </c>
      <c r="M631" s="11">
        <v>521655.0</v>
      </c>
      <c r="N631" s="11">
        <v>5257.0</v>
      </c>
      <c r="P631" s="11">
        <v>5.0</v>
      </c>
      <c r="Q631" s="15">
        <v>3.333</v>
      </c>
      <c r="R631" s="22">
        <v>0.0</v>
      </c>
      <c r="S631">
        <f t="shared" si="1"/>
        <v>2010</v>
      </c>
      <c r="T631">
        <f t="shared" si="2"/>
        <v>10</v>
      </c>
      <c r="AF631" s="18"/>
      <c r="AG631" s="19"/>
      <c r="AL631" s="18"/>
      <c r="AM631" s="19"/>
    </row>
    <row r="632">
      <c r="A632" s="4" t="s">
        <v>1719</v>
      </c>
      <c r="B632" s="10">
        <v>40443.0</v>
      </c>
      <c r="C632" s="11" t="s">
        <v>239</v>
      </c>
      <c r="D632" s="11" t="s">
        <v>91</v>
      </c>
      <c r="E632" s="14" t="s">
        <v>52</v>
      </c>
      <c r="F632" s="11" t="s">
        <v>53</v>
      </c>
      <c r="G632" s="14" t="s">
        <v>54</v>
      </c>
      <c r="H632" s="11" t="s">
        <v>92</v>
      </c>
      <c r="I632" s="11"/>
      <c r="J632" s="11">
        <v>18.0</v>
      </c>
      <c r="K632" s="13">
        <v>41078.0</v>
      </c>
      <c r="L632" s="11">
        <f t="shared" si="63"/>
        <v>21</v>
      </c>
      <c r="M632" s="11">
        <v>592826.0</v>
      </c>
      <c r="N632" s="11">
        <v>11189.0</v>
      </c>
      <c r="P632" s="11">
        <v>43.0</v>
      </c>
      <c r="Q632" s="15">
        <v>186.667</v>
      </c>
      <c r="R632" s="22">
        <v>1.0</v>
      </c>
      <c r="S632">
        <f t="shared" si="1"/>
        <v>2010</v>
      </c>
      <c r="T632">
        <f t="shared" si="2"/>
        <v>9</v>
      </c>
      <c r="AF632" s="18"/>
      <c r="AG632" s="19"/>
      <c r="AL632" s="18"/>
      <c r="AM632" s="19"/>
    </row>
    <row r="633">
      <c r="A633" s="4" t="s">
        <v>1720</v>
      </c>
      <c r="B633" s="10">
        <v>40438.0</v>
      </c>
      <c r="C633" s="11" t="s">
        <v>179</v>
      </c>
      <c r="D633" s="11" t="s">
        <v>82</v>
      </c>
      <c r="E633" s="14" t="s">
        <v>52</v>
      </c>
      <c r="F633" s="11" t="s">
        <v>53</v>
      </c>
      <c r="G633" s="14" t="s">
        <v>54</v>
      </c>
      <c r="H633" s="11" t="s">
        <v>92</v>
      </c>
      <c r="I633" s="11" t="s">
        <v>1721</v>
      </c>
      <c r="J633" s="11">
        <v>24.0</v>
      </c>
      <c r="K633" s="13">
        <v>41004.0</v>
      </c>
      <c r="L633" s="11">
        <f t="shared" si="63"/>
        <v>19</v>
      </c>
      <c r="M633" s="11">
        <v>519175.0</v>
      </c>
      <c r="N633" s="11">
        <v>1349.0</v>
      </c>
      <c r="P633" s="11">
        <v>48.0</v>
      </c>
      <c r="Q633" s="15">
        <v>55.667</v>
      </c>
      <c r="R633" s="22">
        <v>0.0</v>
      </c>
      <c r="S633">
        <f t="shared" si="1"/>
        <v>2010</v>
      </c>
      <c r="T633">
        <f t="shared" si="2"/>
        <v>9</v>
      </c>
      <c r="AF633" s="18"/>
      <c r="AG633" s="19"/>
      <c r="AL633" s="18"/>
      <c r="AM633" s="19"/>
    </row>
    <row r="634">
      <c r="A634" s="4" t="s">
        <v>1722</v>
      </c>
      <c r="B634" s="10">
        <v>40429.0</v>
      </c>
      <c r="C634" s="11" t="s">
        <v>382</v>
      </c>
      <c r="D634" s="11" t="s">
        <v>51</v>
      </c>
      <c r="E634" s="14" t="s">
        <v>52</v>
      </c>
      <c r="F634" s="11" t="s">
        <v>53</v>
      </c>
      <c r="G634" s="22" t="s">
        <v>399</v>
      </c>
      <c r="H634" s="14"/>
      <c r="I634" s="14"/>
      <c r="J634" s="11">
        <v>27.0</v>
      </c>
      <c r="K634" s="13">
        <v>41066.0</v>
      </c>
      <c r="L634" s="11">
        <f t="shared" si="63"/>
        <v>21</v>
      </c>
      <c r="M634" s="11">
        <v>466918.0</v>
      </c>
      <c r="N634" s="11">
        <v>2807.0</v>
      </c>
      <c r="O634" s="4" t="s">
        <v>383</v>
      </c>
      <c r="P634" s="11">
        <v>79.0</v>
      </c>
      <c r="Q634" s="32">
        <v>68.33299999999998</v>
      </c>
      <c r="R634" s="22">
        <v>0.0</v>
      </c>
      <c r="S634">
        <f t="shared" si="1"/>
        <v>2010</v>
      </c>
      <c r="T634">
        <f t="shared" si="2"/>
        <v>9</v>
      </c>
      <c r="AF634" s="18"/>
      <c r="AG634" s="19"/>
      <c r="AL634" s="18"/>
      <c r="AM634" s="19"/>
    </row>
    <row r="635">
      <c r="A635" s="4" t="s">
        <v>1723</v>
      </c>
      <c r="B635" s="10">
        <v>40424.0</v>
      </c>
      <c r="C635" s="11" t="s">
        <v>331</v>
      </c>
      <c r="D635" s="11" t="s">
        <v>51</v>
      </c>
      <c r="E635" s="22" t="s">
        <v>264</v>
      </c>
      <c r="F635" s="11" t="s">
        <v>53</v>
      </c>
      <c r="G635" s="14" t="s">
        <v>54</v>
      </c>
      <c r="H635" s="11" t="s">
        <v>92</v>
      </c>
      <c r="I635" s="11" t="s">
        <v>139</v>
      </c>
      <c r="J635" s="11">
        <v>29.0</v>
      </c>
      <c r="K635" s="13">
        <v>40791.0</v>
      </c>
      <c r="L635" s="11">
        <f t="shared" si="63"/>
        <v>12</v>
      </c>
      <c r="M635" s="11">
        <v>434633.0</v>
      </c>
      <c r="N635" s="11">
        <v>4756.0</v>
      </c>
      <c r="O635" s="4" t="s">
        <v>59</v>
      </c>
      <c r="P635" s="11">
        <v>163.0</v>
      </c>
      <c r="Q635" s="32">
        <v>484.0</v>
      </c>
      <c r="R635" s="11">
        <v>0.0</v>
      </c>
      <c r="S635">
        <f t="shared" si="1"/>
        <v>2010</v>
      </c>
      <c r="T635">
        <f t="shared" si="2"/>
        <v>9</v>
      </c>
      <c r="AF635" s="18"/>
      <c r="AG635" s="19"/>
      <c r="AL635" s="18"/>
      <c r="AM635" s="19"/>
    </row>
    <row r="636">
      <c r="A636" s="4" t="s">
        <v>1724</v>
      </c>
      <c r="B636" s="10">
        <v>40424.0</v>
      </c>
      <c r="C636" s="11" t="s">
        <v>74</v>
      </c>
      <c r="D636" s="11" t="s">
        <v>51</v>
      </c>
      <c r="E636" s="14" t="s">
        <v>52</v>
      </c>
      <c r="F636" s="11" t="s">
        <v>53</v>
      </c>
      <c r="G636" s="14" t="s">
        <v>54</v>
      </c>
      <c r="H636" s="11" t="s">
        <v>92</v>
      </c>
      <c r="I636" s="11" t="s">
        <v>1725</v>
      </c>
      <c r="J636" s="11">
        <v>21.0</v>
      </c>
      <c r="K636" s="13">
        <v>40792.0</v>
      </c>
      <c r="L636" s="11">
        <f t="shared" si="63"/>
        <v>12</v>
      </c>
      <c r="M636" s="11">
        <v>544931.0</v>
      </c>
      <c r="N636" s="11">
        <v>10131.0</v>
      </c>
      <c r="O636" s="4" t="s">
        <v>704</v>
      </c>
      <c r="P636" s="11">
        <v>144.0</v>
      </c>
      <c r="Q636" s="15">
        <v>856.333</v>
      </c>
      <c r="R636" s="22">
        <v>1.0</v>
      </c>
      <c r="S636">
        <f t="shared" si="1"/>
        <v>2010</v>
      </c>
      <c r="T636">
        <f t="shared" si="2"/>
        <v>9</v>
      </c>
      <c r="U636" s="4"/>
      <c r="V636" s="4"/>
      <c r="W636" s="4"/>
      <c r="X636" s="4"/>
      <c r="Y636" s="4"/>
      <c r="Z636" s="4"/>
      <c r="AA636" s="4"/>
      <c r="AB636" s="4"/>
      <c r="AC636" s="4"/>
      <c r="AD636" s="4">
        <v>12.0</v>
      </c>
      <c r="AE636" s="4">
        <v>12.0</v>
      </c>
      <c r="AF636" s="54">
        <v>68.0</v>
      </c>
      <c r="AG636" s="55">
        <v>0.274</v>
      </c>
      <c r="AH636" s="4">
        <v>72.0</v>
      </c>
      <c r="AI636" s="4">
        <v>52.0</v>
      </c>
      <c r="AJ636" s="4">
        <v>5.0</v>
      </c>
      <c r="AK636" s="4">
        <v>5.0</v>
      </c>
      <c r="AL636" s="54">
        <v>24.0</v>
      </c>
      <c r="AM636" s="55">
        <v>0.25</v>
      </c>
      <c r="AN636" s="4">
        <v>39.0</v>
      </c>
      <c r="AO636" s="4">
        <v>33.0</v>
      </c>
    </row>
    <row r="637">
      <c r="A637" s="4" t="s">
        <v>799</v>
      </c>
      <c r="B637" s="10">
        <v>40422.0</v>
      </c>
      <c r="C637" s="11" t="s">
        <v>90</v>
      </c>
      <c r="D637" s="11" t="s">
        <v>51</v>
      </c>
      <c r="E637" s="14" t="s">
        <v>52</v>
      </c>
      <c r="F637" s="11" t="s">
        <v>53</v>
      </c>
      <c r="G637" s="14" t="s">
        <v>54</v>
      </c>
      <c r="H637" s="11" t="s">
        <v>476</v>
      </c>
      <c r="I637" s="11" t="s">
        <v>1209</v>
      </c>
      <c r="J637" s="11">
        <v>26.0</v>
      </c>
      <c r="K637" s="13">
        <v>40788.0</v>
      </c>
      <c r="L637" s="11">
        <f t="shared" si="63"/>
        <v>12</v>
      </c>
      <c r="M637" s="11">
        <v>518875.0</v>
      </c>
      <c r="N637" s="11">
        <v>7773.0</v>
      </c>
      <c r="O637" s="4" t="s">
        <v>188</v>
      </c>
      <c r="P637" s="11">
        <v>293.0</v>
      </c>
      <c r="Q637" s="15">
        <v>271.333</v>
      </c>
      <c r="R637" s="22">
        <v>1.0</v>
      </c>
      <c r="S637">
        <f t="shared" si="1"/>
        <v>2010</v>
      </c>
      <c r="T637">
        <f t="shared" si="2"/>
        <v>9</v>
      </c>
      <c r="AF637" s="18"/>
      <c r="AG637" s="19"/>
      <c r="AL637" s="18"/>
      <c r="AM637" s="19"/>
    </row>
    <row r="638">
      <c r="A638" s="4" t="s">
        <v>1726</v>
      </c>
      <c r="B638" s="10">
        <v>40422.0</v>
      </c>
      <c r="C638" s="11" t="s">
        <v>119</v>
      </c>
      <c r="D638" s="11" t="s">
        <v>170</v>
      </c>
      <c r="E638" s="14" t="s">
        <v>52</v>
      </c>
      <c r="F638" s="11" t="s">
        <v>53</v>
      </c>
      <c r="G638" s="22" t="s">
        <v>312</v>
      </c>
      <c r="H638" s="14"/>
      <c r="I638" s="14"/>
      <c r="J638" s="11">
        <v>16.0</v>
      </c>
      <c r="K638" s="13">
        <v>41081.0</v>
      </c>
      <c r="L638" s="14"/>
      <c r="M638" s="11">
        <v>606957.0</v>
      </c>
      <c r="N638" s="11" t="s">
        <v>1727</v>
      </c>
      <c r="P638" s="11">
        <v>0.0</v>
      </c>
      <c r="Q638" s="15">
        <v>0.0</v>
      </c>
      <c r="R638" s="22">
        <v>0.0</v>
      </c>
      <c r="S638">
        <f t="shared" si="1"/>
        <v>2010</v>
      </c>
      <c r="T638">
        <f t="shared" si="2"/>
        <v>9</v>
      </c>
      <c r="AF638" s="18"/>
      <c r="AG638" s="19"/>
      <c r="AL638" s="18"/>
      <c r="AM638" s="19"/>
    </row>
    <row r="639">
      <c r="A639" s="4" t="s">
        <v>1728</v>
      </c>
      <c r="B639" s="10">
        <v>40418.0</v>
      </c>
      <c r="C639" s="11" t="s">
        <v>259</v>
      </c>
      <c r="D639" s="11" t="s">
        <v>51</v>
      </c>
      <c r="E639" s="14" t="s">
        <v>52</v>
      </c>
      <c r="F639" s="11" t="s">
        <v>76</v>
      </c>
      <c r="G639" s="14" t="s">
        <v>54</v>
      </c>
      <c r="H639" s="11" t="s">
        <v>92</v>
      </c>
      <c r="I639" s="11" t="s">
        <v>1729</v>
      </c>
      <c r="J639" s="11">
        <v>28.0</v>
      </c>
      <c r="K639" s="14"/>
      <c r="L639" s="14"/>
      <c r="M639" s="11">
        <v>408069.0</v>
      </c>
      <c r="N639" s="11">
        <v>3158.0</v>
      </c>
      <c r="O639" s="4" t="s">
        <v>704</v>
      </c>
      <c r="P639" s="11">
        <v>0.0</v>
      </c>
      <c r="Q639" s="32">
        <v>0.0</v>
      </c>
      <c r="R639" s="22">
        <v>0.0</v>
      </c>
      <c r="S639">
        <f t="shared" si="1"/>
        <v>2010</v>
      </c>
      <c r="T639">
        <f t="shared" si="2"/>
        <v>8</v>
      </c>
      <c r="AF639" s="18"/>
      <c r="AG639" s="19"/>
      <c r="AL639" s="18"/>
      <c r="AM639" s="19"/>
    </row>
    <row r="640">
      <c r="A640" s="4" t="s">
        <v>1730</v>
      </c>
      <c r="B640" s="10">
        <v>40415.0</v>
      </c>
      <c r="C640" s="11" t="s">
        <v>169</v>
      </c>
      <c r="D640" s="11" t="s">
        <v>75</v>
      </c>
      <c r="E640" s="14" t="s">
        <v>52</v>
      </c>
      <c r="F640" s="11" t="s">
        <v>53</v>
      </c>
      <c r="G640" s="22" t="s">
        <v>265</v>
      </c>
      <c r="H640" s="14"/>
      <c r="I640" s="14"/>
      <c r="J640" s="11">
        <v>22.0</v>
      </c>
      <c r="K640" s="13">
        <v>41731.0</v>
      </c>
      <c r="L640" s="11">
        <f t="shared" ref="L640:L646" si="64">ROUND(((K640-B640)/365)*12)</f>
        <v>43</v>
      </c>
      <c r="M640" s="11">
        <v>444468.0</v>
      </c>
      <c r="N640" s="11">
        <v>2391.0</v>
      </c>
      <c r="P640" s="11">
        <v>235.0</v>
      </c>
      <c r="Q640" s="15">
        <v>239.0</v>
      </c>
      <c r="R640" s="22">
        <v>1.0</v>
      </c>
      <c r="S640">
        <f t="shared" si="1"/>
        <v>2010</v>
      </c>
      <c r="T640">
        <f t="shared" si="2"/>
        <v>8</v>
      </c>
      <c r="AF640" s="18"/>
      <c r="AG640" s="19"/>
      <c r="AL640" s="18"/>
      <c r="AM640" s="19"/>
    </row>
    <row r="641">
      <c r="A641" s="4" t="s">
        <v>1731</v>
      </c>
      <c r="B641" s="10">
        <v>40414.0</v>
      </c>
      <c r="C641" s="11" t="s">
        <v>97</v>
      </c>
      <c r="D641" s="11" t="s">
        <v>91</v>
      </c>
      <c r="E641" s="14" t="s">
        <v>52</v>
      </c>
      <c r="F641" s="11" t="s">
        <v>53</v>
      </c>
      <c r="G641" s="22" t="s">
        <v>83</v>
      </c>
      <c r="H641" s="14"/>
      <c r="I641" s="14"/>
      <c r="J641" s="11">
        <v>18.0</v>
      </c>
      <c r="K641" s="13">
        <v>41090.0</v>
      </c>
      <c r="L641" s="11">
        <f t="shared" si="64"/>
        <v>22</v>
      </c>
      <c r="M641" s="11">
        <v>573589.0</v>
      </c>
      <c r="N641" s="11">
        <v>14093.0</v>
      </c>
      <c r="P641" s="11">
        <v>23.0</v>
      </c>
      <c r="Q641" s="15">
        <v>30.0</v>
      </c>
      <c r="R641" s="22">
        <v>1.0</v>
      </c>
      <c r="S641">
        <f t="shared" si="1"/>
        <v>2010</v>
      </c>
      <c r="T641">
        <f t="shared" si="2"/>
        <v>8</v>
      </c>
      <c r="AF641" s="18"/>
      <c r="AG641" s="19"/>
      <c r="AL641" s="18"/>
      <c r="AM641" s="19"/>
    </row>
    <row r="642">
      <c r="A642" s="4" t="s">
        <v>615</v>
      </c>
      <c r="B642" s="10">
        <v>40408.0</v>
      </c>
      <c r="C642" s="11" t="s">
        <v>142</v>
      </c>
      <c r="D642" s="11" t="s">
        <v>51</v>
      </c>
      <c r="E642" s="14" t="s">
        <v>52</v>
      </c>
      <c r="F642" s="11" t="s">
        <v>53</v>
      </c>
      <c r="G642" s="14" t="s">
        <v>54</v>
      </c>
      <c r="H642" s="11" t="s">
        <v>92</v>
      </c>
      <c r="I642" s="11" t="s">
        <v>1117</v>
      </c>
      <c r="J642" s="11">
        <v>24.0</v>
      </c>
      <c r="K642" s="13">
        <v>40811.0</v>
      </c>
      <c r="L642" s="11">
        <f t="shared" si="64"/>
        <v>13</v>
      </c>
      <c r="M642" s="11">
        <v>450665.0</v>
      </c>
      <c r="N642" s="11">
        <v>9417.0</v>
      </c>
      <c r="O642" s="4" t="s">
        <v>59</v>
      </c>
      <c r="P642" s="11">
        <v>84.0</v>
      </c>
      <c r="Q642" s="32">
        <v>337.3330000000001</v>
      </c>
      <c r="R642" s="22">
        <v>0.0</v>
      </c>
      <c r="S642">
        <f t="shared" si="1"/>
        <v>2010</v>
      </c>
      <c r="T642">
        <f t="shared" si="2"/>
        <v>8</v>
      </c>
      <c r="U642" s="4"/>
      <c r="V642" s="4"/>
      <c r="W642" s="4"/>
      <c r="X642" s="4"/>
      <c r="Y642" s="4"/>
      <c r="Z642" s="4"/>
      <c r="AA642" s="4"/>
      <c r="AB642" s="4"/>
      <c r="AC642" s="4"/>
      <c r="AD642" s="4">
        <v>31.0</v>
      </c>
      <c r="AE642" s="4">
        <v>14.0</v>
      </c>
      <c r="AF642" s="54">
        <v>107.667</v>
      </c>
      <c r="AG642" s="55">
        <v>0.142</v>
      </c>
      <c r="AH642" s="4">
        <v>92.0</v>
      </c>
      <c r="AI642" s="4">
        <v>95.0</v>
      </c>
      <c r="AJ642" s="4">
        <v>2.0</v>
      </c>
      <c r="AK642" s="4">
        <v>0.0</v>
      </c>
      <c r="AL642" s="54">
        <v>2.333</v>
      </c>
      <c r="AM642" s="55">
        <v>0.25</v>
      </c>
      <c r="AN642" s="4">
        <v>0.0</v>
      </c>
      <c r="AO642" s="4">
        <v>34.0</v>
      </c>
    </row>
    <row r="643">
      <c r="A643" s="4" t="s">
        <v>1733</v>
      </c>
      <c r="B643" s="10">
        <v>40400.0</v>
      </c>
      <c r="C643" s="11" t="s">
        <v>97</v>
      </c>
      <c r="D643" s="11" t="s">
        <v>51</v>
      </c>
      <c r="E643" s="14" t="s">
        <v>52</v>
      </c>
      <c r="F643" s="11" t="s">
        <v>53</v>
      </c>
      <c r="G643" s="14" t="s">
        <v>54</v>
      </c>
      <c r="H643" s="11" t="s">
        <v>126</v>
      </c>
      <c r="I643" s="11" t="s">
        <v>1734</v>
      </c>
      <c r="J643" s="11">
        <v>31.0</v>
      </c>
      <c r="K643" s="13">
        <v>41105.0</v>
      </c>
      <c r="L643" s="11">
        <f t="shared" si="64"/>
        <v>23</v>
      </c>
      <c r="M643" s="11">
        <v>282656.0</v>
      </c>
      <c r="N643" s="11">
        <v>710.0</v>
      </c>
      <c r="O643" s="4" t="s">
        <v>177</v>
      </c>
      <c r="P643" s="11">
        <v>9.0</v>
      </c>
      <c r="Q643" s="32">
        <v>49.333000000000006</v>
      </c>
      <c r="R643" s="22">
        <v>0.0</v>
      </c>
      <c r="S643">
        <f t="shared" si="1"/>
        <v>2010</v>
      </c>
      <c r="T643">
        <f t="shared" si="2"/>
        <v>8</v>
      </c>
      <c r="U643" s="4"/>
      <c r="V643" s="4"/>
      <c r="W643" s="4"/>
      <c r="X643" s="4"/>
      <c r="Y643" s="4"/>
      <c r="Z643" s="4"/>
      <c r="AA643" s="4"/>
      <c r="AB643" s="4"/>
      <c r="AC643" s="4"/>
      <c r="AD643" s="4">
        <v>20.0</v>
      </c>
      <c r="AE643" s="4">
        <v>20.0</v>
      </c>
      <c r="AF643" s="54">
        <v>119.333</v>
      </c>
      <c r="AG643" s="55">
        <v>0.08</v>
      </c>
      <c r="AH643" s="4">
        <v>112.0</v>
      </c>
      <c r="AI643" s="4">
        <v>115.0</v>
      </c>
      <c r="AJ643" s="4">
        <v>9.0</v>
      </c>
      <c r="AK643" s="4">
        <v>9.0</v>
      </c>
      <c r="AL643" s="54">
        <v>49.333</v>
      </c>
      <c r="AM643" s="55">
        <v>0.106</v>
      </c>
      <c r="AN643" s="4">
        <v>88.0</v>
      </c>
      <c r="AO643" s="4">
        <v>106.0</v>
      </c>
    </row>
    <row r="644">
      <c r="A644" s="4" t="s">
        <v>1735</v>
      </c>
      <c r="B644" s="10">
        <v>40391.0</v>
      </c>
      <c r="C644" s="11" t="s">
        <v>169</v>
      </c>
      <c r="D644" s="11" t="s">
        <v>124</v>
      </c>
      <c r="E644" s="14" t="s">
        <v>52</v>
      </c>
      <c r="F644" s="11" t="s">
        <v>53</v>
      </c>
      <c r="G644" s="22" t="s">
        <v>83</v>
      </c>
      <c r="H644" s="14"/>
      <c r="I644" s="14"/>
      <c r="J644" s="11">
        <v>20.0</v>
      </c>
      <c r="K644" s="13">
        <v>40782.0</v>
      </c>
      <c r="L644" s="11">
        <f t="shared" si="64"/>
        <v>13</v>
      </c>
      <c r="M644" s="11">
        <v>517593.0</v>
      </c>
      <c r="N644" s="11">
        <v>5867.0</v>
      </c>
      <c r="P644" s="11">
        <v>85.0</v>
      </c>
      <c r="Q644" s="15">
        <v>484.333</v>
      </c>
      <c r="R644" s="22">
        <v>1.0</v>
      </c>
      <c r="S644">
        <f t="shared" si="1"/>
        <v>2010</v>
      </c>
      <c r="T644">
        <f t="shared" si="2"/>
        <v>8</v>
      </c>
      <c r="AF644" s="18"/>
      <c r="AG644" s="19"/>
      <c r="AL644" s="18"/>
      <c r="AM644" s="19"/>
    </row>
    <row r="645">
      <c r="A645" s="4" t="s">
        <v>1736</v>
      </c>
      <c r="B645" s="10">
        <v>40389.0</v>
      </c>
      <c r="C645" s="11" t="s">
        <v>49</v>
      </c>
      <c r="D645" s="11" t="s">
        <v>51</v>
      </c>
      <c r="E645" s="22" t="s">
        <v>160</v>
      </c>
      <c r="F645" s="11" t="s">
        <v>53</v>
      </c>
      <c r="G645" s="14" t="s">
        <v>54</v>
      </c>
      <c r="H645" s="11" t="s">
        <v>539</v>
      </c>
      <c r="I645" s="11" t="s">
        <v>1737</v>
      </c>
      <c r="J645" s="11">
        <v>23.0</v>
      </c>
      <c r="K645" s="13">
        <v>40746.0</v>
      </c>
      <c r="L645" s="11">
        <f t="shared" si="64"/>
        <v>12</v>
      </c>
      <c r="M645" s="11">
        <v>452035.0</v>
      </c>
      <c r="N645" s="11">
        <v>49.0</v>
      </c>
      <c r="O645" s="4" t="s">
        <v>805</v>
      </c>
      <c r="P645" s="11">
        <v>191.0</v>
      </c>
      <c r="Q645" s="15">
        <v>641.0</v>
      </c>
      <c r="R645" s="11">
        <v>0.0</v>
      </c>
      <c r="S645">
        <f t="shared" si="1"/>
        <v>2010</v>
      </c>
      <c r="T645">
        <f t="shared" si="2"/>
        <v>7</v>
      </c>
      <c r="AF645" s="18"/>
      <c r="AG645" s="19"/>
      <c r="AL645" s="18"/>
      <c r="AM645" s="19"/>
    </row>
    <row r="646">
      <c r="A646" s="4" t="s">
        <v>1738</v>
      </c>
      <c r="B646" s="10">
        <v>40372.0</v>
      </c>
      <c r="C646" s="11" t="s">
        <v>169</v>
      </c>
      <c r="D646" s="11" t="s">
        <v>170</v>
      </c>
      <c r="E646" s="14" t="s">
        <v>52</v>
      </c>
      <c r="F646" s="11" t="s">
        <v>53</v>
      </c>
      <c r="G646" s="14" t="s">
        <v>54</v>
      </c>
      <c r="H646" s="11" t="s">
        <v>153</v>
      </c>
      <c r="I646" s="11"/>
      <c r="J646" s="11">
        <v>18.0</v>
      </c>
      <c r="K646" s="13">
        <v>40733.0</v>
      </c>
      <c r="L646" s="11">
        <f t="shared" si="64"/>
        <v>12</v>
      </c>
      <c r="M646" s="11">
        <v>592125.0</v>
      </c>
      <c r="N646" s="11" t="s">
        <v>1739</v>
      </c>
      <c r="P646" s="11">
        <v>0.0</v>
      </c>
      <c r="Q646" s="15">
        <v>0.0</v>
      </c>
      <c r="R646" s="22">
        <v>1.0</v>
      </c>
      <c r="S646">
        <f t="shared" si="1"/>
        <v>2010</v>
      </c>
      <c r="T646">
        <f t="shared" si="2"/>
        <v>7</v>
      </c>
      <c r="AF646" s="18"/>
      <c r="AG646" s="19"/>
      <c r="AL646" s="18"/>
      <c r="AM646" s="19"/>
    </row>
    <row r="647">
      <c r="A647" s="4" t="s">
        <v>1741</v>
      </c>
      <c r="B647" s="10">
        <v>40368.0</v>
      </c>
      <c r="C647" s="11" t="s">
        <v>142</v>
      </c>
      <c r="D647" s="11" t="s">
        <v>82</v>
      </c>
      <c r="E647" s="11" t="s">
        <v>52</v>
      </c>
      <c r="F647" s="11" t="s">
        <v>53</v>
      </c>
      <c r="G647" s="11" t="s">
        <v>54</v>
      </c>
      <c r="H647" s="11" t="s">
        <v>211</v>
      </c>
      <c r="I647" s="11" t="s">
        <v>1742</v>
      </c>
      <c r="J647" s="11">
        <v>24.0</v>
      </c>
      <c r="K647" s="13">
        <v>40544.0</v>
      </c>
      <c r="L647" s="11"/>
      <c r="M647" s="11"/>
      <c r="N647" s="11"/>
      <c r="O647" s="4" t="s">
        <v>59</v>
      </c>
      <c r="P647" s="11">
        <v>0.0</v>
      </c>
      <c r="Q647" s="15">
        <v>0.0</v>
      </c>
      <c r="R647" s="22">
        <v>0.0</v>
      </c>
      <c r="S647">
        <f t="shared" si="1"/>
        <v>2010</v>
      </c>
      <c r="T647">
        <f t="shared" si="2"/>
        <v>7</v>
      </c>
      <c r="AF647" s="18"/>
      <c r="AG647" s="19"/>
      <c r="AL647" s="18"/>
      <c r="AM647" s="19"/>
    </row>
    <row r="648">
      <c r="A648" s="4" t="s">
        <v>1743</v>
      </c>
      <c r="B648" s="10">
        <v>40360.0</v>
      </c>
      <c r="C648" s="11" t="s">
        <v>96</v>
      </c>
      <c r="D648" s="11" t="s">
        <v>151</v>
      </c>
      <c r="E648" s="11" t="s">
        <v>52</v>
      </c>
      <c r="F648" s="11" t="s">
        <v>53</v>
      </c>
      <c r="G648" s="11" t="s">
        <v>54</v>
      </c>
      <c r="H648" s="11" t="s">
        <v>412</v>
      </c>
      <c r="I648" s="11" t="s">
        <v>563</v>
      </c>
      <c r="J648" s="11">
        <v>21.0</v>
      </c>
      <c r="K648" s="13">
        <v>41074.0</v>
      </c>
      <c r="L648" s="11"/>
      <c r="M648" s="11">
        <v>592310.0</v>
      </c>
      <c r="N648" s="11" t="s">
        <v>1744</v>
      </c>
      <c r="P648" s="11">
        <v>0.0</v>
      </c>
      <c r="Q648" s="15">
        <v>0.0</v>
      </c>
      <c r="R648" s="22">
        <v>1.0</v>
      </c>
      <c r="S648">
        <f t="shared" si="1"/>
        <v>2010</v>
      </c>
      <c r="T648">
        <f t="shared" si="2"/>
        <v>7</v>
      </c>
      <c r="AF648" s="18"/>
      <c r="AG648" s="19"/>
      <c r="AL648" s="18"/>
      <c r="AM648" s="19"/>
    </row>
    <row r="649">
      <c r="A649" s="4" t="s">
        <v>1745</v>
      </c>
      <c r="B649" s="10">
        <v>40360.0</v>
      </c>
      <c r="C649" s="11" t="s">
        <v>119</v>
      </c>
      <c r="D649" s="11" t="s">
        <v>124</v>
      </c>
      <c r="E649" s="11" t="s">
        <v>52</v>
      </c>
      <c r="F649" s="11" t="s">
        <v>53</v>
      </c>
      <c r="G649" s="11" t="s">
        <v>54</v>
      </c>
      <c r="H649" s="11" t="s">
        <v>316</v>
      </c>
      <c r="I649" s="11" t="s">
        <v>316</v>
      </c>
      <c r="J649" s="11">
        <v>22.0</v>
      </c>
      <c r="K649" s="13">
        <v>40731.0</v>
      </c>
      <c r="L649" s="11">
        <f t="shared" ref="L649:L650" si="65">ROUND(((K649-B649)/365)*12)</f>
        <v>12</v>
      </c>
      <c r="M649" s="11">
        <v>572024.0</v>
      </c>
      <c r="N649" s="11" t="s">
        <v>1746</v>
      </c>
      <c r="P649" s="11">
        <v>0.0</v>
      </c>
      <c r="Q649" s="15">
        <v>0.0</v>
      </c>
      <c r="R649" s="22">
        <v>0.0</v>
      </c>
      <c r="S649">
        <f t="shared" si="1"/>
        <v>2010</v>
      </c>
      <c r="T649">
        <f t="shared" si="2"/>
        <v>7</v>
      </c>
      <c r="AF649" s="18"/>
      <c r="AG649" s="19"/>
      <c r="AL649" s="18"/>
      <c r="AM649" s="19"/>
    </row>
    <row r="650">
      <c r="A650" s="4" t="s">
        <v>1747</v>
      </c>
      <c r="B650" s="10">
        <v>40360.0</v>
      </c>
      <c r="C650" s="11" t="s">
        <v>156</v>
      </c>
      <c r="D650" s="11" t="s">
        <v>82</v>
      </c>
      <c r="E650" s="22" t="s">
        <v>160</v>
      </c>
      <c r="F650" s="11" t="s">
        <v>76</v>
      </c>
      <c r="G650" s="14" t="s">
        <v>54</v>
      </c>
      <c r="H650" s="11" t="s">
        <v>449</v>
      </c>
      <c r="I650" s="11" t="s">
        <v>1122</v>
      </c>
      <c r="J650" s="11">
        <v>25.0</v>
      </c>
      <c r="K650" s="13">
        <v>40642.0</v>
      </c>
      <c r="L650" s="11">
        <f t="shared" si="65"/>
        <v>9</v>
      </c>
      <c r="M650" s="11">
        <v>501966.0</v>
      </c>
      <c r="N650" s="11" t="s">
        <v>1748</v>
      </c>
      <c r="P650" s="11">
        <v>0.0</v>
      </c>
      <c r="Q650" s="15">
        <v>0.0</v>
      </c>
      <c r="R650" s="22">
        <v>0.0</v>
      </c>
      <c r="S650">
        <f t="shared" si="1"/>
        <v>2010</v>
      </c>
      <c r="T650">
        <f t="shared" si="2"/>
        <v>7</v>
      </c>
      <c r="AF650" s="18"/>
      <c r="AG650" s="19"/>
      <c r="AL650" s="18"/>
      <c r="AM650" s="19"/>
    </row>
    <row r="651">
      <c r="A651" s="4" t="s">
        <v>1749</v>
      </c>
      <c r="B651" s="10">
        <v>40333.0</v>
      </c>
      <c r="C651" s="11" t="s">
        <v>142</v>
      </c>
      <c r="D651" s="11" t="s">
        <v>75</v>
      </c>
      <c r="E651" s="11" t="s">
        <v>52</v>
      </c>
      <c r="F651" s="11" t="s">
        <v>53</v>
      </c>
      <c r="G651" s="11" t="s">
        <v>54</v>
      </c>
      <c r="H651" s="11" t="s">
        <v>539</v>
      </c>
      <c r="I651" s="11"/>
      <c r="J651" s="11">
        <v>24.0</v>
      </c>
      <c r="K651" s="13"/>
      <c r="L651" s="11"/>
      <c r="M651" s="11">
        <v>444970.0</v>
      </c>
      <c r="N651" s="11">
        <v>7734.0</v>
      </c>
      <c r="O651" s="4" t="s">
        <v>59</v>
      </c>
      <c r="P651" s="11">
        <v>0.0</v>
      </c>
      <c r="Q651" s="15">
        <v>0.0</v>
      </c>
      <c r="R651" s="22">
        <v>0.0</v>
      </c>
      <c r="S651">
        <f t="shared" si="1"/>
        <v>2010</v>
      </c>
      <c r="T651">
        <f t="shared" si="2"/>
        <v>6</v>
      </c>
      <c r="AF651" s="18"/>
      <c r="AG651" s="19"/>
      <c r="AL651" s="18"/>
      <c r="AM651" s="19"/>
    </row>
    <row r="652">
      <c r="A652" s="4" t="s">
        <v>1750</v>
      </c>
      <c r="B652" s="10">
        <v>40333.0</v>
      </c>
      <c r="C652" s="11" t="s">
        <v>125</v>
      </c>
      <c r="D652" s="11" t="s">
        <v>75</v>
      </c>
      <c r="E652" s="14" t="s">
        <v>52</v>
      </c>
      <c r="F652" s="11" t="s">
        <v>76</v>
      </c>
      <c r="G652" s="14" t="s">
        <v>54</v>
      </c>
      <c r="H652" s="11" t="s">
        <v>279</v>
      </c>
      <c r="I652" s="11" t="s">
        <v>1751</v>
      </c>
      <c r="J652" s="11">
        <v>25.0</v>
      </c>
      <c r="K652" s="13">
        <v>40715.0</v>
      </c>
      <c r="L652" s="11">
        <f t="shared" ref="L652:L655" si="66">ROUND(((K652-B652)/365)*12)</f>
        <v>13</v>
      </c>
      <c r="M652" s="11">
        <v>453264.0</v>
      </c>
      <c r="N652" s="11">
        <v>4741.0</v>
      </c>
      <c r="P652" s="11">
        <v>86.0</v>
      </c>
      <c r="Q652" s="15">
        <v>52.667</v>
      </c>
      <c r="R652" s="11">
        <v>0.0</v>
      </c>
      <c r="S652">
        <f t="shared" si="1"/>
        <v>2010</v>
      </c>
      <c r="T652">
        <f t="shared" si="2"/>
        <v>6</v>
      </c>
      <c r="AF652" s="18"/>
      <c r="AG652" s="19"/>
      <c r="AL652" s="18"/>
      <c r="AM652" s="19"/>
    </row>
    <row r="653">
      <c r="A653" s="4" t="s">
        <v>1752</v>
      </c>
      <c r="B653" s="10">
        <v>40330.0</v>
      </c>
      <c r="C653" s="11" t="s">
        <v>711</v>
      </c>
      <c r="D653" s="11" t="s">
        <v>124</v>
      </c>
      <c r="E653" s="11" t="s">
        <v>52</v>
      </c>
      <c r="F653" s="11" t="s">
        <v>53</v>
      </c>
      <c r="G653" s="11" t="s">
        <v>54</v>
      </c>
      <c r="H653" s="11" t="s">
        <v>1312</v>
      </c>
      <c r="I653" s="11"/>
      <c r="J653" s="11">
        <v>20.0</v>
      </c>
      <c r="K653" s="13">
        <v>40716.0</v>
      </c>
      <c r="L653" s="11">
        <f t="shared" si="66"/>
        <v>13</v>
      </c>
      <c r="M653" s="11">
        <v>542884.0</v>
      </c>
      <c r="N653" s="11">
        <v>7119.0</v>
      </c>
      <c r="O653" s="4"/>
      <c r="P653" s="11">
        <v>1.0</v>
      </c>
      <c r="Q653" s="15">
        <v>2.0</v>
      </c>
      <c r="R653" s="22">
        <v>1.0</v>
      </c>
      <c r="S653">
        <f t="shared" si="1"/>
        <v>2010</v>
      </c>
      <c r="T653">
        <f t="shared" si="2"/>
        <v>6</v>
      </c>
      <c r="AF653" s="18"/>
      <c r="AG653" s="19"/>
      <c r="AL653" s="18"/>
      <c r="AM653" s="19"/>
    </row>
    <row r="654">
      <c r="A654" s="4" t="s">
        <v>1753</v>
      </c>
      <c r="B654" s="10">
        <v>40326.0</v>
      </c>
      <c r="C654" s="11" t="s">
        <v>159</v>
      </c>
      <c r="D654" s="11" t="s">
        <v>51</v>
      </c>
      <c r="E654" s="14" t="s">
        <v>52</v>
      </c>
      <c r="F654" s="11" t="s">
        <v>53</v>
      </c>
      <c r="G654" s="14" t="s">
        <v>54</v>
      </c>
      <c r="H654" s="11" t="s">
        <v>260</v>
      </c>
      <c r="I654" s="11"/>
      <c r="J654" s="11">
        <v>28.0</v>
      </c>
      <c r="K654" s="13">
        <v>41489.0</v>
      </c>
      <c r="L654" s="11">
        <f t="shared" si="66"/>
        <v>38</v>
      </c>
      <c r="M654" s="11">
        <v>435261.0</v>
      </c>
      <c r="N654" s="11">
        <v>3193.0</v>
      </c>
      <c r="O654" s="4" t="s">
        <v>704</v>
      </c>
      <c r="P654" s="11">
        <v>16.0</v>
      </c>
      <c r="Q654" s="15">
        <v>28.667</v>
      </c>
      <c r="R654" s="22">
        <v>0.0</v>
      </c>
      <c r="S654">
        <f t="shared" si="1"/>
        <v>2010</v>
      </c>
      <c r="T654">
        <f t="shared" si="2"/>
        <v>5</v>
      </c>
      <c r="AF654" s="18"/>
      <c r="AG654" s="19"/>
      <c r="AL654" s="18"/>
      <c r="AM654" s="19"/>
    </row>
    <row r="655">
      <c r="A655" s="4" t="s">
        <v>1754</v>
      </c>
      <c r="B655" s="10">
        <v>40324.0</v>
      </c>
      <c r="C655" s="11" t="s">
        <v>97</v>
      </c>
      <c r="D655" s="11" t="s">
        <v>82</v>
      </c>
      <c r="E655" s="14" t="s">
        <v>52</v>
      </c>
      <c r="F655" s="11" t="s">
        <v>53</v>
      </c>
      <c r="G655" s="22" t="s">
        <v>582</v>
      </c>
      <c r="H655" s="14"/>
      <c r="I655" s="14"/>
      <c r="J655" s="11">
        <v>21.0</v>
      </c>
      <c r="K655" s="13">
        <v>41048.0</v>
      </c>
      <c r="L655" s="11">
        <f t="shared" si="66"/>
        <v>24</v>
      </c>
      <c r="M655" s="11">
        <v>504186.0</v>
      </c>
      <c r="N655" s="11">
        <v>5595.0</v>
      </c>
      <c r="P655" s="11">
        <v>21.0</v>
      </c>
      <c r="Q655" s="15">
        <v>29.0</v>
      </c>
      <c r="R655" s="22">
        <v>1.0</v>
      </c>
      <c r="S655">
        <f t="shared" si="1"/>
        <v>2010</v>
      </c>
      <c r="T655">
        <f t="shared" si="2"/>
        <v>5</v>
      </c>
      <c r="AF655" s="18"/>
      <c r="AG655" s="19"/>
      <c r="AL655" s="18"/>
      <c r="AM655" s="19"/>
    </row>
    <row r="656">
      <c r="A656" s="4" t="s">
        <v>1755</v>
      </c>
      <c r="B656" s="10">
        <v>40323.0</v>
      </c>
      <c r="C656" s="11" t="s">
        <v>103</v>
      </c>
      <c r="D656" s="11" t="s">
        <v>51</v>
      </c>
      <c r="E656" s="22" t="s">
        <v>264</v>
      </c>
      <c r="F656" s="11" t="s">
        <v>53</v>
      </c>
      <c r="G656" s="14" t="s">
        <v>54</v>
      </c>
      <c r="H656" s="11" t="s">
        <v>1756</v>
      </c>
      <c r="I656" s="11" t="s">
        <v>1757</v>
      </c>
      <c r="J656" s="11">
        <v>37.0</v>
      </c>
      <c r="K656" s="14"/>
      <c r="L656" s="14"/>
      <c r="M656" s="11">
        <v>400120.0</v>
      </c>
      <c r="N656" s="11">
        <v>7243.0</v>
      </c>
      <c r="O656" s="4" t="s">
        <v>817</v>
      </c>
      <c r="P656" s="11">
        <v>0.0</v>
      </c>
      <c r="Q656" s="32">
        <v>0.0</v>
      </c>
      <c r="R656" s="22">
        <v>0.0</v>
      </c>
      <c r="S656">
        <f t="shared" si="1"/>
        <v>2010</v>
      </c>
      <c r="T656">
        <f t="shared" si="2"/>
        <v>5</v>
      </c>
      <c r="AF656" s="18"/>
      <c r="AG656" s="19"/>
      <c r="AL656" s="18"/>
      <c r="AM656" s="19"/>
    </row>
    <row r="657">
      <c r="A657" s="4" t="s">
        <v>1758</v>
      </c>
      <c r="B657" s="10">
        <v>40319.0</v>
      </c>
      <c r="C657" s="11" t="s">
        <v>119</v>
      </c>
      <c r="D657" s="11" t="s">
        <v>75</v>
      </c>
      <c r="E657" s="14" t="s">
        <v>52</v>
      </c>
      <c r="F657" s="11" t="s">
        <v>53</v>
      </c>
      <c r="G657" s="14" t="s">
        <v>54</v>
      </c>
      <c r="H657" s="11" t="s">
        <v>92</v>
      </c>
      <c r="I657" s="11" t="s">
        <v>1760</v>
      </c>
      <c r="J657" s="11">
        <v>32.0</v>
      </c>
      <c r="K657" s="13">
        <v>40687.0</v>
      </c>
      <c r="L657" s="11">
        <f t="shared" ref="L657:L658" si="67">ROUND(((K657-B657)/365)*12)</f>
        <v>12</v>
      </c>
      <c r="M657" s="11">
        <v>430680.0</v>
      </c>
      <c r="N657" s="11">
        <v>2163.0</v>
      </c>
      <c r="P657" s="11">
        <v>0.0</v>
      </c>
      <c r="Q657" s="15">
        <v>0.0</v>
      </c>
      <c r="R657" s="22">
        <v>0.0</v>
      </c>
      <c r="S657">
        <f t="shared" si="1"/>
        <v>2010</v>
      </c>
      <c r="T657">
        <f t="shared" si="2"/>
        <v>5</v>
      </c>
      <c r="AF657" s="18"/>
      <c r="AG657" s="19"/>
      <c r="AL657" s="18"/>
      <c r="AM657" s="19"/>
    </row>
    <row r="658">
      <c r="A658" s="4" t="s">
        <v>1554</v>
      </c>
      <c r="B658" s="10">
        <v>40316.0</v>
      </c>
      <c r="C658" s="11" t="s">
        <v>109</v>
      </c>
      <c r="D658" s="11" t="s">
        <v>170</v>
      </c>
      <c r="E658" s="14" t="s">
        <v>52</v>
      </c>
      <c r="F658" s="11" t="s">
        <v>76</v>
      </c>
      <c r="G658" s="14" t="s">
        <v>54</v>
      </c>
      <c r="H658" s="11" t="s">
        <v>153</v>
      </c>
      <c r="I658" s="11"/>
      <c r="J658" s="11">
        <v>19.0</v>
      </c>
      <c r="K658" s="13">
        <v>41080.0</v>
      </c>
      <c r="L658" s="11">
        <f t="shared" si="67"/>
        <v>25</v>
      </c>
      <c r="M658" s="11">
        <v>571927.0</v>
      </c>
      <c r="N658" s="11">
        <v>13361.0</v>
      </c>
      <c r="O658" s="4" t="s">
        <v>287</v>
      </c>
      <c r="P658" s="11">
        <v>28.0</v>
      </c>
      <c r="Q658" s="15">
        <v>168.0</v>
      </c>
      <c r="R658" s="22">
        <v>1.0</v>
      </c>
      <c r="S658">
        <f t="shared" si="1"/>
        <v>2010</v>
      </c>
      <c r="T658">
        <f t="shared" si="2"/>
        <v>5</v>
      </c>
      <c r="AF658" s="18"/>
      <c r="AG658" s="19"/>
      <c r="AL658" s="18"/>
      <c r="AM658" s="19"/>
    </row>
    <row r="659">
      <c r="A659" s="4" t="s">
        <v>1761</v>
      </c>
      <c r="B659" s="10">
        <v>40309.0</v>
      </c>
      <c r="C659" s="11" t="s">
        <v>209</v>
      </c>
      <c r="D659" s="11" t="s">
        <v>82</v>
      </c>
      <c r="E659" s="14" t="s">
        <v>52</v>
      </c>
      <c r="F659" s="11" t="s">
        <v>53</v>
      </c>
      <c r="G659" s="22" t="s">
        <v>83</v>
      </c>
      <c r="H659" s="14"/>
      <c r="I659" s="14"/>
      <c r="J659" s="11">
        <v>25.0</v>
      </c>
      <c r="K659" s="13"/>
      <c r="L659" s="11"/>
      <c r="M659" s="11">
        <v>489759.0</v>
      </c>
      <c r="N659" s="11" t="s">
        <v>1762</v>
      </c>
      <c r="P659" s="11">
        <v>0.0</v>
      </c>
      <c r="Q659" s="15">
        <v>0.0</v>
      </c>
      <c r="R659" s="11">
        <v>0.0</v>
      </c>
      <c r="S659">
        <f t="shared" si="1"/>
        <v>2010</v>
      </c>
      <c r="T659">
        <f t="shared" si="2"/>
        <v>5</v>
      </c>
      <c r="AF659" s="18"/>
      <c r="AG659" s="19"/>
      <c r="AL659" s="18"/>
      <c r="AM659" s="19"/>
    </row>
    <row r="660">
      <c r="A660" s="4" t="s">
        <v>1763</v>
      </c>
      <c r="B660" s="10">
        <v>40299.0</v>
      </c>
      <c r="C660" s="11" t="s">
        <v>119</v>
      </c>
      <c r="D660" s="11" t="s">
        <v>151</v>
      </c>
      <c r="E660" s="11" t="s">
        <v>52</v>
      </c>
      <c r="F660" s="11" t="s">
        <v>53</v>
      </c>
      <c r="G660" s="11" t="s">
        <v>54</v>
      </c>
      <c r="H660" s="11" t="s">
        <v>1764</v>
      </c>
      <c r="I660" s="11" t="s">
        <v>1765</v>
      </c>
      <c r="J660" s="11">
        <v>21.0</v>
      </c>
      <c r="K660" s="13">
        <v>41447.0</v>
      </c>
      <c r="L660" s="11"/>
      <c r="M660" s="11">
        <v>643550.0</v>
      </c>
      <c r="N660" s="11">
        <v>15301.0</v>
      </c>
      <c r="O660" s="4" t="s">
        <v>404</v>
      </c>
      <c r="P660" s="11">
        <v>2.0</v>
      </c>
      <c r="Q660" s="15">
        <v>2.333</v>
      </c>
      <c r="R660" s="22">
        <v>1.0</v>
      </c>
      <c r="S660">
        <f t="shared" si="1"/>
        <v>2010</v>
      </c>
      <c r="T660">
        <f t="shared" si="2"/>
        <v>5</v>
      </c>
      <c r="AF660" s="18"/>
      <c r="AG660" s="19"/>
      <c r="AL660" s="18"/>
      <c r="AM660" s="19"/>
    </row>
    <row r="661">
      <c r="A661" s="4" t="s">
        <v>1766</v>
      </c>
      <c r="B661" s="10">
        <v>40296.0</v>
      </c>
      <c r="C661" s="11" t="s">
        <v>259</v>
      </c>
      <c r="D661" s="11" t="s">
        <v>75</v>
      </c>
      <c r="E661" s="11" t="s">
        <v>52</v>
      </c>
      <c r="F661" s="11" t="s">
        <v>53</v>
      </c>
      <c r="G661" s="11" t="s">
        <v>54</v>
      </c>
      <c r="H661" s="11" t="s">
        <v>112</v>
      </c>
      <c r="I661" s="11" t="s">
        <v>1768</v>
      </c>
      <c r="J661" s="11">
        <v>27.0</v>
      </c>
      <c r="K661" s="13">
        <v>40717.0</v>
      </c>
      <c r="L661" s="11">
        <f t="shared" ref="L661:L663" si="68">ROUND(((K661-B661)/365)*12)</f>
        <v>14</v>
      </c>
      <c r="M661" s="11">
        <v>455090.0</v>
      </c>
      <c r="N661" s="11">
        <v>7487.0</v>
      </c>
      <c r="P661" s="11">
        <v>1.0</v>
      </c>
      <c r="Q661" s="15">
        <v>0.667</v>
      </c>
      <c r="R661" s="22">
        <v>0.0</v>
      </c>
      <c r="S661">
        <f t="shared" si="1"/>
        <v>2010</v>
      </c>
      <c r="T661">
        <f t="shared" si="2"/>
        <v>4</v>
      </c>
      <c r="AF661" s="18"/>
      <c r="AG661" s="19"/>
      <c r="AL661" s="18"/>
      <c r="AM661" s="19"/>
    </row>
    <row r="662">
      <c r="A662" s="4" t="s">
        <v>335</v>
      </c>
      <c r="B662" s="10">
        <v>40288.0</v>
      </c>
      <c r="C662" s="11" t="s">
        <v>138</v>
      </c>
      <c r="D662" s="11" t="s">
        <v>82</v>
      </c>
      <c r="E662" s="14" t="s">
        <v>52</v>
      </c>
      <c r="F662" s="11" t="s">
        <v>53</v>
      </c>
      <c r="G662" s="14" t="s">
        <v>54</v>
      </c>
      <c r="H662" s="11" t="s">
        <v>260</v>
      </c>
      <c r="I662" s="11"/>
      <c r="J662" s="11">
        <v>25.0</v>
      </c>
      <c r="K662" s="13">
        <v>40790.0</v>
      </c>
      <c r="L662" s="11">
        <f t="shared" si="68"/>
        <v>17</v>
      </c>
      <c r="M662" s="11">
        <v>451600.0</v>
      </c>
      <c r="N662" s="11">
        <v>4067.0</v>
      </c>
      <c r="P662" s="11">
        <v>13.0</v>
      </c>
      <c r="Q662" s="15">
        <v>12.667</v>
      </c>
      <c r="R662" s="22">
        <v>0.0</v>
      </c>
      <c r="S662">
        <f t="shared" si="1"/>
        <v>2010</v>
      </c>
      <c r="T662">
        <f t="shared" si="2"/>
        <v>4</v>
      </c>
      <c r="AF662" s="18"/>
      <c r="AG662" s="19"/>
      <c r="AL662" s="18"/>
      <c r="AM662" s="19"/>
    </row>
    <row r="663">
      <c r="A663" s="4" t="s">
        <v>1769</v>
      </c>
      <c r="B663" s="10">
        <v>40283.0</v>
      </c>
      <c r="C663" s="11" t="s">
        <v>103</v>
      </c>
      <c r="D663" s="11" t="s">
        <v>151</v>
      </c>
      <c r="E663" s="11" t="s">
        <v>52</v>
      </c>
      <c r="F663" s="11" t="s">
        <v>53</v>
      </c>
      <c r="G663" s="11" t="s">
        <v>54</v>
      </c>
      <c r="H663" s="11" t="s">
        <v>232</v>
      </c>
      <c r="I663" s="11" t="s">
        <v>302</v>
      </c>
      <c r="J663" s="11">
        <v>22.0</v>
      </c>
      <c r="K663" s="13">
        <v>40712.0</v>
      </c>
      <c r="L663" s="11">
        <f t="shared" si="68"/>
        <v>14</v>
      </c>
      <c r="M663" s="11">
        <v>571988.0</v>
      </c>
      <c r="N663" s="11" t="s">
        <v>1770</v>
      </c>
      <c r="O663" s="4"/>
      <c r="P663" s="11">
        <v>0.0</v>
      </c>
      <c r="Q663" s="15">
        <v>0.0</v>
      </c>
      <c r="R663" s="11">
        <v>0.0</v>
      </c>
      <c r="S663">
        <f t="shared" si="1"/>
        <v>2010</v>
      </c>
      <c r="T663">
        <f t="shared" si="2"/>
        <v>4</v>
      </c>
      <c r="AF663" s="18"/>
      <c r="AG663" s="19"/>
      <c r="AL663" s="18"/>
      <c r="AM663" s="19"/>
    </row>
    <row r="664">
      <c r="A664" s="4" t="s">
        <v>173</v>
      </c>
      <c r="B664" s="10">
        <v>40280.0</v>
      </c>
      <c r="C664" s="11" t="s">
        <v>179</v>
      </c>
      <c r="D664" s="11" t="s">
        <v>170</v>
      </c>
      <c r="E664" s="11" t="s">
        <v>52</v>
      </c>
      <c r="F664" s="11" t="s">
        <v>76</v>
      </c>
      <c r="G664" s="11" t="s">
        <v>54</v>
      </c>
      <c r="H664" s="11" t="s">
        <v>157</v>
      </c>
      <c r="I664" s="11" t="s">
        <v>218</v>
      </c>
      <c r="J664" s="11">
        <v>17.0</v>
      </c>
      <c r="K664" s="13"/>
      <c r="L664" s="11"/>
      <c r="M664" s="11">
        <v>605179.0</v>
      </c>
      <c r="N664" s="11" t="s">
        <v>1695</v>
      </c>
      <c r="O664" s="4"/>
      <c r="P664" s="11">
        <v>0.0</v>
      </c>
      <c r="Q664" s="15">
        <v>0.0</v>
      </c>
      <c r="R664" s="22">
        <v>0.0</v>
      </c>
      <c r="S664">
        <f t="shared" si="1"/>
        <v>2010</v>
      </c>
      <c r="T664">
        <f t="shared" si="2"/>
        <v>4</v>
      </c>
      <c r="AF664" s="18"/>
      <c r="AG664" s="19"/>
      <c r="AL664" s="18"/>
      <c r="AM664" s="19"/>
    </row>
    <row r="665">
      <c r="A665" s="4" t="s">
        <v>1771</v>
      </c>
      <c r="B665" s="10">
        <v>40276.0</v>
      </c>
      <c r="C665" s="11" t="s">
        <v>114</v>
      </c>
      <c r="D665" s="11" t="s">
        <v>82</v>
      </c>
      <c r="E665" s="11" t="s">
        <v>52</v>
      </c>
      <c r="F665" s="11" t="s">
        <v>53</v>
      </c>
      <c r="G665" s="11" t="s">
        <v>54</v>
      </c>
      <c r="H665" s="11" t="s">
        <v>211</v>
      </c>
      <c r="I665" s="11" t="s">
        <v>211</v>
      </c>
      <c r="J665" s="11">
        <v>24.0</v>
      </c>
      <c r="K665" s="13">
        <v>40682.0</v>
      </c>
      <c r="L665" s="11">
        <f t="shared" ref="L665:L668" si="69">ROUND(((K665-B665)/365)*12)</f>
        <v>13</v>
      </c>
      <c r="M665" s="11">
        <v>543942.0</v>
      </c>
      <c r="N665" s="11">
        <v>8532.0</v>
      </c>
      <c r="O665" s="4"/>
      <c r="P665" s="11">
        <v>71.0</v>
      </c>
      <c r="Q665" s="15">
        <v>68.0</v>
      </c>
      <c r="R665" s="22">
        <v>1.0</v>
      </c>
      <c r="S665">
        <f t="shared" si="1"/>
        <v>2010</v>
      </c>
      <c r="T665">
        <f t="shared" si="2"/>
        <v>4</v>
      </c>
      <c r="AF665" s="18"/>
      <c r="AG665" s="19"/>
      <c r="AL665" s="18"/>
      <c r="AM665" s="19"/>
    </row>
    <row r="666">
      <c r="A666" s="4" t="s">
        <v>1773</v>
      </c>
      <c r="B666" s="10">
        <v>40274.0</v>
      </c>
      <c r="C666" s="11" t="s">
        <v>133</v>
      </c>
      <c r="D666" s="11" t="s">
        <v>51</v>
      </c>
      <c r="E666" s="14" t="s">
        <v>52</v>
      </c>
      <c r="F666" s="11" t="s">
        <v>53</v>
      </c>
      <c r="G666" s="22" t="s">
        <v>735</v>
      </c>
      <c r="H666" s="14"/>
      <c r="I666" s="14"/>
      <c r="J666" s="11">
        <v>24.0</v>
      </c>
      <c r="K666" s="13">
        <v>40799.0</v>
      </c>
      <c r="L666" s="11">
        <f t="shared" si="69"/>
        <v>17</v>
      </c>
      <c r="M666" s="11">
        <v>547749.0</v>
      </c>
      <c r="N666" s="11">
        <v>4079.0</v>
      </c>
      <c r="O666" s="4" t="s">
        <v>59</v>
      </c>
      <c r="P666" s="11">
        <v>244.0</v>
      </c>
      <c r="Q666" s="15">
        <v>232.0</v>
      </c>
      <c r="R666" s="11">
        <v>0.0</v>
      </c>
      <c r="S666">
        <f t="shared" si="1"/>
        <v>2010</v>
      </c>
      <c r="T666">
        <f t="shared" si="2"/>
        <v>4</v>
      </c>
      <c r="AF666" s="18"/>
      <c r="AG666" s="19"/>
      <c r="AL666" s="18"/>
      <c r="AM666" s="19"/>
    </row>
    <row r="667">
      <c r="A667" s="4" t="s">
        <v>1774</v>
      </c>
      <c r="B667" s="10">
        <v>40269.0</v>
      </c>
      <c r="C667" s="11" t="s">
        <v>270</v>
      </c>
      <c r="D667" s="11" t="s">
        <v>151</v>
      </c>
      <c r="E667" s="11" t="s">
        <v>52</v>
      </c>
      <c r="F667" s="11" t="s">
        <v>53</v>
      </c>
      <c r="G667" s="11" t="s">
        <v>54</v>
      </c>
      <c r="H667" s="11" t="s">
        <v>92</v>
      </c>
      <c r="I667" s="11" t="s">
        <v>250</v>
      </c>
      <c r="J667" s="11">
        <v>22.0</v>
      </c>
      <c r="K667" s="13">
        <v>40678.0</v>
      </c>
      <c r="L667" s="11">
        <f t="shared" si="69"/>
        <v>13</v>
      </c>
      <c r="M667" s="11">
        <v>594762.0</v>
      </c>
      <c r="N667" s="11">
        <v>11867.0</v>
      </c>
      <c r="P667" s="11">
        <v>7.0</v>
      </c>
      <c r="Q667" s="15">
        <v>6.333</v>
      </c>
      <c r="R667" s="22">
        <v>1.0</v>
      </c>
      <c r="S667">
        <f t="shared" si="1"/>
        <v>2010</v>
      </c>
      <c r="T667">
        <f t="shared" si="2"/>
        <v>4</v>
      </c>
      <c r="AF667" s="18"/>
      <c r="AG667" s="19"/>
      <c r="AL667" s="18"/>
      <c r="AM667" s="19"/>
    </row>
    <row r="668">
      <c r="A668" s="4" t="s">
        <v>1775</v>
      </c>
      <c r="B668" s="10">
        <v>40269.0</v>
      </c>
      <c r="C668" s="11" t="s">
        <v>74</v>
      </c>
      <c r="D668" s="11" t="s">
        <v>124</v>
      </c>
      <c r="E668" s="14" t="s">
        <v>52</v>
      </c>
      <c r="F668" s="11" t="s">
        <v>53</v>
      </c>
      <c r="G668" s="22" t="s">
        <v>83</v>
      </c>
      <c r="H668" s="14"/>
      <c r="I668" s="14"/>
      <c r="J668" s="11">
        <v>22.0</v>
      </c>
      <c r="K668" s="13">
        <v>41006.0</v>
      </c>
      <c r="L668" s="11">
        <f t="shared" si="69"/>
        <v>24</v>
      </c>
      <c r="M668" s="11">
        <v>462089.0</v>
      </c>
      <c r="N668" s="11">
        <v>6127.0</v>
      </c>
      <c r="P668" s="11">
        <v>18.0</v>
      </c>
      <c r="Q668" s="15">
        <v>13.667</v>
      </c>
      <c r="R668" s="22">
        <v>1.0</v>
      </c>
      <c r="S668">
        <f t="shared" si="1"/>
        <v>2010</v>
      </c>
      <c r="T668">
        <f t="shared" si="2"/>
        <v>4</v>
      </c>
      <c r="AF668" s="18"/>
      <c r="AG668" s="19"/>
      <c r="AL668" s="18"/>
      <c r="AM668" s="19"/>
    </row>
    <row r="669">
      <c r="A669" s="4" t="s">
        <v>1776</v>
      </c>
      <c r="B669" s="10">
        <v>40268.0</v>
      </c>
      <c r="C669" s="11" t="s">
        <v>108</v>
      </c>
      <c r="D669" s="11" t="s">
        <v>151</v>
      </c>
      <c r="E669" s="14" t="s">
        <v>52</v>
      </c>
      <c r="F669" s="11" t="s">
        <v>53</v>
      </c>
      <c r="G669" s="14" t="s">
        <v>54</v>
      </c>
      <c r="H669" s="11" t="s">
        <v>291</v>
      </c>
      <c r="I669" s="11" t="s">
        <v>724</v>
      </c>
      <c r="J669" s="11">
        <v>20.0</v>
      </c>
      <c r="K669" s="13">
        <v>41436.0</v>
      </c>
      <c r="L669" s="14"/>
      <c r="M669" s="11">
        <v>642838.0</v>
      </c>
      <c r="N669" s="11" t="s">
        <v>1777</v>
      </c>
      <c r="P669" s="11">
        <v>0.0</v>
      </c>
      <c r="Q669" s="15">
        <v>0.0</v>
      </c>
      <c r="R669" s="22">
        <v>1.0</v>
      </c>
      <c r="S669">
        <f t="shared" si="1"/>
        <v>2010</v>
      </c>
      <c r="T669">
        <f t="shared" si="2"/>
        <v>3</v>
      </c>
      <c r="AF669" s="18"/>
      <c r="AG669" s="19"/>
      <c r="AL669" s="18"/>
      <c r="AM669" s="19"/>
    </row>
    <row r="670">
      <c r="A670" s="4" t="s">
        <v>1778</v>
      </c>
      <c r="B670" s="10">
        <v>40268.0</v>
      </c>
      <c r="C670" s="11" t="s">
        <v>108</v>
      </c>
      <c r="D670" s="11" t="s">
        <v>170</v>
      </c>
      <c r="E670" s="14" t="s">
        <v>52</v>
      </c>
      <c r="F670" s="11" t="s">
        <v>53</v>
      </c>
      <c r="G670" s="14" t="s">
        <v>54</v>
      </c>
      <c r="H670" s="11" t="s">
        <v>316</v>
      </c>
      <c r="I670" s="11" t="s">
        <v>1780</v>
      </c>
      <c r="J670" s="11">
        <v>18.0</v>
      </c>
      <c r="K670" s="13">
        <v>41470.0</v>
      </c>
      <c r="L670" s="14"/>
      <c r="M670" s="11">
        <v>622260.0</v>
      </c>
      <c r="N670" s="11" t="s">
        <v>1781</v>
      </c>
      <c r="P670" s="11">
        <v>0.0</v>
      </c>
      <c r="Q670" s="15">
        <v>0.0</v>
      </c>
      <c r="R670" s="11">
        <v>0.0</v>
      </c>
      <c r="S670">
        <f t="shared" si="1"/>
        <v>2010</v>
      </c>
      <c r="T670">
        <f t="shared" si="2"/>
        <v>3</v>
      </c>
      <c r="AF670" s="18"/>
      <c r="AG670" s="19"/>
      <c r="AL670" s="18"/>
      <c r="AM670" s="19"/>
    </row>
    <row r="671">
      <c r="A671" s="4" t="s">
        <v>1782</v>
      </c>
      <c r="B671" s="10">
        <v>40267.0</v>
      </c>
      <c r="C671" s="11" t="s">
        <v>229</v>
      </c>
      <c r="D671" s="11" t="s">
        <v>82</v>
      </c>
      <c r="E671" s="11" t="s">
        <v>392</v>
      </c>
      <c r="F671" s="11" t="s">
        <v>53</v>
      </c>
      <c r="G671" s="11" t="s">
        <v>54</v>
      </c>
      <c r="H671" s="11" t="s">
        <v>412</v>
      </c>
      <c r="I671" s="11"/>
      <c r="J671" s="11">
        <v>23.0</v>
      </c>
      <c r="K671" s="13">
        <v>40640.0</v>
      </c>
      <c r="L671" s="11">
        <f>ROUND(((K671-B671)/365)*12)</f>
        <v>12</v>
      </c>
      <c r="M671" s="11">
        <v>488703.0</v>
      </c>
      <c r="N671" s="11">
        <v>9958.0</v>
      </c>
      <c r="P671" s="11">
        <v>165.0</v>
      </c>
      <c r="Q671" s="15">
        <v>404.0</v>
      </c>
      <c r="R671" s="22">
        <v>1.0</v>
      </c>
      <c r="S671">
        <f t="shared" si="1"/>
        <v>2010</v>
      </c>
      <c r="T671">
        <f t="shared" si="2"/>
        <v>3</v>
      </c>
      <c r="AF671" s="18"/>
      <c r="AG671" s="19"/>
      <c r="AL671" s="18"/>
      <c r="AM671" s="19"/>
    </row>
    <row r="672">
      <c r="A672" s="4" t="s">
        <v>1783</v>
      </c>
      <c r="B672" s="10">
        <v>40267.0</v>
      </c>
      <c r="C672" s="11" t="s">
        <v>97</v>
      </c>
      <c r="D672" s="11" t="s">
        <v>51</v>
      </c>
      <c r="E672" s="14" t="s">
        <v>52</v>
      </c>
      <c r="F672" s="11" t="s">
        <v>53</v>
      </c>
      <c r="G672" s="14" t="s">
        <v>54</v>
      </c>
      <c r="H672" s="11" t="s">
        <v>157</v>
      </c>
      <c r="I672" s="11" t="s">
        <v>279</v>
      </c>
      <c r="J672" s="11">
        <v>25.0</v>
      </c>
      <c r="K672" s="13"/>
      <c r="L672" s="11"/>
      <c r="M672" s="11">
        <v>459974.0</v>
      </c>
      <c r="N672" s="11">
        <v>3355.0</v>
      </c>
      <c r="P672" s="11">
        <v>0.0</v>
      </c>
      <c r="Q672" s="15">
        <v>0.0</v>
      </c>
      <c r="R672" s="22">
        <v>0.0</v>
      </c>
      <c r="S672">
        <f t="shared" si="1"/>
        <v>2010</v>
      </c>
      <c r="T672">
        <f t="shared" si="2"/>
        <v>3</v>
      </c>
      <c r="AF672" s="18"/>
      <c r="AG672" s="19"/>
      <c r="AL672" s="18"/>
      <c r="AM672" s="19"/>
    </row>
    <row r="673">
      <c r="A673" s="4" t="s">
        <v>526</v>
      </c>
      <c r="B673" s="10">
        <v>40263.0</v>
      </c>
      <c r="C673" s="11" t="s">
        <v>123</v>
      </c>
      <c r="D673" s="11" t="s">
        <v>51</v>
      </c>
      <c r="E673" s="14" t="s">
        <v>52</v>
      </c>
      <c r="F673" s="11" t="s">
        <v>53</v>
      </c>
      <c r="G673" s="14" t="s">
        <v>54</v>
      </c>
      <c r="H673" s="11" t="s">
        <v>153</v>
      </c>
      <c r="I673" s="11" t="s">
        <v>187</v>
      </c>
      <c r="J673" s="11">
        <v>35.0</v>
      </c>
      <c r="K673" s="13">
        <v>40636.0</v>
      </c>
      <c r="L673" s="11">
        <f t="shared" ref="L673:L675" si="70">ROUND(((K673-B673)/365)*12)</f>
        <v>12</v>
      </c>
      <c r="M673" s="11">
        <v>150274.0</v>
      </c>
      <c r="N673" s="11">
        <v>1122.0</v>
      </c>
      <c r="O673" s="4" t="s">
        <v>287</v>
      </c>
      <c r="P673" s="11">
        <v>244.0</v>
      </c>
      <c r="Q673" s="15">
        <v>232.667</v>
      </c>
      <c r="R673" s="22">
        <v>1.0</v>
      </c>
      <c r="S673">
        <f t="shared" si="1"/>
        <v>2010</v>
      </c>
      <c r="T673">
        <f t="shared" si="2"/>
        <v>3</v>
      </c>
      <c r="AF673" s="18"/>
      <c r="AG673" s="19"/>
      <c r="AL673" s="18"/>
      <c r="AM673" s="19"/>
    </row>
    <row r="674">
      <c r="A674" s="4" t="s">
        <v>1784</v>
      </c>
      <c r="B674" s="10">
        <v>40247.0</v>
      </c>
      <c r="C674" s="11" t="s">
        <v>156</v>
      </c>
      <c r="D674" s="11" t="s">
        <v>82</v>
      </c>
      <c r="E674" s="14" t="s">
        <v>52</v>
      </c>
      <c r="F674" s="11" t="s">
        <v>76</v>
      </c>
      <c r="G674" s="14" t="s">
        <v>54</v>
      </c>
      <c r="H674" s="11" t="s">
        <v>157</v>
      </c>
      <c r="I674" s="11" t="s">
        <v>1786</v>
      </c>
      <c r="J674" s="11">
        <v>23.0</v>
      </c>
      <c r="K674" s="13">
        <v>40670.0</v>
      </c>
      <c r="L674" s="11">
        <f t="shared" si="70"/>
        <v>14</v>
      </c>
      <c r="M674" s="11">
        <v>518693.0</v>
      </c>
      <c r="N674" s="11">
        <v>6832.0</v>
      </c>
      <c r="P674" s="11">
        <v>142.0</v>
      </c>
      <c r="Q674" s="15">
        <v>116.333</v>
      </c>
      <c r="R674" s="22">
        <v>1.0</v>
      </c>
      <c r="S674">
        <f t="shared" si="1"/>
        <v>2010</v>
      </c>
      <c r="T674">
        <f t="shared" si="2"/>
        <v>3</v>
      </c>
      <c r="AF674" s="18"/>
      <c r="AG674" s="19"/>
      <c r="AL674" s="18"/>
      <c r="AM674" s="19"/>
    </row>
    <row r="675">
      <c r="A675" s="4" t="s">
        <v>1787</v>
      </c>
      <c r="B675" s="10">
        <v>40240.0</v>
      </c>
      <c r="C675" s="11" t="s">
        <v>179</v>
      </c>
      <c r="D675" s="11" t="s">
        <v>82</v>
      </c>
      <c r="E675" s="14" t="s">
        <v>52</v>
      </c>
      <c r="F675" s="11" t="s">
        <v>53</v>
      </c>
      <c r="G675" s="22" t="s">
        <v>265</v>
      </c>
      <c r="H675" s="14"/>
      <c r="I675" s="14"/>
      <c r="J675" s="11">
        <v>22.0</v>
      </c>
      <c r="K675" s="13">
        <v>40641.0</v>
      </c>
      <c r="L675" s="11">
        <f t="shared" si="70"/>
        <v>13</v>
      </c>
      <c r="M675" s="11">
        <v>452326.0</v>
      </c>
      <c r="N675" s="11" t="s">
        <v>1788</v>
      </c>
      <c r="P675" s="11">
        <v>0.0</v>
      </c>
      <c r="Q675" s="15">
        <v>0.0</v>
      </c>
      <c r="R675" s="22">
        <v>0.0</v>
      </c>
      <c r="S675">
        <f t="shared" si="1"/>
        <v>2010</v>
      </c>
      <c r="T675">
        <f t="shared" si="2"/>
        <v>3</v>
      </c>
      <c r="AF675" s="18"/>
      <c r="AG675" s="19"/>
      <c r="AL675" s="18"/>
      <c r="AM675" s="19"/>
    </row>
    <row r="676">
      <c r="A676" s="4" t="s">
        <v>1789</v>
      </c>
      <c r="B676" s="10">
        <v>40238.0</v>
      </c>
      <c r="C676" s="11" t="s">
        <v>81</v>
      </c>
      <c r="D676" s="11" t="s">
        <v>170</v>
      </c>
      <c r="E676" s="11" t="s">
        <v>52</v>
      </c>
      <c r="F676" s="11" t="s">
        <v>53</v>
      </c>
      <c r="G676" s="11" t="s">
        <v>54</v>
      </c>
      <c r="H676" s="11" t="s">
        <v>260</v>
      </c>
      <c r="I676" s="11" t="s">
        <v>1790</v>
      </c>
      <c r="J676" s="11">
        <v>18.0</v>
      </c>
      <c r="K676" s="13">
        <v>42180.0</v>
      </c>
      <c r="L676" s="11"/>
      <c r="M676" s="11">
        <v>592575.0</v>
      </c>
      <c r="N676" s="11" t="s">
        <v>1791</v>
      </c>
      <c r="P676" s="11">
        <v>0.0</v>
      </c>
      <c r="Q676" s="15">
        <v>0.0</v>
      </c>
      <c r="R676" s="11">
        <v>0.0</v>
      </c>
      <c r="S676">
        <f t="shared" si="1"/>
        <v>2010</v>
      </c>
      <c r="T676">
        <f t="shared" si="2"/>
        <v>3</v>
      </c>
      <c r="AF676" s="18"/>
      <c r="AG676" s="19"/>
      <c r="AL676" s="18"/>
      <c r="AM676" s="19"/>
    </row>
    <row r="677">
      <c r="A677" s="4" t="s">
        <v>570</v>
      </c>
      <c r="B677" s="10">
        <v>40238.0</v>
      </c>
      <c r="C677" s="11" t="s">
        <v>711</v>
      </c>
      <c r="D677" s="11" t="s">
        <v>124</v>
      </c>
      <c r="E677" s="14" t="s">
        <v>52</v>
      </c>
      <c r="F677" s="11" t="s">
        <v>76</v>
      </c>
      <c r="G677" s="14" t="s">
        <v>54</v>
      </c>
      <c r="H677" s="11" t="s">
        <v>92</v>
      </c>
      <c r="I677" s="11" t="s">
        <v>1614</v>
      </c>
      <c r="J677" s="11">
        <v>21.0</v>
      </c>
      <c r="K677" s="13">
        <v>40685.0</v>
      </c>
      <c r="L677" s="11">
        <f t="shared" ref="L677:L679" si="71">ROUND(((K677-B677)/365)*12)</f>
        <v>15</v>
      </c>
      <c r="M677" s="11">
        <v>542879.0</v>
      </c>
      <c r="N677" s="11" t="s">
        <v>1615</v>
      </c>
      <c r="P677" s="11">
        <v>0.0</v>
      </c>
      <c r="Q677" s="15">
        <v>0.0</v>
      </c>
      <c r="R677" s="22">
        <v>0.0</v>
      </c>
      <c r="S677">
        <f t="shared" si="1"/>
        <v>2010</v>
      </c>
      <c r="T677">
        <f t="shared" si="2"/>
        <v>3</v>
      </c>
      <c r="AF677" s="18"/>
      <c r="AG677" s="19"/>
      <c r="AL677" s="18"/>
      <c r="AM677" s="19"/>
    </row>
    <row r="678">
      <c r="A678" s="4" t="s">
        <v>1792</v>
      </c>
      <c r="B678" s="10">
        <v>40238.0</v>
      </c>
      <c r="C678" s="11" t="s">
        <v>711</v>
      </c>
      <c r="D678" s="11" t="s">
        <v>110</v>
      </c>
      <c r="E678" s="11" t="s">
        <v>52</v>
      </c>
      <c r="F678" s="11" t="s">
        <v>53</v>
      </c>
      <c r="G678" s="11" t="s">
        <v>54</v>
      </c>
      <c r="H678" s="11" t="s">
        <v>92</v>
      </c>
      <c r="I678" s="11" t="s">
        <v>1793</v>
      </c>
      <c r="J678" s="11">
        <v>21.0</v>
      </c>
      <c r="K678" s="13">
        <v>41082.0</v>
      </c>
      <c r="L678" s="11">
        <f t="shared" si="71"/>
        <v>28</v>
      </c>
      <c r="M678" s="11">
        <v>519393.0</v>
      </c>
      <c r="N678" s="11" t="s">
        <v>1794</v>
      </c>
      <c r="O678" s="4"/>
      <c r="P678" s="11">
        <v>0.0</v>
      </c>
      <c r="Q678" s="15">
        <v>0.0</v>
      </c>
      <c r="R678" s="22">
        <v>1.0</v>
      </c>
      <c r="S678">
        <f t="shared" si="1"/>
        <v>2010</v>
      </c>
      <c r="T678">
        <f t="shared" si="2"/>
        <v>3</v>
      </c>
      <c r="AF678" s="18"/>
      <c r="AG678" s="19"/>
      <c r="AL678" s="18"/>
      <c r="AM678" s="19"/>
    </row>
    <row r="679">
      <c r="A679" s="4" t="s">
        <v>1795</v>
      </c>
      <c r="B679" s="10">
        <v>40211.0</v>
      </c>
      <c r="C679" s="11" t="s">
        <v>108</v>
      </c>
      <c r="D679" s="11" t="s">
        <v>51</v>
      </c>
      <c r="E679" s="14" t="s">
        <v>52</v>
      </c>
      <c r="F679" s="11" t="s">
        <v>53</v>
      </c>
      <c r="G679" s="22" t="s">
        <v>83</v>
      </c>
      <c r="H679" s="14"/>
      <c r="I679" s="14"/>
      <c r="J679" s="11">
        <v>26.0</v>
      </c>
      <c r="K679" s="13">
        <v>40678.0</v>
      </c>
      <c r="L679" s="11">
        <f t="shared" si="71"/>
        <v>15</v>
      </c>
      <c r="M679" s="11">
        <v>461766.0</v>
      </c>
      <c r="N679" s="11">
        <v>4722.0</v>
      </c>
      <c r="O679" s="4" t="s">
        <v>224</v>
      </c>
      <c r="P679" s="11">
        <v>119.0</v>
      </c>
      <c r="Q679" s="32">
        <v>114.0</v>
      </c>
      <c r="R679" s="22">
        <v>0.0</v>
      </c>
      <c r="S679">
        <f t="shared" si="1"/>
        <v>2010</v>
      </c>
      <c r="T679">
        <f t="shared" si="2"/>
        <v>2</v>
      </c>
      <c r="AF679" s="18"/>
      <c r="AG679" s="19"/>
      <c r="AL679" s="18"/>
      <c r="AM679" s="19"/>
    </row>
    <row r="680">
      <c r="A680" s="4" t="s">
        <v>1796</v>
      </c>
      <c r="B680" s="10">
        <v>40179.0</v>
      </c>
      <c r="C680" s="11" t="s">
        <v>96</v>
      </c>
      <c r="D680" s="11" t="s">
        <v>75</v>
      </c>
      <c r="E680" s="14" t="s">
        <v>52</v>
      </c>
      <c r="F680" s="11" t="s">
        <v>76</v>
      </c>
      <c r="G680" s="14" t="s">
        <v>54</v>
      </c>
      <c r="H680" s="11" t="s">
        <v>344</v>
      </c>
      <c r="I680" s="11" t="s">
        <v>1797</v>
      </c>
      <c r="J680" s="11">
        <v>26.0</v>
      </c>
      <c r="K680" s="13">
        <v>41050.0</v>
      </c>
      <c r="L680" s="14"/>
      <c r="M680" s="11">
        <v>501826.0</v>
      </c>
      <c r="N680" s="11">
        <v>8577.0</v>
      </c>
      <c r="P680" s="11">
        <v>0.0</v>
      </c>
      <c r="Q680" s="15">
        <v>0.0</v>
      </c>
      <c r="R680" s="22">
        <v>0.0</v>
      </c>
      <c r="S680">
        <f t="shared" si="1"/>
        <v>2010</v>
      </c>
      <c r="T680">
        <f t="shared" si="2"/>
        <v>1</v>
      </c>
      <c r="AF680" s="18"/>
      <c r="AG680" s="19"/>
      <c r="AL680" s="18"/>
      <c r="AM680" s="19"/>
    </row>
    <row r="681">
      <c r="A681" s="4" t="s">
        <v>1798</v>
      </c>
      <c r="B681" s="10">
        <v>40179.0</v>
      </c>
      <c r="C681" s="11" t="s">
        <v>96</v>
      </c>
      <c r="D681" s="11" t="s">
        <v>151</v>
      </c>
      <c r="E681" s="14" t="s">
        <v>52</v>
      </c>
      <c r="F681" s="11" t="s">
        <v>76</v>
      </c>
      <c r="G681" s="14" t="s">
        <v>54</v>
      </c>
      <c r="H681" s="11" t="s">
        <v>305</v>
      </c>
      <c r="I681" s="11" t="s">
        <v>463</v>
      </c>
      <c r="J681" s="11">
        <v>20.0</v>
      </c>
      <c r="K681" s="13">
        <v>40783.0</v>
      </c>
      <c r="L681" s="14"/>
      <c r="M681" s="11">
        <v>605177.0</v>
      </c>
      <c r="N681" s="11">
        <v>12988.0</v>
      </c>
      <c r="P681" s="11">
        <v>101.0</v>
      </c>
      <c r="Q681" s="15">
        <v>111.667</v>
      </c>
      <c r="R681" s="22">
        <v>1.0</v>
      </c>
      <c r="S681">
        <f t="shared" si="1"/>
        <v>2010</v>
      </c>
      <c r="T681">
        <f t="shared" si="2"/>
        <v>1</v>
      </c>
      <c r="AF681" s="18"/>
      <c r="AG681" s="19"/>
      <c r="AL681" s="18"/>
      <c r="AM681" s="19"/>
    </row>
    <row r="682">
      <c r="A682" s="4" t="s">
        <v>1799</v>
      </c>
      <c r="B682" s="10">
        <v>40179.0</v>
      </c>
      <c r="C682" s="11" t="s">
        <v>142</v>
      </c>
      <c r="D682" s="11" t="s">
        <v>82</v>
      </c>
      <c r="E682" s="14" t="s">
        <v>52</v>
      </c>
      <c r="F682" s="11" t="s">
        <v>53</v>
      </c>
      <c r="G682" s="14" t="s">
        <v>54</v>
      </c>
      <c r="H682" s="11" t="s">
        <v>99</v>
      </c>
      <c r="I682" s="11" t="s">
        <v>1800</v>
      </c>
      <c r="J682" s="11">
        <v>24.0</v>
      </c>
      <c r="K682" s="13">
        <v>40750.0</v>
      </c>
      <c r="L682" s="14"/>
      <c r="M682" s="11">
        <v>518519.0</v>
      </c>
      <c r="N682" s="11" t="s">
        <v>1801</v>
      </c>
      <c r="P682" s="11">
        <v>0.0</v>
      </c>
      <c r="Q682" s="15">
        <v>0.0</v>
      </c>
      <c r="R682" s="22">
        <v>0.0</v>
      </c>
      <c r="S682">
        <f t="shared" si="1"/>
        <v>2010</v>
      </c>
      <c r="T682">
        <f t="shared" si="2"/>
        <v>1</v>
      </c>
      <c r="AF682" s="18"/>
      <c r="AG682" s="19"/>
      <c r="AL682" s="18"/>
      <c r="AM682" s="19"/>
    </row>
    <row r="683">
      <c r="A683" s="4" t="s">
        <v>1802</v>
      </c>
      <c r="B683" s="10">
        <v>40179.0</v>
      </c>
      <c r="C683" s="11" t="s">
        <v>133</v>
      </c>
      <c r="D683" s="11" t="s">
        <v>91</v>
      </c>
      <c r="E683" s="14" t="s">
        <v>52</v>
      </c>
      <c r="F683" s="11" t="s">
        <v>53</v>
      </c>
      <c r="G683" s="22" t="s">
        <v>1238</v>
      </c>
      <c r="H683" s="14"/>
      <c r="I683" s="14"/>
      <c r="J683" s="11">
        <v>20.0</v>
      </c>
      <c r="K683" s="13">
        <v>40714.0</v>
      </c>
      <c r="L683" s="14"/>
      <c r="M683" s="11">
        <v>544516.0</v>
      </c>
      <c r="N683" s="11" t="s">
        <v>1803</v>
      </c>
      <c r="P683" s="11">
        <v>0.0</v>
      </c>
      <c r="Q683" s="15">
        <v>0.0</v>
      </c>
      <c r="R683" s="22">
        <v>0.0</v>
      </c>
      <c r="S683">
        <f t="shared" si="1"/>
        <v>2010</v>
      </c>
      <c r="T683">
        <f t="shared" si="2"/>
        <v>1</v>
      </c>
      <c r="AF683" s="18"/>
      <c r="AG683" s="19"/>
      <c r="AL683" s="18"/>
      <c r="AM683" s="19"/>
    </row>
    <row r="684">
      <c r="A684" s="4" t="s">
        <v>647</v>
      </c>
      <c r="B684" s="10">
        <v>40179.0</v>
      </c>
      <c r="C684" s="11" t="s">
        <v>133</v>
      </c>
      <c r="D684" s="11" t="s">
        <v>110</v>
      </c>
      <c r="E684" s="14" t="s">
        <v>52</v>
      </c>
      <c r="F684" s="11" t="s">
        <v>53</v>
      </c>
      <c r="G684" s="22" t="s">
        <v>265</v>
      </c>
      <c r="H684" s="14"/>
      <c r="I684" s="14"/>
      <c r="J684" s="11">
        <v>21.0</v>
      </c>
      <c r="K684" s="13"/>
      <c r="L684" s="14"/>
      <c r="M684" s="11">
        <v>501595.0</v>
      </c>
      <c r="N684" s="11" t="s">
        <v>1804</v>
      </c>
      <c r="P684" s="11">
        <v>0.0</v>
      </c>
      <c r="Q684" s="15">
        <v>0.0</v>
      </c>
      <c r="R684" s="22">
        <v>0.0</v>
      </c>
      <c r="S684">
        <f t="shared" si="1"/>
        <v>2010</v>
      </c>
      <c r="T684">
        <f t="shared" si="2"/>
        <v>1</v>
      </c>
      <c r="AF684" s="18"/>
      <c r="AG684" s="19"/>
      <c r="AL684" s="18"/>
      <c r="AM684" s="19"/>
    </row>
    <row r="685">
      <c r="A685" s="4" t="s">
        <v>1805</v>
      </c>
      <c r="B685" s="10">
        <v>40179.0</v>
      </c>
      <c r="C685" s="11" t="s">
        <v>169</v>
      </c>
      <c r="D685" s="11" t="s">
        <v>91</v>
      </c>
      <c r="E685" s="11" t="s">
        <v>52</v>
      </c>
      <c r="F685" s="11" t="s">
        <v>53</v>
      </c>
      <c r="G685" s="11" t="s">
        <v>172</v>
      </c>
      <c r="H685" s="11"/>
      <c r="I685" s="11"/>
      <c r="J685" s="11">
        <v>20.0</v>
      </c>
      <c r="K685" s="13">
        <v>40711.0</v>
      </c>
      <c r="L685" s="14"/>
      <c r="M685" s="11">
        <v>571572.0</v>
      </c>
      <c r="N685" s="11">
        <v>4920.0</v>
      </c>
      <c r="P685" s="11">
        <v>11.0</v>
      </c>
      <c r="Q685" s="15">
        <v>10.0</v>
      </c>
      <c r="R685" s="22">
        <v>1.0</v>
      </c>
      <c r="S685">
        <f t="shared" si="1"/>
        <v>2010</v>
      </c>
      <c r="T685">
        <f t="shared" si="2"/>
        <v>1</v>
      </c>
      <c r="AF685" s="18"/>
      <c r="AG685" s="19"/>
      <c r="AL685" s="18"/>
      <c r="AM685" s="19"/>
    </row>
    <row r="686">
      <c r="A686" s="4" t="s">
        <v>1807</v>
      </c>
      <c r="B686" s="10">
        <v>40179.0</v>
      </c>
      <c r="C686" s="11" t="s">
        <v>159</v>
      </c>
      <c r="D686" s="11" t="s">
        <v>110</v>
      </c>
      <c r="E686" s="14" t="s">
        <v>52</v>
      </c>
      <c r="F686" s="11" t="s">
        <v>53</v>
      </c>
      <c r="G686" s="14" t="s">
        <v>54</v>
      </c>
      <c r="H686" s="11" t="s">
        <v>92</v>
      </c>
      <c r="I686" s="11" t="s">
        <v>590</v>
      </c>
      <c r="J686" s="11">
        <v>22.0</v>
      </c>
      <c r="K686" s="13">
        <v>40641.0</v>
      </c>
      <c r="L686" s="14"/>
      <c r="M686" s="11">
        <v>571965.0</v>
      </c>
      <c r="N686" s="11" t="s">
        <v>1808</v>
      </c>
      <c r="P686" s="11">
        <v>0.0</v>
      </c>
      <c r="Q686" s="15">
        <v>0.0</v>
      </c>
      <c r="R686" s="22">
        <v>0.0</v>
      </c>
      <c r="S686">
        <f t="shared" si="1"/>
        <v>2010</v>
      </c>
      <c r="T686">
        <f t="shared" si="2"/>
        <v>1</v>
      </c>
      <c r="AF686" s="18"/>
      <c r="AG686" s="19"/>
      <c r="AL686" s="18"/>
      <c r="AM686" s="19"/>
    </row>
    <row r="687">
      <c r="A687" s="4" t="s">
        <v>1809</v>
      </c>
      <c r="B687" s="10">
        <v>40179.0</v>
      </c>
      <c r="C687" s="11" t="s">
        <v>229</v>
      </c>
      <c r="D687" s="11" t="s">
        <v>170</v>
      </c>
      <c r="E687" s="11" t="s">
        <v>52</v>
      </c>
      <c r="F687" s="11" t="s">
        <v>53</v>
      </c>
      <c r="G687" s="11" t="s">
        <v>54</v>
      </c>
      <c r="H687" s="11" t="s">
        <v>449</v>
      </c>
      <c r="I687" s="11" t="s">
        <v>1810</v>
      </c>
      <c r="J687" s="11">
        <v>17.0</v>
      </c>
      <c r="K687" s="13">
        <v>42178.0</v>
      </c>
      <c r="L687" s="14"/>
      <c r="M687" s="11">
        <v>664829.0</v>
      </c>
      <c r="N687" s="11" t="s">
        <v>1811</v>
      </c>
      <c r="P687" s="11">
        <v>0.0</v>
      </c>
      <c r="Q687" s="15">
        <v>0.0</v>
      </c>
      <c r="R687" s="22">
        <v>1.0</v>
      </c>
      <c r="S687">
        <f t="shared" si="1"/>
        <v>2010</v>
      </c>
      <c r="T687">
        <f t="shared" si="2"/>
        <v>1</v>
      </c>
      <c r="AF687" s="18"/>
      <c r="AG687" s="19"/>
      <c r="AL687" s="18"/>
      <c r="AM687" s="19"/>
    </row>
    <row r="688">
      <c r="A688" s="4" t="s">
        <v>1812</v>
      </c>
      <c r="B688" s="10">
        <v>40179.0</v>
      </c>
      <c r="C688" s="11" t="s">
        <v>108</v>
      </c>
      <c r="D688" s="11" t="s">
        <v>75</v>
      </c>
      <c r="E688" s="22" t="s">
        <v>392</v>
      </c>
      <c r="F688" s="11" t="s">
        <v>53</v>
      </c>
      <c r="G688" s="14" t="s">
        <v>54</v>
      </c>
      <c r="H688" s="11" t="s">
        <v>260</v>
      </c>
      <c r="I688" s="11"/>
      <c r="J688" s="11">
        <v>24.0</v>
      </c>
      <c r="K688" s="13">
        <v>41005.0</v>
      </c>
      <c r="L688" s="14"/>
      <c r="M688" s="11">
        <v>461871.0</v>
      </c>
      <c r="N688" s="11" t="s">
        <v>1813</v>
      </c>
      <c r="P688" s="11">
        <v>0.0</v>
      </c>
      <c r="Q688" s="15">
        <v>0.0</v>
      </c>
      <c r="R688" s="11">
        <v>0.0</v>
      </c>
      <c r="S688">
        <f t="shared" si="1"/>
        <v>2010</v>
      </c>
      <c r="T688">
        <f t="shared" si="2"/>
        <v>1</v>
      </c>
      <c r="AF688" s="18"/>
      <c r="AG688" s="19"/>
      <c r="AL688" s="18"/>
      <c r="AM688" s="19"/>
    </row>
    <row r="689">
      <c r="A689" s="4" t="s">
        <v>1814</v>
      </c>
      <c r="B689" s="10">
        <v>40179.0</v>
      </c>
      <c r="C689" s="11" t="s">
        <v>331</v>
      </c>
      <c r="D689" s="11" t="s">
        <v>75</v>
      </c>
      <c r="E689" s="14" t="s">
        <v>52</v>
      </c>
      <c r="F689" s="11" t="s">
        <v>76</v>
      </c>
      <c r="G689" s="14" t="s">
        <v>54</v>
      </c>
      <c r="H689" s="11" t="s">
        <v>260</v>
      </c>
      <c r="I689" s="11" t="s">
        <v>1815</v>
      </c>
      <c r="J689" s="11">
        <v>26.0</v>
      </c>
      <c r="K689" s="14"/>
      <c r="L689" s="14"/>
      <c r="M689" s="11">
        <v>491220.0</v>
      </c>
      <c r="N689" s="11">
        <v>4656.0</v>
      </c>
      <c r="P689" s="11">
        <v>0.0</v>
      </c>
      <c r="Q689" s="15">
        <v>0.0</v>
      </c>
      <c r="R689" s="22">
        <v>0.0</v>
      </c>
      <c r="S689">
        <f t="shared" si="1"/>
        <v>2010</v>
      </c>
      <c r="T689">
        <f t="shared" si="2"/>
        <v>1</v>
      </c>
      <c r="AF689" s="18"/>
      <c r="AG689" s="19"/>
      <c r="AL689" s="18"/>
      <c r="AM689" s="19"/>
    </row>
    <row r="690">
      <c r="A690" s="4" t="s">
        <v>1816</v>
      </c>
      <c r="B690" s="10">
        <v>40179.0</v>
      </c>
      <c r="C690" s="11" t="s">
        <v>123</v>
      </c>
      <c r="D690" s="11" t="s">
        <v>91</v>
      </c>
      <c r="E690" s="14" t="s">
        <v>52</v>
      </c>
      <c r="F690" s="11" t="s">
        <v>76</v>
      </c>
      <c r="G690" s="14" t="s">
        <v>54</v>
      </c>
      <c r="H690" s="11" t="s">
        <v>305</v>
      </c>
      <c r="I690" s="11" t="s">
        <v>322</v>
      </c>
      <c r="J690" s="11">
        <v>22.0</v>
      </c>
      <c r="K690" s="13">
        <v>40715.0</v>
      </c>
      <c r="L690" s="14"/>
      <c r="M690" s="11">
        <v>571472.0</v>
      </c>
      <c r="N690" s="11" t="s">
        <v>1817</v>
      </c>
      <c r="P690" s="11">
        <v>0.0</v>
      </c>
      <c r="Q690" s="15">
        <v>0.0</v>
      </c>
      <c r="R690" s="22">
        <v>0.0</v>
      </c>
      <c r="S690">
        <f t="shared" si="1"/>
        <v>2010</v>
      </c>
      <c r="T690">
        <f t="shared" si="2"/>
        <v>1</v>
      </c>
      <c r="AF690" s="18"/>
      <c r="AG690" s="19"/>
      <c r="AL690" s="18"/>
      <c r="AM690" s="19"/>
    </row>
    <row r="691">
      <c r="A691" s="4" t="s">
        <v>1818</v>
      </c>
      <c r="B691" s="10">
        <v>40179.0</v>
      </c>
      <c r="C691" s="11" t="s">
        <v>109</v>
      </c>
      <c r="D691" s="11" t="s">
        <v>91</v>
      </c>
      <c r="E691" s="14" t="s">
        <v>52</v>
      </c>
      <c r="F691" s="11" t="s">
        <v>53</v>
      </c>
      <c r="G691" s="14" t="s">
        <v>54</v>
      </c>
      <c r="H691" s="11" t="s">
        <v>260</v>
      </c>
      <c r="I691" s="11" t="s">
        <v>1820</v>
      </c>
      <c r="J691" s="11">
        <v>22.0</v>
      </c>
      <c r="K691" s="13">
        <v>41036.0</v>
      </c>
      <c r="L691" s="14"/>
      <c r="M691" s="11">
        <v>594798.0</v>
      </c>
      <c r="N691" s="11">
        <v>10954.0</v>
      </c>
      <c r="P691" s="11">
        <v>76.0</v>
      </c>
      <c r="Q691" s="15">
        <v>479.333</v>
      </c>
      <c r="R691" s="22">
        <v>1.0</v>
      </c>
      <c r="S691">
        <f t="shared" si="1"/>
        <v>2010</v>
      </c>
      <c r="T691">
        <f t="shared" si="2"/>
        <v>1</v>
      </c>
      <c r="AF691" s="18"/>
      <c r="AG691" s="19"/>
      <c r="AL691" s="18"/>
      <c r="AM691" s="19"/>
    </row>
    <row r="692">
      <c r="A692" s="4" t="s">
        <v>1821</v>
      </c>
      <c r="B692" s="10">
        <v>40179.0</v>
      </c>
      <c r="C692" s="11" t="s">
        <v>109</v>
      </c>
      <c r="D692" s="11" t="s">
        <v>170</v>
      </c>
      <c r="E692" s="11" t="s">
        <v>1248</v>
      </c>
      <c r="F692" s="11" t="s">
        <v>53</v>
      </c>
      <c r="G692" s="11" t="s">
        <v>54</v>
      </c>
      <c r="H692" s="11" t="s">
        <v>260</v>
      </c>
      <c r="I692" s="11" t="s">
        <v>1822</v>
      </c>
      <c r="J692" s="11">
        <v>18.0</v>
      </c>
      <c r="K692" s="13">
        <v>41810.0</v>
      </c>
      <c r="L692" s="14"/>
      <c r="M692" s="11">
        <v>657579.0</v>
      </c>
      <c r="N692" s="11" t="s">
        <v>1823</v>
      </c>
      <c r="P692" s="11">
        <v>0.0</v>
      </c>
      <c r="Q692" s="15">
        <v>0.0</v>
      </c>
      <c r="R692" s="11">
        <v>0.0</v>
      </c>
      <c r="S692">
        <f t="shared" si="1"/>
        <v>2010</v>
      </c>
      <c r="T692">
        <f t="shared" si="2"/>
        <v>1</v>
      </c>
      <c r="AF692" s="18"/>
      <c r="AG692" s="19"/>
      <c r="AL692" s="18"/>
      <c r="AM692" s="19"/>
    </row>
    <row r="693">
      <c r="A693" s="4" t="s">
        <v>705</v>
      </c>
      <c r="B693" s="10">
        <v>40179.0</v>
      </c>
      <c r="C693" s="11" t="s">
        <v>97</v>
      </c>
      <c r="D693" s="11" t="s">
        <v>82</v>
      </c>
      <c r="E693" s="14" t="s">
        <v>52</v>
      </c>
      <c r="F693" s="11" t="s">
        <v>76</v>
      </c>
      <c r="G693" s="22" t="s">
        <v>83</v>
      </c>
      <c r="H693" s="14"/>
      <c r="I693" s="14"/>
      <c r="J693" s="11">
        <v>24.0</v>
      </c>
      <c r="K693" s="13">
        <v>41005.0</v>
      </c>
      <c r="L693" s="14"/>
      <c r="M693" s="11">
        <v>471896.0</v>
      </c>
      <c r="N693" s="11">
        <v>6616.0</v>
      </c>
      <c r="P693" s="11">
        <v>34.0</v>
      </c>
      <c r="Q693" s="15">
        <v>33.667</v>
      </c>
      <c r="R693" s="22">
        <v>0.0</v>
      </c>
      <c r="S693">
        <f t="shared" si="1"/>
        <v>2010</v>
      </c>
      <c r="T693">
        <f t="shared" si="2"/>
        <v>1</v>
      </c>
      <c r="AF693" s="18"/>
      <c r="AG693" s="19"/>
      <c r="AL693" s="18"/>
      <c r="AM693" s="19"/>
    </row>
    <row r="694">
      <c r="A694" s="4" t="s">
        <v>1824</v>
      </c>
      <c r="B694" s="10">
        <v>40179.0</v>
      </c>
      <c r="C694" s="11" t="s">
        <v>97</v>
      </c>
      <c r="D694" s="11" t="s">
        <v>110</v>
      </c>
      <c r="E694" s="14" t="s">
        <v>52</v>
      </c>
      <c r="F694" s="11" t="s">
        <v>76</v>
      </c>
      <c r="G694" s="22" t="s">
        <v>83</v>
      </c>
      <c r="H694" s="14"/>
      <c r="I694" s="14"/>
      <c r="J694" s="11">
        <v>22.0</v>
      </c>
      <c r="K694" s="13"/>
      <c r="L694" s="14"/>
      <c r="M694" s="11">
        <v>501507.0</v>
      </c>
      <c r="N694" s="11" t="s">
        <v>1825</v>
      </c>
      <c r="P694" s="11">
        <v>0.0</v>
      </c>
      <c r="Q694" s="15">
        <v>0.0</v>
      </c>
      <c r="R694" s="22">
        <v>0.0</v>
      </c>
      <c r="S694">
        <f t="shared" si="1"/>
        <v>2010</v>
      </c>
      <c r="T694">
        <f t="shared" si="2"/>
        <v>1</v>
      </c>
      <c r="AF694" s="18"/>
      <c r="AG694" s="19"/>
      <c r="AL694" s="18"/>
      <c r="AM694" s="19"/>
    </row>
    <row r="695">
      <c r="A695" s="4" t="s">
        <v>1826</v>
      </c>
      <c r="B695" s="10">
        <v>40179.0</v>
      </c>
      <c r="C695" s="11" t="s">
        <v>97</v>
      </c>
      <c r="D695" s="11" t="s">
        <v>151</v>
      </c>
      <c r="E695" s="11" t="s">
        <v>52</v>
      </c>
      <c r="F695" s="11" t="s">
        <v>53</v>
      </c>
      <c r="G695" s="11" t="s">
        <v>54</v>
      </c>
      <c r="H695" s="11" t="s">
        <v>449</v>
      </c>
      <c r="I695" s="11" t="s">
        <v>198</v>
      </c>
      <c r="J695" s="11">
        <v>19.0</v>
      </c>
      <c r="K695" s="13">
        <v>41848.0</v>
      </c>
      <c r="L695" s="14"/>
      <c r="M695" s="11">
        <v>659070.0</v>
      </c>
      <c r="N695" s="11" t="s">
        <v>1827</v>
      </c>
      <c r="O695" s="4" t="s">
        <v>59</v>
      </c>
      <c r="P695" s="11">
        <v>0.0</v>
      </c>
      <c r="Q695" s="15">
        <v>0.0</v>
      </c>
      <c r="R695" s="22">
        <v>1.0</v>
      </c>
      <c r="S695">
        <f t="shared" si="1"/>
        <v>2010</v>
      </c>
      <c r="T695">
        <f t="shared" si="2"/>
        <v>1</v>
      </c>
      <c r="AF695" s="18"/>
      <c r="AG695" s="19"/>
      <c r="AL695" s="18"/>
      <c r="AM695" s="19"/>
    </row>
    <row r="696">
      <c r="A696" s="4" t="s">
        <v>1828</v>
      </c>
      <c r="B696" s="10">
        <v>40179.0</v>
      </c>
      <c r="C696" s="11" t="s">
        <v>90</v>
      </c>
      <c r="D696" s="11" t="s">
        <v>82</v>
      </c>
      <c r="E696" s="11" t="s">
        <v>52</v>
      </c>
      <c r="F696" s="11" t="s">
        <v>53</v>
      </c>
      <c r="G696" s="11" t="s">
        <v>265</v>
      </c>
      <c r="H696" s="14"/>
      <c r="I696" s="14"/>
      <c r="J696" s="11">
        <v>25.0</v>
      </c>
      <c r="K696" s="13">
        <v>41079.0</v>
      </c>
      <c r="L696" s="14"/>
      <c r="M696" s="11">
        <v>493564.0</v>
      </c>
      <c r="N696" s="11" t="s">
        <v>1829</v>
      </c>
      <c r="P696" s="11">
        <v>0.0</v>
      </c>
      <c r="Q696" s="15">
        <v>0.0</v>
      </c>
      <c r="R696" s="22">
        <v>0.0</v>
      </c>
      <c r="S696">
        <f t="shared" si="1"/>
        <v>2010</v>
      </c>
      <c r="T696">
        <f t="shared" si="2"/>
        <v>1</v>
      </c>
      <c r="AF696" s="18"/>
      <c r="AG696" s="19"/>
      <c r="AL696" s="18"/>
      <c r="AM696" s="19"/>
    </row>
    <row r="697">
      <c r="A697" s="4" t="s">
        <v>1831</v>
      </c>
      <c r="B697" s="10">
        <v>40179.0</v>
      </c>
      <c r="C697" s="11" t="s">
        <v>90</v>
      </c>
      <c r="D697" s="11" t="s">
        <v>91</v>
      </c>
      <c r="E697" s="14" t="s">
        <v>52</v>
      </c>
      <c r="F697" s="11" t="s">
        <v>53</v>
      </c>
      <c r="G697" s="22" t="s">
        <v>1832</v>
      </c>
      <c r="H697" s="14"/>
      <c r="I697" s="14"/>
      <c r="J697" s="11">
        <v>18.0</v>
      </c>
      <c r="K697" s="13">
        <v>40719.0</v>
      </c>
      <c r="L697" s="14"/>
      <c r="M697" s="11">
        <v>553890.0</v>
      </c>
      <c r="N697" s="11" t="s">
        <v>1833</v>
      </c>
      <c r="P697" s="11">
        <v>0.0</v>
      </c>
      <c r="Q697" s="15">
        <v>0.0</v>
      </c>
      <c r="R697" s="22">
        <v>0.0</v>
      </c>
      <c r="S697">
        <f t="shared" si="1"/>
        <v>2010</v>
      </c>
      <c r="T697">
        <f t="shared" si="2"/>
        <v>1</v>
      </c>
      <c r="AF697" s="18"/>
      <c r="AG697" s="19"/>
      <c r="AL697" s="18"/>
      <c r="AM697" s="19"/>
    </row>
    <row r="698">
      <c r="A698" s="4" t="s">
        <v>1834</v>
      </c>
      <c r="B698" s="10">
        <v>40179.0</v>
      </c>
      <c r="C698" s="11" t="s">
        <v>270</v>
      </c>
      <c r="D698" s="11" t="s">
        <v>91</v>
      </c>
      <c r="E698" s="11" t="s">
        <v>160</v>
      </c>
      <c r="F698" s="11" t="s">
        <v>76</v>
      </c>
      <c r="G698" s="11" t="s">
        <v>54</v>
      </c>
      <c r="H698" s="11" t="s">
        <v>412</v>
      </c>
      <c r="I698" s="11"/>
      <c r="J698" s="11">
        <v>19.0</v>
      </c>
      <c r="K698" s="13">
        <v>40714.0</v>
      </c>
      <c r="L698" s="14"/>
      <c r="M698" s="11">
        <v>571483.0</v>
      </c>
      <c r="N698" s="11" t="s">
        <v>1835</v>
      </c>
      <c r="P698" s="11">
        <v>0.0</v>
      </c>
      <c r="Q698" s="15">
        <v>0.0</v>
      </c>
      <c r="R698" s="22">
        <v>0.0</v>
      </c>
      <c r="S698">
        <f t="shared" si="1"/>
        <v>2010</v>
      </c>
      <c r="T698">
        <f t="shared" si="2"/>
        <v>1</v>
      </c>
      <c r="AF698" s="18"/>
      <c r="AG698" s="19"/>
      <c r="AL698" s="18"/>
      <c r="AM698" s="19"/>
    </row>
    <row r="699">
      <c r="A699" s="4" t="s">
        <v>1836</v>
      </c>
      <c r="B699" s="10">
        <v>40179.0</v>
      </c>
      <c r="C699" s="11" t="s">
        <v>270</v>
      </c>
      <c r="D699" s="11" t="s">
        <v>151</v>
      </c>
      <c r="E699" s="11" t="s">
        <v>52</v>
      </c>
      <c r="F699" s="11" t="s">
        <v>53</v>
      </c>
      <c r="G699" s="11" t="s">
        <v>54</v>
      </c>
      <c r="H699" s="11" t="s">
        <v>92</v>
      </c>
      <c r="I699" s="11" t="s">
        <v>1837</v>
      </c>
      <c r="J699" s="11">
        <v>20.0</v>
      </c>
      <c r="K699" s="13">
        <v>41008.0</v>
      </c>
      <c r="L699" s="14"/>
      <c r="M699" s="11">
        <v>110206.0</v>
      </c>
      <c r="N699" s="11">
        <v>13194.0</v>
      </c>
      <c r="P699" s="11">
        <v>60.0</v>
      </c>
      <c r="Q699" s="15">
        <v>67.667</v>
      </c>
      <c r="R699" s="22">
        <v>1.0</v>
      </c>
      <c r="S699">
        <f t="shared" si="1"/>
        <v>2010</v>
      </c>
      <c r="T699">
        <f t="shared" si="2"/>
        <v>1</v>
      </c>
      <c r="AF699" s="18"/>
      <c r="AG699" s="19"/>
      <c r="AL699" s="18"/>
      <c r="AM699" s="19"/>
    </row>
    <row r="700">
      <c r="A700" s="4" t="s">
        <v>1838</v>
      </c>
      <c r="B700" s="10">
        <v>40179.0</v>
      </c>
      <c r="C700" s="11" t="s">
        <v>270</v>
      </c>
      <c r="D700" s="11" t="s">
        <v>151</v>
      </c>
      <c r="E700" s="11" t="s">
        <v>52</v>
      </c>
      <c r="F700" s="11" t="s">
        <v>76</v>
      </c>
      <c r="G700" s="11" t="s">
        <v>54</v>
      </c>
      <c r="H700" s="11" t="s">
        <v>842</v>
      </c>
      <c r="I700" s="11" t="s">
        <v>550</v>
      </c>
      <c r="J700" s="11">
        <v>21.0</v>
      </c>
      <c r="K700" s="13">
        <v>41005.0</v>
      </c>
      <c r="L700" s="14"/>
      <c r="M700" s="11">
        <v>592612.0</v>
      </c>
      <c r="N700" s="11">
        <v>11528.0</v>
      </c>
      <c r="P700" s="11">
        <v>94.0</v>
      </c>
      <c r="Q700" s="15">
        <v>65.0</v>
      </c>
      <c r="R700" s="22">
        <v>1.0</v>
      </c>
      <c r="S700">
        <f t="shared" si="1"/>
        <v>2010</v>
      </c>
      <c r="T700">
        <f t="shared" si="2"/>
        <v>1</v>
      </c>
      <c r="AF700" s="18"/>
      <c r="AG700" s="19"/>
      <c r="AL700" s="18"/>
      <c r="AM700" s="19"/>
    </row>
    <row r="701">
      <c r="A701" s="4" t="s">
        <v>1839</v>
      </c>
      <c r="B701" s="10">
        <v>40179.0</v>
      </c>
      <c r="C701" s="11" t="s">
        <v>130</v>
      </c>
      <c r="D701" s="11" t="s">
        <v>151</v>
      </c>
      <c r="E701" s="11" t="s">
        <v>52</v>
      </c>
      <c r="F701" s="11" t="s">
        <v>53</v>
      </c>
      <c r="G701" s="11" t="s">
        <v>54</v>
      </c>
      <c r="H701" s="11" t="s">
        <v>154</v>
      </c>
      <c r="I701" s="11" t="s">
        <v>1840</v>
      </c>
      <c r="J701" s="11">
        <v>20.0</v>
      </c>
      <c r="K701" s="13">
        <v>41079.0</v>
      </c>
      <c r="L701" s="14"/>
      <c r="M701" s="11">
        <v>534910.0</v>
      </c>
      <c r="N701" s="11">
        <v>13287.0</v>
      </c>
      <c r="P701" s="11">
        <v>39.0</v>
      </c>
      <c r="Q701" s="15">
        <v>216.333</v>
      </c>
      <c r="R701" s="22">
        <v>1.0</v>
      </c>
      <c r="S701">
        <f t="shared" si="1"/>
        <v>2010</v>
      </c>
      <c r="T701">
        <f t="shared" si="2"/>
        <v>1</v>
      </c>
      <c r="AF701" s="18"/>
      <c r="AG701" s="19"/>
      <c r="AL701" s="18"/>
      <c r="AM701" s="19"/>
    </row>
    <row r="702">
      <c r="A702" s="4" t="s">
        <v>1842</v>
      </c>
      <c r="B702" s="10">
        <v>40179.0</v>
      </c>
      <c r="C702" s="11" t="s">
        <v>130</v>
      </c>
      <c r="D702" s="11" t="s">
        <v>151</v>
      </c>
      <c r="E702" s="11" t="s">
        <v>52</v>
      </c>
      <c r="F702" s="11" t="s">
        <v>53</v>
      </c>
      <c r="G702" s="11" t="s">
        <v>54</v>
      </c>
      <c r="H702" s="11" t="s">
        <v>153</v>
      </c>
      <c r="I702" s="11" t="s">
        <v>1843</v>
      </c>
      <c r="J702" s="11">
        <v>19.0</v>
      </c>
      <c r="K702" s="13">
        <v>41442.0</v>
      </c>
      <c r="L702" s="14"/>
      <c r="M702" s="11">
        <v>621289.0</v>
      </c>
      <c r="N702" s="11" t="s">
        <v>1844</v>
      </c>
      <c r="P702" s="11">
        <v>0.0</v>
      </c>
      <c r="Q702" s="15">
        <v>0.0</v>
      </c>
      <c r="R702" s="22">
        <v>1.0</v>
      </c>
      <c r="S702">
        <f t="shared" si="1"/>
        <v>2010</v>
      </c>
      <c r="T702">
        <f t="shared" si="2"/>
        <v>1</v>
      </c>
      <c r="AF702" s="18"/>
      <c r="AG702" s="19"/>
      <c r="AL702" s="18"/>
      <c r="AM702" s="19"/>
    </row>
    <row r="703">
      <c r="A703" s="4" t="s">
        <v>1845</v>
      </c>
      <c r="B703" s="10">
        <v>40179.0</v>
      </c>
      <c r="C703" s="11" t="s">
        <v>179</v>
      </c>
      <c r="D703" s="11" t="s">
        <v>82</v>
      </c>
      <c r="E703" s="11" t="s">
        <v>52</v>
      </c>
      <c r="F703" s="11" t="s">
        <v>53</v>
      </c>
      <c r="G703" s="11" t="s">
        <v>54</v>
      </c>
      <c r="H703" s="11" t="s">
        <v>260</v>
      </c>
      <c r="I703" s="11" t="s">
        <v>1846</v>
      </c>
      <c r="J703" s="11">
        <v>25.0</v>
      </c>
      <c r="K703" s="13"/>
      <c r="L703" s="14"/>
      <c r="M703" s="11">
        <v>518922.0</v>
      </c>
      <c r="N703" s="11" t="s">
        <v>1847</v>
      </c>
      <c r="P703" s="11">
        <v>0.0</v>
      </c>
      <c r="Q703" s="15">
        <v>0.0</v>
      </c>
      <c r="R703" s="22">
        <v>0.0</v>
      </c>
      <c r="S703">
        <f t="shared" si="1"/>
        <v>2010</v>
      </c>
      <c r="T703">
        <f t="shared" si="2"/>
        <v>1</v>
      </c>
      <c r="AF703" s="18"/>
      <c r="AG703" s="19"/>
      <c r="AL703" s="18"/>
      <c r="AM703" s="19"/>
    </row>
    <row r="704">
      <c r="A704" s="4" t="s">
        <v>1848</v>
      </c>
      <c r="B704" s="10">
        <v>40179.0</v>
      </c>
      <c r="C704" s="11" t="s">
        <v>179</v>
      </c>
      <c r="D704" s="11" t="s">
        <v>91</v>
      </c>
      <c r="E704" s="22" t="s">
        <v>264</v>
      </c>
      <c r="F704" s="11" t="s">
        <v>53</v>
      </c>
      <c r="G704" s="11" t="s">
        <v>265</v>
      </c>
      <c r="H704" s="14"/>
      <c r="I704" s="14"/>
      <c r="J704" s="11">
        <v>19.0</v>
      </c>
      <c r="K704" s="13">
        <v>40350.0</v>
      </c>
      <c r="L704" s="14"/>
      <c r="M704" s="11">
        <v>542513.0</v>
      </c>
      <c r="N704" s="11">
        <v>10067.0</v>
      </c>
      <c r="P704" s="11">
        <v>51.0</v>
      </c>
      <c r="Q704" s="15">
        <v>125.0</v>
      </c>
      <c r="R704" s="22">
        <v>1.0</v>
      </c>
      <c r="S704">
        <f t="shared" si="1"/>
        <v>2010</v>
      </c>
      <c r="T704">
        <f t="shared" si="2"/>
        <v>1</v>
      </c>
      <c r="AF704" s="18"/>
      <c r="AG704" s="19"/>
      <c r="AL704" s="18"/>
      <c r="AM704" s="19"/>
    </row>
    <row r="705">
      <c r="A705" s="4" t="s">
        <v>1849</v>
      </c>
      <c r="B705" s="10">
        <v>40179.0</v>
      </c>
      <c r="C705" s="11" t="s">
        <v>74</v>
      </c>
      <c r="D705" s="11" t="s">
        <v>124</v>
      </c>
      <c r="E705" s="14" t="s">
        <v>52</v>
      </c>
      <c r="F705" s="11" t="s">
        <v>76</v>
      </c>
      <c r="G705" s="14" t="s">
        <v>54</v>
      </c>
      <c r="H705" s="11" t="s">
        <v>337</v>
      </c>
      <c r="I705" s="11" t="s">
        <v>1063</v>
      </c>
      <c r="J705" s="11">
        <v>21.0</v>
      </c>
      <c r="K705" s="13">
        <v>41462.0</v>
      </c>
      <c r="L705" s="14"/>
      <c r="M705" s="11">
        <v>519009.0</v>
      </c>
      <c r="N705" s="11" t="s">
        <v>1850</v>
      </c>
      <c r="P705" s="11">
        <v>0.0</v>
      </c>
      <c r="Q705" s="15">
        <v>0.0</v>
      </c>
      <c r="R705" s="22">
        <v>0.0</v>
      </c>
      <c r="S705">
        <f t="shared" si="1"/>
        <v>2010</v>
      </c>
      <c r="T705">
        <f t="shared" si="2"/>
        <v>1</v>
      </c>
      <c r="AF705" s="18"/>
      <c r="AG705" s="19"/>
      <c r="AL705" s="18"/>
      <c r="AM705" s="19"/>
    </row>
    <row r="706">
      <c r="A706" s="4" t="s">
        <v>460</v>
      </c>
      <c r="B706" s="10">
        <v>40114.0</v>
      </c>
      <c r="C706" s="11" t="s">
        <v>96</v>
      </c>
      <c r="D706" s="11" t="s">
        <v>82</v>
      </c>
      <c r="E706" s="14" t="s">
        <v>52</v>
      </c>
      <c r="F706" s="11" t="s">
        <v>53</v>
      </c>
      <c r="G706" s="14" t="s">
        <v>54</v>
      </c>
      <c r="H706" s="11" t="s">
        <v>322</v>
      </c>
      <c r="I706" s="11"/>
      <c r="J706" s="11">
        <v>20.0</v>
      </c>
      <c r="K706" s="13">
        <v>40644.0</v>
      </c>
      <c r="L706" s="11">
        <f>ROUND(((K706-B706)/365)*12)</f>
        <v>17</v>
      </c>
      <c r="M706" s="11">
        <v>519105.0</v>
      </c>
      <c r="N706" s="11">
        <v>4913.0</v>
      </c>
      <c r="O706" s="4" t="s">
        <v>59</v>
      </c>
      <c r="P706" s="11">
        <v>62.0</v>
      </c>
      <c r="Q706" s="15">
        <v>384.0</v>
      </c>
      <c r="R706" s="22">
        <v>0.0</v>
      </c>
      <c r="S706">
        <f t="shared" si="1"/>
        <v>2009</v>
      </c>
      <c r="T706">
        <f t="shared" si="2"/>
        <v>10</v>
      </c>
      <c r="AF706" s="18"/>
      <c r="AG706" s="19"/>
      <c r="AL706" s="18"/>
      <c r="AM706" s="19"/>
    </row>
    <row r="707">
      <c r="A707" s="4" t="s">
        <v>1852</v>
      </c>
      <c r="B707" s="10">
        <v>40078.0</v>
      </c>
      <c r="C707" s="11" t="s">
        <v>209</v>
      </c>
      <c r="D707" s="11" t="s">
        <v>75</v>
      </c>
      <c r="E707" s="14" t="s">
        <v>52</v>
      </c>
      <c r="F707" s="11" t="s">
        <v>76</v>
      </c>
      <c r="G707" s="14" t="s">
        <v>54</v>
      </c>
      <c r="H707" s="11" t="s">
        <v>416</v>
      </c>
      <c r="I707" s="11" t="s">
        <v>416</v>
      </c>
      <c r="J707" s="11">
        <v>23.0</v>
      </c>
      <c r="K707" s="13"/>
      <c r="L707" s="11"/>
      <c r="M707" s="11">
        <v>518910.0</v>
      </c>
      <c r="N707" s="11" t="s">
        <v>1853</v>
      </c>
      <c r="P707" s="11">
        <v>0.0</v>
      </c>
      <c r="Q707" s="15">
        <v>0.0</v>
      </c>
      <c r="R707" s="22">
        <v>0.0</v>
      </c>
      <c r="S707">
        <f t="shared" si="1"/>
        <v>2009</v>
      </c>
      <c r="T707">
        <f t="shared" si="2"/>
        <v>9</v>
      </c>
      <c r="AF707" s="18"/>
      <c r="AG707" s="19"/>
      <c r="AL707" s="18"/>
      <c r="AM707" s="19"/>
    </row>
    <row r="708">
      <c r="A708" s="4" t="s">
        <v>1854</v>
      </c>
      <c r="B708" s="10">
        <v>40078.0</v>
      </c>
      <c r="C708" s="11" t="s">
        <v>382</v>
      </c>
      <c r="D708" s="11" t="s">
        <v>124</v>
      </c>
      <c r="E708" s="11" t="s">
        <v>52</v>
      </c>
      <c r="F708" s="11" t="s">
        <v>53</v>
      </c>
      <c r="G708" s="11" t="s">
        <v>54</v>
      </c>
      <c r="H708" s="11" t="s">
        <v>218</v>
      </c>
      <c r="I708" s="11"/>
      <c r="J708" s="11">
        <v>20.0</v>
      </c>
      <c r="K708" s="13">
        <v>40382.0</v>
      </c>
      <c r="L708" s="11">
        <f t="shared" ref="L708:L710" si="72">ROUND(((K708-B708)/365)*12)</f>
        <v>10</v>
      </c>
      <c r="M708" s="11">
        <v>518691.0</v>
      </c>
      <c r="N708" s="11" t="s">
        <v>1855</v>
      </c>
      <c r="P708" s="11">
        <v>0.0</v>
      </c>
      <c r="Q708" s="15">
        <v>0.0</v>
      </c>
      <c r="R708" s="22">
        <v>1.0</v>
      </c>
      <c r="S708">
        <f t="shared" si="1"/>
        <v>2009</v>
      </c>
      <c r="T708">
        <f t="shared" si="2"/>
        <v>9</v>
      </c>
      <c r="AF708" s="18"/>
      <c r="AG708" s="19"/>
      <c r="AL708" s="18"/>
      <c r="AM708" s="19"/>
    </row>
    <row r="709">
      <c r="A709" s="4" t="s">
        <v>1856</v>
      </c>
      <c r="B709" s="10">
        <v>40057.0</v>
      </c>
      <c r="C709" s="11" t="s">
        <v>350</v>
      </c>
      <c r="D709" s="11" t="s">
        <v>124</v>
      </c>
      <c r="E709" s="14" t="s">
        <v>52</v>
      </c>
      <c r="F709" s="11" t="s">
        <v>53</v>
      </c>
      <c r="G709" s="14" t="s">
        <v>54</v>
      </c>
      <c r="H709" s="11" t="s">
        <v>92</v>
      </c>
      <c r="I709" s="11" t="s">
        <v>1857</v>
      </c>
      <c r="J709" s="11">
        <v>21.0</v>
      </c>
      <c r="K709" s="13">
        <v>40391.0</v>
      </c>
      <c r="L709" s="11">
        <f t="shared" si="72"/>
        <v>11</v>
      </c>
      <c r="M709" s="11">
        <v>502281.0</v>
      </c>
      <c r="N709" s="11">
        <v>4002.0</v>
      </c>
      <c r="P709" s="11">
        <v>2.0</v>
      </c>
      <c r="Q709" s="15">
        <v>1.333</v>
      </c>
      <c r="R709" s="11">
        <v>0.0</v>
      </c>
      <c r="S709">
        <f t="shared" si="1"/>
        <v>2009</v>
      </c>
      <c r="T709">
        <f t="shared" si="2"/>
        <v>9</v>
      </c>
      <c r="AF709" s="18"/>
      <c r="AG709" s="19"/>
      <c r="AL709" s="18"/>
      <c r="AM709" s="19"/>
    </row>
    <row r="710">
      <c r="A710" s="4" t="s">
        <v>1858</v>
      </c>
      <c r="B710" s="10">
        <v>40044.0</v>
      </c>
      <c r="C710" s="11" t="s">
        <v>74</v>
      </c>
      <c r="D710" s="11" t="s">
        <v>51</v>
      </c>
      <c r="E710" s="14" t="s">
        <v>52</v>
      </c>
      <c r="F710" s="11" t="s">
        <v>53</v>
      </c>
      <c r="G710" s="14" t="s">
        <v>54</v>
      </c>
      <c r="H710" s="11" t="s">
        <v>291</v>
      </c>
      <c r="I710" s="11" t="s">
        <v>291</v>
      </c>
      <c r="J710" s="11">
        <v>23.0</v>
      </c>
      <c r="K710" s="13">
        <v>40416.0</v>
      </c>
      <c r="L710" s="11">
        <f t="shared" si="72"/>
        <v>12</v>
      </c>
      <c r="M710" s="11">
        <v>519455.0</v>
      </c>
      <c r="N710" s="11">
        <v>4505.0</v>
      </c>
      <c r="O710" s="4" t="s">
        <v>704</v>
      </c>
      <c r="P710" s="11">
        <v>181.0</v>
      </c>
      <c r="Q710" s="15">
        <v>1108.0</v>
      </c>
      <c r="R710" s="22">
        <v>1.0</v>
      </c>
      <c r="S710">
        <f t="shared" si="1"/>
        <v>2009</v>
      </c>
      <c r="T710">
        <f t="shared" si="2"/>
        <v>8</v>
      </c>
      <c r="U710" s="4"/>
      <c r="V710" s="4"/>
      <c r="W710" s="4"/>
      <c r="X710" s="4"/>
      <c r="Y710" s="4"/>
      <c r="Z710" s="4"/>
      <c r="AA710" s="4"/>
      <c r="AB710" s="4"/>
      <c r="AC710" s="4"/>
      <c r="AD710" s="4">
        <v>16.0</v>
      </c>
      <c r="AE710" s="4">
        <v>16.0</v>
      </c>
      <c r="AF710" s="54">
        <v>91.333</v>
      </c>
      <c r="AG710" s="55">
        <v>0.161</v>
      </c>
      <c r="AH710" s="4">
        <v>110.0</v>
      </c>
      <c r="AI710" s="4">
        <v>84.0</v>
      </c>
      <c r="AJ710" s="4">
        <v>7.0</v>
      </c>
      <c r="AK710" s="4">
        <v>7.0</v>
      </c>
      <c r="AL710" s="54">
        <v>31.0</v>
      </c>
      <c r="AM710" s="55">
        <v>0.126</v>
      </c>
      <c r="AN710" s="4">
        <v>123.0</v>
      </c>
      <c r="AO710" s="4">
        <v>146.0</v>
      </c>
    </row>
    <row r="711">
      <c r="A711" s="4" t="s">
        <v>1859</v>
      </c>
      <c r="B711" s="10">
        <v>40044.0</v>
      </c>
      <c r="C711" s="11" t="s">
        <v>142</v>
      </c>
      <c r="D711" s="11" t="s">
        <v>151</v>
      </c>
      <c r="E711" s="14" t="s">
        <v>52</v>
      </c>
      <c r="F711" s="11" t="s">
        <v>53</v>
      </c>
      <c r="G711" s="14" t="s">
        <v>54</v>
      </c>
      <c r="H711" s="11" t="s">
        <v>204</v>
      </c>
      <c r="I711" s="11" t="s">
        <v>477</v>
      </c>
      <c r="J711" s="11">
        <v>21.0</v>
      </c>
      <c r="K711" s="13">
        <v>40730.0</v>
      </c>
      <c r="L711" s="14"/>
      <c r="M711" s="11">
        <v>571876.0</v>
      </c>
      <c r="N711" s="11" t="s">
        <v>1860</v>
      </c>
      <c r="P711" s="11">
        <v>0.0</v>
      </c>
      <c r="Q711" s="15">
        <v>0.0</v>
      </c>
      <c r="R711" s="22">
        <v>1.0</v>
      </c>
      <c r="S711">
        <f t="shared" si="1"/>
        <v>2009</v>
      </c>
      <c r="T711">
        <f t="shared" si="2"/>
        <v>8</v>
      </c>
      <c r="AF711" s="18"/>
      <c r="AG711" s="19"/>
      <c r="AL711" s="18"/>
      <c r="AM711" s="19"/>
    </row>
    <row r="712">
      <c r="A712" s="4" t="s">
        <v>1861</v>
      </c>
      <c r="B712" s="10">
        <v>40028.0</v>
      </c>
      <c r="C712" s="11" t="s">
        <v>119</v>
      </c>
      <c r="D712" s="11" t="s">
        <v>51</v>
      </c>
      <c r="E712" s="14" t="s">
        <v>52</v>
      </c>
      <c r="F712" s="11" t="s">
        <v>53</v>
      </c>
      <c r="G712" s="22" t="s">
        <v>83</v>
      </c>
      <c r="H712" s="14"/>
      <c r="I712" s="14"/>
      <c r="J712" s="11">
        <v>25.0</v>
      </c>
      <c r="K712" s="13">
        <v>40376.0</v>
      </c>
      <c r="L712" s="11">
        <f t="shared" ref="L712:L713" si="73">ROUND(((K712-B712)/365)*12)</f>
        <v>11</v>
      </c>
      <c r="M712" s="11">
        <v>450172.0</v>
      </c>
      <c r="N712" s="11">
        <v>3990.0</v>
      </c>
      <c r="O712" s="4" t="s">
        <v>224</v>
      </c>
      <c r="P712" s="11">
        <v>197.0</v>
      </c>
      <c r="Q712" s="15">
        <v>1106.667</v>
      </c>
      <c r="R712" s="22">
        <v>1.0</v>
      </c>
      <c r="S712">
        <f t="shared" si="1"/>
        <v>2009</v>
      </c>
      <c r="T712">
        <f t="shared" si="2"/>
        <v>8</v>
      </c>
      <c r="U712" s="4"/>
      <c r="V712" s="4"/>
      <c r="W712" s="4"/>
      <c r="X712" s="4"/>
      <c r="Y712" s="4"/>
      <c r="Z712" s="4"/>
      <c r="AA712" s="4"/>
      <c r="AB712" s="4"/>
      <c r="AC712" s="4"/>
      <c r="AD712" s="4">
        <v>9.0</v>
      </c>
      <c r="AE712" s="4">
        <v>9.0</v>
      </c>
      <c r="AF712" s="54">
        <v>49.667</v>
      </c>
      <c r="AG712" s="55">
        <v>0.069</v>
      </c>
      <c r="AH712" s="4">
        <v>102.0</v>
      </c>
      <c r="AI712" s="4">
        <v>115.0</v>
      </c>
      <c r="AJ712" s="4">
        <v>12.0</v>
      </c>
      <c r="AK712" s="4">
        <v>12.0</v>
      </c>
      <c r="AL712" s="54">
        <v>62.667</v>
      </c>
      <c r="AM712" s="55">
        <v>0.116</v>
      </c>
      <c r="AN712" s="4">
        <v>105.0</v>
      </c>
      <c r="AO712" s="4">
        <v>97.0</v>
      </c>
    </row>
    <row r="713">
      <c r="A713" s="4" t="s">
        <v>1862</v>
      </c>
      <c r="B713" s="10">
        <v>40026.0</v>
      </c>
      <c r="C713" s="11" t="s">
        <v>209</v>
      </c>
      <c r="D713" s="11" t="s">
        <v>170</v>
      </c>
      <c r="E713" s="14" t="s">
        <v>52</v>
      </c>
      <c r="F713" s="11" t="s">
        <v>76</v>
      </c>
      <c r="G713" s="14" t="s">
        <v>54</v>
      </c>
      <c r="H713" s="11" t="s">
        <v>92</v>
      </c>
      <c r="I713" s="11"/>
      <c r="J713" s="11">
        <v>18.0</v>
      </c>
      <c r="K713" s="13">
        <v>40351.0</v>
      </c>
      <c r="L713" s="11">
        <f t="shared" si="73"/>
        <v>11</v>
      </c>
      <c r="M713" s="11">
        <v>572718.0</v>
      </c>
      <c r="N713" s="11" t="s">
        <v>1863</v>
      </c>
      <c r="P713" s="11">
        <v>0.0</v>
      </c>
      <c r="Q713" s="15">
        <v>0.0</v>
      </c>
      <c r="R713" s="22">
        <v>1.0</v>
      </c>
      <c r="S713">
        <f t="shared" si="1"/>
        <v>2009</v>
      </c>
      <c r="T713">
        <f t="shared" si="2"/>
        <v>8</v>
      </c>
      <c r="AF713" s="18"/>
      <c r="AG713" s="19"/>
      <c r="AL713" s="18"/>
      <c r="AM713" s="19"/>
    </row>
    <row r="714">
      <c r="A714" s="4" t="s">
        <v>1864</v>
      </c>
      <c r="B714" s="10">
        <v>40026.0</v>
      </c>
      <c r="C714" s="11" t="s">
        <v>331</v>
      </c>
      <c r="D714" s="11" t="s">
        <v>151</v>
      </c>
      <c r="E714" s="11" t="s">
        <v>52</v>
      </c>
      <c r="F714" s="11" t="s">
        <v>76</v>
      </c>
      <c r="G714" s="11" t="s">
        <v>54</v>
      </c>
      <c r="H714" s="11" t="s">
        <v>92</v>
      </c>
      <c r="I714" s="11" t="s">
        <v>1229</v>
      </c>
      <c r="J714" s="11">
        <v>18.0</v>
      </c>
      <c r="K714" s="13">
        <v>40721.0</v>
      </c>
      <c r="L714" s="11"/>
      <c r="M714" s="11">
        <v>572280.0</v>
      </c>
      <c r="N714" s="11" t="s">
        <v>1865</v>
      </c>
      <c r="P714" s="11">
        <v>0.0</v>
      </c>
      <c r="Q714" s="15">
        <v>0.0</v>
      </c>
      <c r="R714" s="22">
        <v>0.0</v>
      </c>
      <c r="S714">
        <f t="shared" si="1"/>
        <v>2009</v>
      </c>
      <c r="T714">
        <f t="shared" si="2"/>
        <v>8</v>
      </c>
      <c r="AF714" s="18"/>
      <c r="AG714" s="19"/>
      <c r="AL714" s="18"/>
      <c r="AM714" s="19"/>
    </row>
    <row r="715">
      <c r="A715" s="4" t="s">
        <v>1866</v>
      </c>
      <c r="B715" s="10">
        <v>40025.0</v>
      </c>
      <c r="C715" s="11" t="s">
        <v>138</v>
      </c>
      <c r="D715" s="11" t="s">
        <v>124</v>
      </c>
      <c r="E715" s="14" t="s">
        <v>52</v>
      </c>
      <c r="F715" s="11" t="s">
        <v>53</v>
      </c>
      <c r="G715" s="14" t="s">
        <v>54</v>
      </c>
      <c r="H715" s="11" t="s">
        <v>157</v>
      </c>
      <c r="I715" s="11"/>
      <c r="J715" s="11">
        <v>19.0</v>
      </c>
      <c r="K715" s="13">
        <v>40360.0</v>
      </c>
      <c r="L715" s="11">
        <f>ROUND(((K715-B715)/365)*12)</f>
        <v>11</v>
      </c>
      <c r="M715" s="11">
        <v>543493.0</v>
      </c>
      <c r="N715" s="11">
        <v>5364.0</v>
      </c>
      <c r="P715" s="11">
        <v>3.0</v>
      </c>
      <c r="Q715" s="15">
        <v>12.0</v>
      </c>
      <c r="R715" s="22">
        <v>1.0</v>
      </c>
      <c r="S715">
        <f t="shared" si="1"/>
        <v>2009</v>
      </c>
      <c r="T715">
        <f t="shared" si="2"/>
        <v>7</v>
      </c>
      <c r="AF715" s="18"/>
      <c r="AG715" s="19"/>
      <c r="AL715" s="18"/>
      <c r="AM715" s="19"/>
    </row>
    <row r="716">
      <c r="A716" s="4" t="s">
        <v>1488</v>
      </c>
      <c r="B716" s="10">
        <v>40023.0</v>
      </c>
      <c r="C716" s="11" t="s">
        <v>125</v>
      </c>
      <c r="D716" s="11" t="s">
        <v>170</v>
      </c>
      <c r="E716" s="14" t="s">
        <v>52</v>
      </c>
      <c r="F716" s="11" t="s">
        <v>53</v>
      </c>
      <c r="G716" s="14" t="s">
        <v>54</v>
      </c>
      <c r="H716" s="11" t="s">
        <v>316</v>
      </c>
      <c r="I716" s="11" t="s">
        <v>1868</v>
      </c>
      <c r="J716" s="11">
        <v>17.0</v>
      </c>
      <c r="K716" s="13">
        <v>41089.0</v>
      </c>
      <c r="L716" s="14"/>
      <c r="M716" s="11">
        <v>592716.0</v>
      </c>
      <c r="N716" s="11">
        <v>13339.0</v>
      </c>
      <c r="P716" s="11">
        <v>1.0</v>
      </c>
      <c r="Q716" s="15">
        <v>4.667</v>
      </c>
      <c r="R716" s="22">
        <v>1.0</v>
      </c>
      <c r="S716">
        <f t="shared" si="1"/>
        <v>2009</v>
      </c>
      <c r="T716">
        <f t="shared" si="2"/>
        <v>7</v>
      </c>
      <c r="AF716" s="18"/>
      <c r="AG716" s="19"/>
      <c r="AL716" s="18"/>
      <c r="AM716" s="19"/>
    </row>
    <row r="717">
      <c r="A717" s="4" t="s">
        <v>876</v>
      </c>
      <c r="B717" s="10">
        <v>40008.0</v>
      </c>
      <c r="C717" s="11" t="s">
        <v>125</v>
      </c>
      <c r="D717" s="11" t="s">
        <v>51</v>
      </c>
      <c r="E717" s="14" t="s">
        <v>52</v>
      </c>
      <c r="F717" s="11" t="s">
        <v>53</v>
      </c>
      <c r="G717" s="14" t="s">
        <v>54</v>
      </c>
      <c r="H717" s="11" t="s">
        <v>1312</v>
      </c>
      <c r="I717" s="11" t="s">
        <v>1312</v>
      </c>
      <c r="J717" s="11">
        <v>31.0</v>
      </c>
      <c r="K717" s="14"/>
      <c r="L717" s="14"/>
      <c r="M717" s="11">
        <v>407884.0</v>
      </c>
      <c r="N717" s="11">
        <v>1527.0</v>
      </c>
      <c r="O717" s="4" t="s">
        <v>59</v>
      </c>
      <c r="P717" s="11">
        <v>0.0</v>
      </c>
      <c r="Q717" s="32">
        <v>0.0</v>
      </c>
      <c r="R717" s="22">
        <v>0.0</v>
      </c>
      <c r="S717">
        <f t="shared" si="1"/>
        <v>2009</v>
      </c>
      <c r="T717">
        <f t="shared" si="2"/>
        <v>7</v>
      </c>
      <c r="AF717" s="18"/>
      <c r="AG717" s="19"/>
      <c r="AL717" s="18"/>
      <c r="AM717" s="19"/>
    </row>
    <row r="718">
      <c r="A718" s="4" t="s">
        <v>1869</v>
      </c>
      <c r="B718" s="10">
        <v>40008.0</v>
      </c>
      <c r="C718" s="11" t="s">
        <v>382</v>
      </c>
      <c r="D718" s="11" t="s">
        <v>75</v>
      </c>
      <c r="E718" s="14" t="s">
        <v>52</v>
      </c>
      <c r="F718" s="11" t="s">
        <v>53</v>
      </c>
      <c r="G718" s="14" t="s">
        <v>54</v>
      </c>
      <c r="H718" s="11" t="s">
        <v>92</v>
      </c>
      <c r="I718" s="11" t="s">
        <v>1870</v>
      </c>
      <c r="J718" s="11">
        <v>25.0</v>
      </c>
      <c r="K718" s="13">
        <v>40680.0</v>
      </c>
      <c r="L718" s="11">
        <f t="shared" ref="L718:L721" si="74">ROUND(((K718-B718)/365)*12)</f>
        <v>22</v>
      </c>
      <c r="M718" s="11">
        <v>458919.0</v>
      </c>
      <c r="N718" s="11">
        <v>7169.0</v>
      </c>
      <c r="P718" s="11">
        <v>203.0</v>
      </c>
      <c r="Q718" s="15">
        <v>198.333</v>
      </c>
      <c r="R718" s="22">
        <v>1.0</v>
      </c>
      <c r="S718">
        <f t="shared" si="1"/>
        <v>2009</v>
      </c>
      <c r="T718">
        <f t="shared" si="2"/>
        <v>7</v>
      </c>
      <c r="AF718" s="18"/>
      <c r="AG718" s="19"/>
      <c r="AL718" s="18"/>
      <c r="AM718" s="19"/>
    </row>
    <row r="719">
      <c r="A719" s="4" t="s">
        <v>1871</v>
      </c>
      <c r="B719" s="10">
        <v>40001.0</v>
      </c>
      <c r="C719" s="11" t="s">
        <v>229</v>
      </c>
      <c r="D719" s="11" t="s">
        <v>51</v>
      </c>
      <c r="E719" s="22" t="s">
        <v>1248</v>
      </c>
      <c r="F719" s="11" t="s">
        <v>53</v>
      </c>
      <c r="G719" s="14" t="s">
        <v>54</v>
      </c>
      <c r="H719" s="11" t="s">
        <v>153</v>
      </c>
      <c r="I719" s="11" t="s">
        <v>1757</v>
      </c>
      <c r="J719" s="11">
        <v>28.0</v>
      </c>
      <c r="K719" s="13">
        <v>40276.0</v>
      </c>
      <c r="L719" s="11">
        <f t="shared" si="74"/>
        <v>9</v>
      </c>
      <c r="M719" s="11">
        <v>449107.0</v>
      </c>
      <c r="N719" s="11">
        <v>5986.0</v>
      </c>
      <c r="O719" s="4" t="s">
        <v>704</v>
      </c>
      <c r="P719" s="11">
        <v>740.0</v>
      </c>
      <c r="Q719" s="15">
        <v>2569.0</v>
      </c>
      <c r="R719" s="22">
        <v>1.0</v>
      </c>
      <c r="S719">
        <f t="shared" si="1"/>
        <v>2009</v>
      </c>
      <c r="T719">
        <f t="shared" si="2"/>
        <v>7</v>
      </c>
      <c r="AF719" s="18"/>
      <c r="AG719" s="19"/>
      <c r="AL719" s="18"/>
      <c r="AM719" s="19"/>
    </row>
    <row r="720">
      <c r="A720" s="4" t="s">
        <v>1875</v>
      </c>
      <c r="B720" s="10">
        <v>40001.0</v>
      </c>
      <c r="C720" s="11" t="s">
        <v>138</v>
      </c>
      <c r="D720" s="11" t="s">
        <v>75</v>
      </c>
      <c r="E720" s="11" t="s">
        <v>52</v>
      </c>
      <c r="F720" s="11" t="s">
        <v>53</v>
      </c>
      <c r="G720" s="11" t="s">
        <v>54</v>
      </c>
      <c r="H720" s="11" t="s">
        <v>344</v>
      </c>
      <c r="I720" s="11" t="s">
        <v>1876</v>
      </c>
      <c r="J720" s="11">
        <v>24.0</v>
      </c>
      <c r="K720" s="13">
        <v>40423.0</v>
      </c>
      <c r="L720" s="11">
        <f t="shared" si="74"/>
        <v>14</v>
      </c>
      <c r="M720" s="11">
        <v>502004.0</v>
      </c>
      <c r="N720" s="11">
        <v>9486.0</v>
      </c>
      <c r="O720" s="4"/>
      <c r="P720" s="11">
        <v>257.0</v>
      </c>
      <c r="Q720" s="15">
        <v>264.0</v>
      </c>
      <c r="R720" s="22">
        <v>1.0</v>
      </c>
      <c r="S720">
        <f t="shared" si="1"/>
        <v>2009</v>
      </c>
      <c r="T720">
        <f t="shared" si="2"/>
        <v>7</v>
      </c>
      <c r="AF720" s="18"/>
      <c r="AG720" s="19"/>
      <c r="AL720" s="18"/>
      <c r="AM720" s="19"/>
    </row>
    <row r="721">
      <c r="A721" s="4" t="s">
        <v>1877</v>
      </c>
      <c r="B721" s="10">
        <v>39996.0</v>
      </c>
      <c r="C721" s="11" t="s">
        <v>350</v>
      </c>
      <c r="D721" s="11" t="s">
        <v>51</v>
      </c>
      <c r="E721" s="14" t="s">
        <v>52</v>
      </c>
      <c r="F721" s="11" t="s">
        <v>76</v>
      </c>
      <c r="G721" s="14" t="s">
        <v>54</v>
      </c>
      <c r="H721" s="11" t="s">
        <v>344</v>
      </c>
      <c r="I721" s="11" t="s">
        <v>1878</v>
      </c>
      <c r="J721" s="11">
        <v>29.0</v>
      </c>
      <c r="K721" s="13">
        <v>41415.0</v>
      </c>
      <c r="L721" s="11">
        <f t="shared" si="74"/>
        <v>47</v>
      </c>
      <c r="M721" s="11">
        <v>425840.0</v>
      </c>
      <c r="N721" s="11">
        <v>1797.0</v>
      </c>
      <c r="O721" s="4" t="s">
        <v>224</v>
      </c>
      <c r="P721" s="11">
        <v>199.0</v>
      </c>
      <c r="Q721" s="15">
        <v>187.0</v>
      </c>
      <c r="R721" s="22">
        <v>1.0</v>
      </c>
      <c r="S721">
        <f t="shared" si="1"/>
        <v>2009</v>
      </c>
      <c r="T721">
        <f t="shared" si="2"/>
        <v>7</v>
      </c>
      <c r="AF721" s="18"/>
      <c r="AG721" s="19"/>
      <c r="AL721" s="18"/>
      <c r="AM721" s="19"/>
    </row>
    <row r="722">
      <c r="A722" s="4" t="s">
        <v>1879</v>
      </c>
      <c r="B722" s="10">
        <v>39995.0</v>
      </c>
      <c r="C722" s="11" t="s">
        <v>350</v>
      </c>
      <c r="D722" s="11" t="s">
        <v>110</v>
      </c>
      <c r="E722" s="11" t="s">
        <v>52</v>
      </c>
      <c r="F722" s="11" t="s">
        <v>53</v>
      </c>
      <c r="G722" s="11" t="s">
        <v>54</v>
      </c>
      <c r="H722" s="11" t="s">
        <v>344</v>
      </c>
      <c r="I722" s="11"/>
      <c r="J722" s="11">
        <v>25.0</v>
      </c>
      <c r="K722" s="13"/>
      <c r="L722" s="11"/>
      <c r="M722" s="11">
        <v>459336.0</v>
      </c>
      <c r="N722" s="11">
        <v>4865.0</v>
      </c>
      <c r="O722" s="4"/>
      <c r="P722" s="11">
        <v>0.0</v>
      </c>
      <c r="Q722" s="15">
        <v>0.0</v>
      </c>
      <c r="R722" s="22">
        <v>0.0</v>
      </c>
      <c r="S722">
        <f t="shared" si="1"/>
        <v>2009</v>
      </c>
      <c r="T722">
        <f t="shared" si="2"/>
        <v>7</v>
      </c>
      <c r="AF722" s="18"/>
      <c r="AG722" s="19"/>
      <c r="AL722" s="18"/>
      <c r="AM722" s="19"/>
    </row>
    <row r="723">
      <c r="A723" s="4" t="s">
        <v>907</v>
      </c>
      <c r="B723" s="10">
        <v>39995.0</v>
      </c>
      <c r="C723" s="11" t="s">
        <v>138</v>
      </c>
      <c r="D723" s="11" t="s">
        <v>51</v>
      </c>
      <c r="E723" s="22" t="s">
        <v>872</v>
      </c>
      <c r="F723" s="11" t="s">
        <v>53</v>
      </c>
      <c r="G723" s="14" t="s">
        <v>54</v>
      </c>
      <c r="H723" s="11" t="s">
        <v>92</v>
      </c>
      <c r="I723" s="11" t="s">
        <v>139</v>
      </c>
      <c r="J723" s="11">
        <v>30.0</v>
      </c>
      <c r="K723" s="13">
        <v>40275.0</v>
      </c>
      <c r="L723" s="11">
        <f t="shared" ref="L723:L729" si="75">ROUND(((K723-B723)/365)*12)</f>
        <v>9</v>
      </c>
      <c r="M723" s="11">
        <v>294558.0</v>
      </c>
      <c r="N723" s="11">
        <v>1658.0</v>
      </c>
      <c r="O723" s="4" t="s">
        <v>704</v>
      </c>
      <c r="P723" s="11">
        <v>282.0</v>
      </c>
      <c r="Q723" s="32">
        <v>778.0</v>
      </c>
      <c r="R723" s="22">
        <v>0.0</v>
      </c>
      <c r="S723">
        <f t="shared" si="1"/>
        <v>2009</v>
      </c>
      <c r="T723">
        <f t="shared" si="2"/>
        <v>7</v>
      </c>
      <c r="AF723" s="18"/>
      <c r="AG723" s="19"/>
      <c r="AL723" s="18"/>
      <c r="AM723" s="19"/>
    </row>
    <row r="724">
      <c r="A724" s="4" t="s">
        <v>1880</v>
      </c>
      <c r="B724" s="10">
        <v>39994.0</v>
      </c>
      <c r="C724" s="11" t="s">
        <v>97</v>
      </c>
      <c r="D724" s="11" t="s">
        <v>51</v>
      </c>
      <c r="E724" s="14" t="s">
        <v>52</v>
      </c>
      <c r="F724" s="11" t="s">
        <v>76</v>
      </c>
      <c r="G724" s="14" t="s">
        <v>54</v>
      </c>
      <c r="H724" s="11" t="s">
        <v>244</v>
      </c>
      <c r="I724" s="11" t="s">
        <v>1881</v>
      </c>
      <c r="J724" s="11">
        <v>24.0</v>
      </c>
      <c r="K724" s="13">
        <v>40686.0</v>
      </c>
      <c r="L724" s="11">
        <f t="shared" si="75"/>
        <v>23</v>
      </c>
      <c r="M724" s="11">
        <v>489189.0</v>
      </c>
      <c r="N724" s="11">
        <v>4004.0</v>
      </c>
      <c r="O724" s="4" t="s">
        <v>59</v>
      </c>
      <c r="P724" s="11">
        <v>141.0</v>
      </c>
      <c r="Q724" s="32">
        <v>181.33299999999997</v>
      </c>
      <c r="R724" s="22">
        <v>1.0</v>
      </c>
      <c r="S724">
        <f t="shared" si="1"/>
        <v>2009</v>
      </c>
      <c r="T724">
        <f t="shared" si="2"/>
        <v>6</v>
      </c>
      <c r="AF724" s="18"/>
      <c r="AG724" s="19"/>
      <c r="AL724" s="18"/>
      <c r="AM724" s="19"/>
    </row>
    <row r="725">
      <c r="A725" s="4" t="s">
        <v>773</v>
      </c>
      <c r="B725" s="10">
        <v>39994.0</v>
      </c>
      <c r="C725" s="11" t="s">
        <v>49</v>
      </c>
      <c r="D725" s="11" t="s">
        <v>51</v>
      </c>
      <c r="E725" s="14" t="s">
        <v>52</v>
      </c>
      <c r="F725" s="11" t="s">
        <v>53</v>
      </c>
      <c r="G725" s="22" t="s">
        <v>312</v>
      </c>
      <c r="H725" s="14"/>
      <c r="I725" s="14"/>
      <c r="J725" s="11">
        <v>28.0</v>
      </c>
      <c r="K725" s="13">
        <v>40430.0</v>
      </c>
      <c r="L725" s="11">
        <f t="shared" si="75"/>
        <v>14</v>
      </c>
      <c r="M725" s="11">
        <v>429718.0</v>
      </c>
      <c r="N725" s="11">
        <v>1882.0</v>
      </c>
      <c r="O725" s="4" t="s">
        <v>59</v>
      </c>
      <c r="P725" s="11">
        <v>5.0</v>
      </c>
      <c r="Q725" s="15">
        <v>23.667</v>
      </c>
      <c r="R725" s="22">
        <v>0.0</v>
      </c>
      <c r="S725">
        <f t="shared" si="1"/>
        <v>2009</v>
      </c>
      <c r="T725">
        <f t="shared" si="2"/>
        <v>6</v>
      </c>
      <c r="U725" s="4"/>
      <c r="V725" s="4"/>
      <c r="W725" s="4"/>
      <c r="X725" s="4"/>
      <c r="Y725" s="4"/>
      <c r="Z725" s="4"/>
      <c r="AA725" s="4"/>
      <c r="AB725" s="4"/>
      <c r="AC725" s="4"/>
      <c r="AD725" s="4">
        <v>3.0</v>
      </c>
      <c r="AE725" s="4">
        <v>3.0</v>
      </c>
      <c r="AF725" s="54">
        <v>12.0</v>
      </c>
      <c r="AG725" s="55">
        <v>0.071</v>
      </c>
      <c r="AH725" s="4">
        <v>137.0</v>
      </c>
      <c r="AI725" s="4">
        <v>98.0</v>
      </c>
      <c r="AJ725" s="4">
        <v>4.0</v>
      </c>
      <c r="AK725" s="4">
        <v>4.0</v>
      </c>
      <c r="AL725" s="54">
        <v>20.667</v>
      </c>
      <c r="AM725" s="55">
        <v>0.11</v>
      </c>
      <c r="AN725" s="4">
        <v>63.0</v>
      </c>
      <c r="AO725" s="4">
        <v>73.0</v>
      </c>
    </row>
    <row r="726">
      <c r="A726" s="4" t="s">
        <v>1885</v>
      </c>
      <c r="B726" s="10">
        <v>39994.0</v>
      </c>
      <c r="C726" s="11" t="s">
        <v>229</v>
      </c>
      <c r="D726" s="11" t="s">
        <v>124</v>
      </c>
      <c r="E726" s="14" t="s">
        <v>52</v>
      </c>
      <c r="F726" s="11" t="s">
        <v>53</v>
      </c>
      <c r="G726" s="14" t="s">
        <v>54</v>
      </c>
      <c r="H726" s="11" t="s">
        <v>92</v>
      </c>
      <c r="I726" s="11"/>
      <c r="J726" s="11">
        <v>23.0</v>
      </c>
      <c r="K726" s="13">
        <v>40344.0</v>
      </c>
      <c r="L726" s="11">
        <f t="shared" si="75"/>
        <v>12</v>
      </c>
      <c r="M726" s="11">
        <v>451572.0</v>
      </c>
      <c r="N726" s="11" t="s">
        <v>1887</v>
      </c>
      <c r="P726" s="11">
        <v>0.0</v>
      </c>
      <c r="Q726" s="15">
        <v>0.0</v>
      </c>
      <c r="R726" s="22">
        <v>0.0</v>
      </c>
      <c r="S726">
        <f t="shared" si="1"/>
        <v>2009</v>
      </c>
      <c r="T726">
        <f t="shared" si="2"/>
        <v>6</v>
      </c>
      <c r="AF726" s="18"/>
      <c r="AG726" s="19"/>
      <c r="AL726" s="18"/>
      <c r="AM726" s="19"/>
    </row>
    <row r="727">
      <c r="A727" s="4" t="s">
        <v>1888</v>
      </c>
      <c r="B727" s="10">
        <v>39988.0</v>
      </c>
      <c r="C727" s="11" t="s">
        <v>90</v>
      </c>
      <c r="D727" s="11" t="s">
        <v>210</v>
      </c>
      <c r="E727" s="14" t="s">
        <v>52</v>
      </c>
      <c r="F727" s="11" t="s">
        <v>53</v>
      </c>
      <c r="G727" s="14" t="s">
        <v>54</v>
      </c>
      <c r="H727" s="11" t="s">
        <v>1404</v>
      </c>
      <c r="I727" s="11" t="s">
        <v>1063</v>
      </c>
      <c r="J727" s="11">
        <v>23.0</v>
      </c>
      <c r="K727" s="13">
        <v>40362.0</v>
      </c>
      <c r="L727" s="11">
        <f t="shared" si="75"/>
        <v>12</v>
      </c>
      <c r="M727" s="11">
        <v>457660.0</v>
      </c>
      <c r="N727" s="11" t="s">
        <v>1889</v>
      </c>
      <c r="P727" s="11">
        <v>0.0</v>
      </c>
      <c r="Q727" s="15">
        <v>0.0</v>
      </c>
      <c r="R727" s="22">
        <v>0.0</v>
      </c>
      <c r="S727">
        <f t="shared" si="1"/>
        <v>2009</v>
      </c>
      <c r="T727">
        <f t="shared" si="2"/>
        <v>6</v>
      </c>
      <c r="AF727" s="18"/>
      <c r="AG727" s="19"/>
      <c r="AL727" s="18"/>
      <c r="AM727" s="19"/>
    </row>
    <row r="728">
      <c r="A728" s="4" t="s">
        <v>1891</v>
      </c>
      <c r="B728" s="10">
        <v>39981.0</v>
      </c>
      <c r="C728" s="11" t="s">
        <v>382</v>
      </c>
      <c r="D728" s="11" t="s">
        <v>51</v>
      </c>
      <c r="E728" s="14" t="s">
        <v>52</v>
      </c>
      <c r="F728" s="11" t="s">
        <v>53</v>
      </c>
      <c r="G728" s="14" t="s">
        <v>54</v>
      </c>
      <c r="H728" s="11" t="s">
        <v>412</v>
      </c>
      <c r="I728" s="11"/>
      <c r="J728" s="11">
        <v>27.0</v>
      </c>
      <c r="K728" s="13">
        <v>40383.0</v>
      </c>
      <c r="L728" s="11">
        <f t="shared" si="75"/>
        <v>13</v>
      </c>
      <c r="M728" s="11">
        <v>430587.0</v>
      </c>
      <c r="N728" s="11">
        <v>2168.0</v>
      </c>
      <c r="O728" s="4" t="s">
        <v>383</v>
      </c>
      <c r="P728" s="11">
        <v>32.0</v>
      </c>
      <c r="Q728" s="32">
        <v>38.0</v>
      </c>
      <c r="R728" s="22">
        <v>0.0</v>
      </c>
      <c r="S728">
        <f t="shared" si="1"/>
        <v>2009</v>
      </c>
      <c r="T728">
        <f t="shared" si="2"/>
        <v>6</v>
      </c>
      <c r="AF728" s="18"/>
      <c r="AG728" s="19"/>
      <c r="AL728" s="18"/>
      <c r="AM728" s="19"/>
    </row>
    <row r="729">
      <c r="A729" s="4" t="s">
        <v>473</v>
      </c>
      <c r="B729" s="10">
        <v>39980.0</v>
      </c>
      <c r="C729" s="11" t="s">
        <v>130</v>
      </c>
      <c r="D729" s="11" t="s">
        <v>51</v>
      </c>
      <c r="E729" s="14" t="s">
        <v>52</v>
      </c>
      <c r="F729" s="11" t="s">
        <v>53</v>
      </c>
      <c r="G729" s="14" t="s">
        <v>54</v>
      </c>
      <c r="H729" s="11" t="s">
        <v>344</v>
      </c>
      <c r="I729" s="11" t="s">
        <v>1892</v>
      </c>
      <c r="J729" s="11">
        <v>36.0</v>
      </c>
      <c r="K729" s="13">
        <v>40644.0</v>
      </c>
      <c r="L729" s="11">
        <f t="shared" si="75"/>
        <v>22</v>
      </c>
      <c r="M729" s="11">
        <v>116414.0</v>
      </c>
      <c r="N729" s="11">
        <v>1158.0</v>
      </c>
      <c r="O729" s="4" t="s">
        <v>404</v>
      </c>
      <c r="P729" s="11">
        <v>103.0</v>
      </c>
      <c r="Q729" s="32">
        <v>92.33299999999998</v>
      </c>
      <c r="R729" s="22">
        <v>0.0</v>
      </c>
      <c r="S729">
        <f t="shared" si="1"/>
        <v>2009</v>
      </c>
      <c r="T729">
        <f t="shared" si="2"/>
        <v>6</v>
      </c>
      <c r="AF729" s="18"/>
      <c r="AG729" s="19"/>
      <c r="AL729" s="18"/>
      <c r="AM729" s="19"/>
    </row>
    <row r="730">
      <c r="A730" s="4" t="s">
        <v>1894</v>
      </c>
      <c r="B730" s="10">
        <v>39976.0</v>
      </c>
      <c r="C730" s="11" t="s">
        <v>169</v>
      </c>
      <c r="D730" s="11" t="s">
        <v>51</v>
      </c>
      <c r="E730" s="14" t="s">
        <v>52</v>
      </c>
      <c r="F730" s="11" t="s">
        <v>53</v>
      </c>
      <c r="G730" s="14" t="s">
        <v>54</v>
      </c>
      <c r="H730" s="11" t="s">
        <v>92</v>
      </c>
      <c r="I730" s="11" t="s">
        <v>93</v>
      </c>
      <c r="J730" s="11">
        <v>27.0</v>
      </c>
      <c r="K730" s="14"/>
      <c r="L730" s="14"/>
      <c r="M730" s="11">
        <v>435039.0</v>
      </c>
      <c r="N730" s="11">
        <v>7105.0</v>
      </c>
      <c r="O730" s="4" t="s">
        <v>704</v>
      </c>
      <c r="P730" s="11">
        <v>0.0</v>
      </c>
      <c r="Q730" s="32">
        <v>0.0</v>
      </c>
      <c r="R730" s="22">
        <v>0.0</v>
      </c>
      <c r="S730">
        <f t="shared" si="1"/>
        <v>2009</v>
      </c>
      <c r="T730">
        <f t="shared" si="2"/>
        <v>6</v>
      </c>
      <c r="AF730" s="18"/>
      <c r="AG730" s="19"/>
      <c r="AL730" s="18"/>
      <c r="AM730" s="19"/>
    </row>
    <row r="731">
      <c r="A731" s="4" t="s">
        <v>1898</v>
      </c>
      <c r="B731" s="10">
        <v>39976.0</v>
      </c>
      <c r="C731" s="11" t="s">
        <v>711</v>
      </c>
      <c r="D731" s="11" t="s">
        <v>51</v>
      </c>
      <c r="E731" s="14" t="s">
        <v>52</v>
      </c>
      <c r="F731" s="11" t="s">
        <v>53</v>
      </c>
      <c r="G731" s="14" t="s">
        <v>54</v>
      </c>
      <c r="H731" s="11" t="s">
        <v>260</v>
      </c>
      <c r="I731" s="11" t="s">
        <v>1401</v>
      </c>
      <c r="J731" s="11">
        <v>24.0</v>
      </c>
      <c r="K731" s="13">
        <v>40342.0</v>
      </c>
      <c r="L731" s="11">
        <f>ROUND(((K731-B731)/365)*12)</f>
        <v>12</v>
      </c>
      <c r="M731" s="11">
        <v>446209.0</v>
      </c>
      <c r="N731" s="11">
        <v>3688.0</v>
      </c>
      <c r="O731" s="4" t="s">
        <v>59</v>
      </c>
      <c r="P731" s="11">
        <v>37.0</v>
      </c>
      <c r="Q731" s="15">
        <v>121.667</v>
      </c>
      <c r="R731" s="22">
        <v>0.0</v>
      </c>
      <c r="S731">
        <f t="shared" si="1"/>
        <v>2009</v>
      </c>
      <c r="T731">
        <f t="shared" si="2"/>
        <v>6</v>
      </c>
      <c r="U731" s="4"/>
      <c r="V731" s="4"/>
      <c r="W731" s="4"/>
      <c r="X731" s="4"/>
      <c r="Y731" s="4"/>
      <c r="Z731" s="4"/>
      <c r="AA731" s="4"/>
      <c r="AB731" s="4"/>
      <c r="AC731" s="4"/>
      <c r="AD731" s="4">
        <v>2.0</v>
      </c>
      <c r="AE731" s="4">
        <v>2.0</v>
      </c>
      <c r="AF731" s="54">
        <v>9.0</v>
      </c>
      <c r="AG731" s="55">
        <v>0.167</v>
      </c>
      <c r="AH731" s="4">
        <v>201.0</v>
      </c>
      <c r="AI731" s="4">
        <v>173.0</v>
      </c>
      <c r="AJ731" s="4">
        <v>9.0</v>
      </c>
      <c r="AK731" s="4">
        <v>9.0</v>
      </c>
      <c r="AL731" s="54">
        <v>46.667</v>
      </c>
      <c r="AM731" s="55">
        <v>0.005</v>
      </c>
      <c r="AN731" s="4">
        <v>139.0</v>
      </c>
      <c r="AO731" s="4">
        <v>129.0</v>
      </c>
    </row>
    <row r="732">
      <c r="A732" s="4" t="s">
        <v>1905</v>
      </c>
      <c r="B732" s="10">
        <v>39973.0</v>
      </c>
      <c r="C732" s="11" t="s">
        <v>97</v>
      </c>
      <c r="D732" s="11" t="s">
        <v>51</v>
      </c>
      <c r="E732" s="14" t="s">
        <v>52</v>
      </c>
      <c r="F732" s="11" t="s">
        <v>53</v>
      </c>
      <c r="G732" s="14" t="s">
        <v>54</v>
      </c>
      <c r="H732" s="11" t="s">
        <v>92</v>
      </c>
      <c r="I732" s="11" t="s">
        <v>518</v>
      </c>
      <c r="J732" s="11">
        <v>32.0</v>
      </c>
      <c r="K732" s="14"/>
      <c r="L732" s="14"/>
      <c r="M732" s="11">
        <v>435500.0</v>
      </c>
      <c r="N732" s="11">
        <v>2656.0</v>
      </c>
      <c r="O732" s="4" t="s">
        <v>704</v>
      </c>
      <c r="P732" s="11">
        <v>0.0</v>
      </c>
      <c r="Q732" s="32">
        <v>0.0</v>
      </c>
      <c r="R732" s="22">
        <v>0.0</v>
      </c>
      <c r="S732">
        <f t="shared" si="1"/>
        <v>2009</v>
      </c>
      <c r="T732">
        <f t="shared" si="2"/>
        <v>6</v>
      </c>
      <c r="AF732" s="18"/>
      <c r="AG732" s="19"/>
      <c r="AL732" s="18"/>
      <c r="AM732" s="19"/>
    </row>
    <row r="733">
      <c r="A733" s="4" t="s">
        <v>1906</v>
      </c>
      <c r="B733" s="10">
        <v>39969.0</v>
      </c>
      <c r="C733" s="11" t="s">
        <v>159</v>
      </c>
      <c r="D733" s="11" t="s">
        <v>82</v>
      </c>
      <c r="E733" s="14" t="s">
        <v>52</v>
      </c>
      <c r="F733" s="11" t="s">
        <v>76</v>
      </c>
      <c r="G733" s="14" t="s">
        <v>54</v>
      </c>
      <c r="H733" s="11" t="s">
        <v>597</v>
      </c>
      <c r="I733" s="11" t="s">
        <v>1907</v>
      </c>
      <c r="J733" s="11">
        <v>23.0</v>
      </c>
      <c r="K733" s="13">
        <v>40278.0</v>
      </c>
      <c r="L733" s="11">
        <f t="shared" ref="L733:L735" si="76">ROUND(((K733-B733)/365)*12)</f>
        <v>10</v>
      </c>
      <c r="M733" s="11">
        <v>502102.0</v>
      </c>
      <c r="N733" s="11">
        <v>3124.0</v>
      </c>
      <c r="P733" s="11">
        <v>43.0</v>
      </c>
      <c r="Q733" s="15">
        <v>78.0</v>
      </c>
      <c r="R733" s="22">
        <v>1.0</v>
      </c>
      <c r="S733">
        <f t="shared" si="1"/>
        <v>2009</v>
      </c>
      <c r="T733">
        <f t="shared" si="2"/>
        <v>6</v>
      </c>
      <c r="AF733" s="18"/>
      <c r="AG733" s="19"/>
      <c r="AL733" s="18"/>
      <c r="AM733" s="19"/>
    </row>
    <row r="734">
      <c r="A734" s="4" t="s">
        <v>1908</v>
      </c>
      <c r="B734" s="10">
        <v>39966.0</v>
      </c>
      <c r="C734" s="11" t="s">
        <v>114</v>
      </c>
      <c r="D734" s="11" t="s">
        <v>51</v>
      </c>
      <c r="E734" s="14" t="s">
        <v>52</v>
      </c>
      <c r="F734" s="11" t="s">
        <v>53</v>
      </c>
      <c r="G734" s="14" t="s">
        <v>54</v>
      </c>
      <c r="H734" s="11" t="s">
        <v>316</v>
      </c>
      <c r="I734" s="11" t="s">
        <v>1909</v>
      </c>
      <c r="J734" s="11">
        <v>32.0</v>
      </c>
      <c r="K734" s="13">
        <v>40338.0</v>
      </c>
      <c r="L734" s="11">
        <f t="shared" si="76"/>
        <v>12</v>
      </c>
      <c r="M734" s="11">
        <v>228594.0</v>
      </c>
      <c r="N734" s="11">
        <v>402.0</v>
      </c>
      <c r="O734" s="4" t="s">
        <v>704</v>
      </c>
      <c r="P734" s="11">
        <v>23.0</v>
      </c>
      <c r="Q734" s="32">
        <v>23.333000000000006</v>
      </c>
      <c r="R734" s="22">
        <v>0.0</v>
      </c>
      <c r="S734">
        <f t="shared" si="1"/>
        <v>2009</v>
      </c>
      <c r="T734">
        <f t="shared" si="2"/>
        <v>6</v>
      </c>
      <c r="AF734" s="18"/>
      <c r="AG734" s="19"/>
      <c r="AL734" s="18"/>
      <c r="AM734" s="19"/>
    </row>
    <row r="735">
      <c r="A735" s="4" t="s">
        <v>1194</v>
      </c>
      <c r="B735" s="10">
        <v>39965.0</v>
      </c>
      <c r="C735" s="11" t="s">
        <v>350</v>
      </c>
      <c r="D735" s="11" t="s">
        <v>151</v>
      </c>
      <c r="E735" s="14" t="s">
        <v>52</v>
      </c>
      <c r="F735" s="11" t="s">
        <v>53</v>
      </c>
      <c r="G735" s="14" t="s">
        <v>54</v>
      </c>
      <c r="H735" s="11" t="s">
        <v>218</v>
      </c>
      <c r="I735" s="11" t="s">
        <v>1911</v>
      </c>
      <c r="J735" s="11">
        <v>20.0</v>
      </c>
      <c r="K735" s="13">
        <v>40382.0</v>
      </c>
      <c r="L735" s="11">
        <f t="shared" si="76"/>
        <v>14</v>
      </c>
      <c r="M735" s="11">
        <v>542923.0</v>
      </c>
      <c r="N735" s="11">
        <v>11471.0</v>
      </c>
      <c r="P735" s="11">
        <v>5.0</v>
      </c>
      <c r="Q735" s="15">
        <v>19.333</v>
      </c>
      <c r="R735" s="22">
        <v>1.0</v>
      </c>
      <c r="S735">
        <f t="shared" si="1"/>
        <v>2009</v>
      </c>
      <c r="T735">
        <f t="shared" si="2"/>
        <v>6</v>
      </c>
      <c r="AF735" s="18"/>
      <c r="AG735" s="19"/>
      <c r="AL735" s="18"/>
      <c r="AM735" s="19"/>
    </row>
    <row r="736">
      <c r="A736" s="4" t="s">
        <v>1912</v>
      </c>
      <c r="B736" s="10">
        <v>39965.0</v>
      </c>
      <c r="C736" s="11" t="s">
        <v>81</v>
      </c>
      <c r="D736" s="11" t="s">
        <v>151</v>
      </c>
      <c r="E736" s="11" t="s">
        <v>52</v>
      </c>
      <c r="F736" s="11" t="s">
        <v>53</v>
      </c>
      <c r="G736" s="11" t="s">
        <v>54</v>
      </c>
      <c r="H736" s="11" t="s">
        <v>305</v>
      </c>
      <c r="I736" s="11" t="s">
        <v>1913</v>
      </c>
      <c r="J736" s="11">
        <v>21.0</v>
      </c>
      <c r="K736" s="13">
        <v>40400.0</v>
      </c>
      <c r="L736" s="11"/>
      <c r="M736" s="11">
        <v>595312.0</v>
      </c>
      <c r="N736" s="11" t="s">
        <v>1914</v>
      </c>
      <c r="P736" s="11">
        <v>0.0</v>
      </c>
      <c r="Q736" s="15">
        <v>0.0</v>
      </c>
      <c r="R736" s="22">
        <v>0.0</v>
      </c>
      <c r="S736">
        <f t="shared" si="1"/>
        <v>2009</v>
      </c>
      <c r="T736">
        <f t="shared" si="2"/>
        <v>6</v>
      </c>
      <c r="AF736" s="18"/>
      <c r="AG736" s="19"/>
      <c r="AL736" s="18"/>
      <c r="AM736" s="19"/>
    </row>
    <row r="737">
      <c r="A737" s="4" t="s">
        <v>1915</v>
      </c>
      <c r="B737" s="10">
        <v>39958.0</v>
      </c>
      <c r="C737" s="11" t="s">
        <v>156</v>
      </c>
      <c r="D737" s="11" t="s">
        <v>82</v>
      </c>
      <c r="E737" s="14" t="s">
        <v>52</v>
      </c>
      <c r="F737" s="11" t="s">
        <v>53</v>
      </c>
      <c r="G737" s="14" t="s">
        <v>54</v>
      </c>
      <c r="H737" s="11" t="s">
        <v>92</v>
      </c>
      <c r="I737" s="11" t="s">
        <v>1916</v>
      </c>
      <c r="J737" s="11">
        <v>24.0</v>
      </c>
      <c r="K737" s="13">
        <v>40308.0</v>
      </c>
      <c r="L737" s="11">
        <f t="shared" ref="L737:L739" si="77">ROUND(((K737-B737)/365)*12)</f>
        <v>12</v>
      </c>
      <c r="M737" s="11">
        <v>489153.0</v>
      </c>
      <c r="N737" s="11" t="s">
        <v>1917</v>
      </c>
      <c r="P737" s="11">
        <v>0.0</v>
      </c>
      <c r="Q737" s="15">
        <v>0.0</v>
      </c>
      <c r="R737" s="22">
        <v>0.0</v>
      </c>
      <c r="S737">
        <f t="shared" si="1"/>
        <v>2009</v>
      </c>
      <c r="T737">
        <f t="shared" si="2"/>
        <v>5</v>
      </c>
      <c r="AF737" s="18"/>
      <c r="AG737" s="19"/>
      <c r="AL737" s="18"/>
      <c r="AM737" s="19"/>
    </row>
    <row r="738">
      <c r="A738" s="4" t="s">
        <v>1918</v>
      </c>
      <c r="B738" s="10">
        <v>39952.0</v>
      </c>
      <c r="C738" s="11" t="s">
        <v>119</v>
      </c>
      <c r="D738" s="11" t="s">
        <v>51</v>
      </c>
      <c r="E738" s="14" t="s">
        <v>52</v>
      </c>
      <c r="F738" s="11" t="s">
        <v>76</v>
      </c>
      <c r="G738" s="14" t="s">
        <v>54</v>
      </c>
      <c r="H738" s="11" t="s">
        <v>416</v>
      </c>
      <c r="I738" s="11" t="s">
        <v>1919</v>
      </c>
      <c r="J738" s="11">
        <v>26.0</v>
      </c>
      <c r="K738" s="13">
        <v>40357.0</v>
      </c>
      <c r="L738" s="11">
        <f t="shared" si="77"/>
        <v>13</v>
      </c>
      <c r="M738" s="11">
        <v>435538.0</v>
      </c>
      <c r="N738" s="11">
        <v>8538.0</v>
      </c>
      <c r="O738" s="4" t="s">
        <v>224</v>
      </c>
      <c r="P738" s="11">
        <v>128.0</v>
      </c>
      <c r="Q738" s="32">
        <v>85.33299999999998</v>
      </c>
      <c r="R738" s="22">
        <v>0.0</v>
      </c>
      <c r="S738">
        <f t="shared" si="1"/>
        <v>2009</v>
      </c>
      <c r="T738">
        <f t="shared" si="2"/>
        <v>5</v>
      </c>
      <c r="AF738" s="18"/>
      <c r="AG738" s="19"/>
      <c r="AL738" s="18"/>
      <c r="AM738" s="19"/>
    </row>
    <row r="739">
      <c r="A739" s="4" t="s">
        <v>1920</v>
      </c>
      <c r="B739" s="10">
        <v>39945.0</v>
      </c>
      <c r="C739" s="11" t="s">
        <v>81</v>
      </c>
      <c r="D739" s="11" t="s">
        <v>51</v>
      </c>
      <c r="E739" s="14" t="s">
        <v>52</v>
      </c>
      <c r="F739" s="11" t="s">
        <v>53</v>
      </c>
      <c r="G739" s="14" t="s">
        <v>54</v>
      </c>
      <c r="H739" s="11" t="s">
        <v>260</v>
      </c>
      <c r="I739" s="11" t="s">
        <v>1815</v>
      </c>
      <c r="J739" s="11">
        <v>32.0</v>
      </c>
      <c r="K739" s="13">
        <v>40424.0</v>
      </c>
      <c r="L739" s="11">
        <f t="shared" si="77"/>
        <v>16</v>
      </c>
      <c r="M739" s="11">
        <v>429984.0</v>
      </c>
      <c r="N739" s="11">
        <v>1911.0</v>
      </c>
      <c r="O739" s="4" t="s">
        <v>59</v>
      </c>
      <c r="P739" s="11">
        <v>45.0</v>
      </c>
      <c r="Q739" s="32">
        <v>46.0</v>
      </c>
      <c r="R739" s="22">
        <v>0.0</v>
      </c>
      <c r="S739">
        <f t="shared" si="1"/>
        <v>2009</v>
      </c>
      <c r="T739">
        <f t="shared" si="2"/>
        <v>5</v>
      </c>
      <c r="AF739" s="18"/>
      <c r="AG739" s="19"/>
      <c r="AL739" s="18"/>
      <c r="AM739" s="19"/>
    </row>
    <row r="740">
      <c r="A740" s="4" t="s">
        <v>1922</v>
      </c>
      <c r="B740" s="10">
        <v>39945.0</v>
      </c>
      <c r="C740" s="11" t="s">
        <v>125</v>
      </c>
      <c r="D740" s="11" t="s">
        <v>75</v>
      </c>
      <c r="E740" s="14" t="s">
        <v>52</v>
      </c>
      <c r="F740" s="11" t="s">
        <v>53</v>
      </c>
      <c r="G740" s="14" t="s">
        <v>54</v>
      </c>
      <c r="H740" s="11" t="s">
        <v>99</v>
      </c>
      <c r="I740" s="11"/>
      <c r="J740" s="11">
        <v>25.0</v>
      </c>
      <c r="K740" s="13"/>
      <c r="L740" s="11"/>
      <c r="M740" s="11">
        <v>444864.0</v>
      </c>
      <c r="N740" s="11">
        <v>6292.0</v>
      </c>
      <c r="O740" s="4" t="s">
        <v>59</v>
      </c>
      <c r="P740" s="11">
        <v>0.0</v>
      </c>
      <c r="Q740" s="15">
        <v>0.0</v>
      </c>
      <c r="R740" s="22">
        <v>0.0</v>
      </c>
      <c r="S740">
        <f t="shared" si="1"/>
        <v>2009</v>
      </c>
      <c r="T740">
        <f t="shared" si="2"/>
        <v>5</v>
      </c>
      <c r="AF740" s="18"/>
      <c r="AG740" s="19"/>
      <c r="AL740" s="18"/>
      <c r="AM740" s="19"/>
    </row>
    <row r="741">
      <c r="A741" s="4" t="s">
        <v>1873</v>
      </c>
      <c r="B741" s="10">
        <v>39938.0</v>
      </c>
      <c r="C741" s="11" t="s">
        <v>209</v>
      </c>
      <c r="D741" s="11" t="s">
        <v>51</v>
      </c>
      <c r="E741" s="14" t="s">
        <v>52</v>
      </c>
      <c r="F741" s="11" t="s">
        <v>53</v>
      </c>
      <c r="G741" s="22" t="s">
        <v>83</v>
      </c>
      <c r="H741" s="14"/>
      <c r="I741" s="14"/>
      <c r="J741" s="11">
        <v>28.0</v>
      </c>
      <c r="K741" s="13">
        <v>40295.0</v>
      </c>
      <c r="L741" s="11">
        <f t="shared" ref="L741:L744" si="78">ROUND(((K741-B741)/365)*12)</f>
        <v>12</v>
      </c>
      <c r="M741" s="11">
        <v>430580.0</v>
      </c>
      <c r="N741" s="11">
        <v>2155.0</v>
      </c>
      <c r="O741" s="4" t="s">
        <v>59</v>
      </c>
      <c r="P741" s="11">
        <v>249.0</v>
      </c>
      <c r="Q741" s="15">
        <v>755.667</v>
      </c>
      <c r="R741" s="22">
        <v>1.0</v>
      </c>
      <c r="S741">
        <f t="shared" si="1"/>
        <v>2009</v>
      </c>
      <c r="T741">
        <f t="shared" si="2"/>
        <v>5</v>
      </c>
      <c r="U741" s="4"/>
      <c r="V741" s="4"/>
      <c r="W741" s="4"/>
      <c r="X741" s="4"/>
      <c r="Y741" s="4"/>
      <c r="Z741" s="4"/>
      <c r="AA741" s="4"/>
      <c r="AB741" s="4"/>
      <c r="AC741" s="4"/>
      <c r="AD741" s="4">
        <v>2.0</v>
      </c>
      <c r="AE741" s="4">
        <v>2.0</v>
      </c>
      <c r="AF741" s="54">
        <v>6.333</v>
      </c>
      <c r="AG741" s="55">
        <v>0.036</v>
      </c>
      <c r="AH741" s="4">
        <v>218.0</v>
      </c>
      <c r="AI741" s="4">
        <v>292.0</v>
      </c>
      <c r="AJ741" s="4">
        <v>49.0</v>
      </c>
      <c r="AK741" s="4">
        <v>0.0</v>
      </c>
      <c r="AL741" s="54">
        <v>49.333</v>
      </c>
      <c r="AM741" s="55">
        <v>0.068</v>
      </c>
      <c r="AN741" s="4">
        <v>116.0</v>
      </c>
      <c r="AO741" s="4">
        <v>132.0</v>
      </c>
    </row>
    <row r="742">
      <c r="A742" s="4" t="s">
        <v>651</v>
      </c>
      <c r="B742" s="10">
        <v>39933.0</v>
      </c>
      <c r="C742" s="11" t="s">
        <v>108</v>
      </c>
      <c r="D742" s="11" t="s">
        <v>110</v>
      </c>
      <c r="E742" s="14" t="s">
        <v>52</v>
      </c>
      <c r="F742" s="11" t="s">
        <v>53</v>
      </c>
      <c r="G742" s="14" t="s">
        <v>54</v>
      </c>
      <c r="H742" s="11" t="s">
        <v>316</v>
      </c>
      <c r="I742" s="11" t="s">
        <v>1625</v>
      </c>
      <c r="J742" s="11">
        <v>21.0</v>
      </c>
      <c r="K742" s="13">
        <v>40635.0</v>
      </c>
      <c r="L742" s="11">
        <f t="shared" si="78"/>
        <v>23</v>
      </c>
      <c r="M742" s="11">
        <v>474226.0</v>
      </c>
      <c r="N742" s="11">
        <v>2534.0</v>
      </c>
      <c r="P742" s="11">
        <v>4.0</v>
      </c>
      <c r="Q742" s="15">
        <v>5.333</v>
      </c>
      <c r="R742" s="22">
        <v>0.0</v>
      </c>
      <c r="S742">
        <f t="shared" si="1"/>
        <v>2009</v>
      </c>
      <c r="T742">
        <f t="shared" si="2"/>
        <v>4</v>
      </c>
      <c r="AF742" s="18"/>
      <c r="AG742" s="19"/>
      <c r="AL742" s="18"/>
      <c r="AM742" s="19"/>
    </row>
    <row r="743">
      <c r="A743" s="4" t="s">
        <v>559</v>
      </c>
      <c r="B743" s="10">
        <v>39924.0</v>
      </c>
      <c r="C743" s="11" t="s">
        <v>97</v>
      </c>
      <c r="D743" s="11" t="s">
        <v>51</v>
      </c>
      <c r="E743" s="14" t="s">
        <v>52</v>
      </c>
      <c r="F743" s="11" t="s">
        <v>53</v>
      </c>
      <c r="G743" s="14" t="s">
        <v>54</v>
      </c>
      <c r="H743" s="11" t="s">
        <v>250</v>
      </c>
      <c r="I743" s="11" t="s">
        <v>1446</v>
      </c>
      <c r="J743" s="11">
        <v>25.0</v>
      </c>
      <c r="K743" s="13">
        <v>40684.0</v>
      </c>
      <c r="L743" s="11">
        <f t="shared" si="78"/>
        <v>25</v>
      </c>
      <c r="M743" s="11">
        <v>457733.0</v>
      </c>
      <c r="N743" s="11">
        <v>9862.0</v>
      </c>
      <c r="O743" s="4" t="s">
        <v>59</v>
      </c>
      <c r="P743" s="11">
        <v>26.0</v>
      </c>
      <c r="Q743" s="32">
        <v>23.0</v>
      </c>
      <c r="R743" s="22">
        <v>0.0</v>
      </c>
      <c r="S743">
        <f t="shared" si="1"/>
        <v>2009</v>
      </c>
      <c r="T743">
        <f t="shared" si="2"/>
        <v>4</v>
      </c>
      <c r="AF743" s="18"/>
      <c r="AG743" s="19"/>
      <c r="AL743" s="18"/>
      <c r="AM743" s="19"/>
    </row>
    <row r="744">
      <c r="A744" s="4" t="s">
        <v>1923</v>
      </c>
      <c r="B744" s="10">
        <v>39922.0</v>
      </c>
      <c r="C744" s="11" t="s">
        <v>103</v>
      </c>
      <c r="D744" s="11" t="s">
        <v>75</v>
      </c>
      <c r="E744" s="11" t="s">
        <v>52</v>
      </c>
      <c r="F744" s="11" t="s">
        <v>53</v>
      </c>
      <c r="G744" s="11" t="s">
        <v>54</v>
      </c>
      <c r="H744" s="11" t="s">
        <v>92</v>
      </c>
      <c r="I744" s="14"/>
      <c r="J744" s="11">
        <v>29.0</v>
      </c>
      <c r="K744" s="13">
        <v>40318.0</v>
      </c>
      <c r="L744" s="11">
        <f t="shared" si="78"/>
        <v>13</v>
      </c>
      <c r="M744" s="11">
        <v>407795.0</v>
      </c>
      <c r="N744" s="11">
        <v>85.0</v>
      </c>
      <c r="P744" s="11">
        <v>0.0</v>
      </c>
      <c r="Q744" s="15">
        <v>0.0</v>
      </c>
      <c r="R744" s="22">
        <v>0.0</v>
      </c>
      <c r="S744">
        <f t="shared" si="1"/>
        <v>2009</v>
      </c>
      <c r="T744">
        <f t="shared" si="2"/>
        <v>4</v>
      </c>
      <c r="AF744" s="18"/>
      <c r="AG744" s="19"/>
      <c r="AL744" s="18"/>
      <c r="AM744" s="19"/>
    </row>
    <row r="745">
      <c r="A745" s="4" t="s">
        <v>1924</v>
      </c>
      <c r="B745" s="10">
        <v>39904.0</v>
      </c>
      <c r="C745" s="11" t="s">
        <v>239</v>
      </c>
      <c r="D745" s="11" t="s">
        <v>51</v>
      </c>
      <c r="E745" s="14" t="s">
        <v>52</v>
      </c>
      <c r="F745" s="11" t="s">
        <v>53</v>
      </c>
      <c r="G745" s="22" t="s">
        <v>582</v>
      </c>
      <c r="H745" s="14"/>
      <c r="I745" s="14"/>
      <c r="J745" s="11">
        <v>27.0</v>
      </c>
      <c r="K745" s="14"/>
      <c r="L745" s="14"/>
      <c r="M745" s="11">
        <v>425629.0</v>
      </c>
      <c r="N745" s="11">
        <v>1654.0</v>
      </c>
      <c r="P745" s="11">
        <v>0.0</v>
      </c>
      <c r="Q745" s="32">
        <v>0.0</v>
      </c>
      <c r="R745" s="22">
        <v>0.0</v>
      </c>
      <c r="S745">
        <f t="shared" si="1"/>
        <v>2009</v>
      </c>
      <c r="T745">
        <f t="shared" si="2"/>
        <v>4</v>
      </c>
      <c r="AF745" s="18"/>
      <c r="AG745" s="19"/>
      <c r="AL745" s="18"/>
      <c r="AM745" s="19"/>
    </row>
    <row r="746">
      <c r="A746" s="4" t="s">
        <v>1925</v>
      </c>
      <c r="B746" s="10">
        <v>39904.0</v>
      </c>
      <c r="C746" s="11" t="s">
        <v>331</v>
      </c>
      <c r="D746" s="11" t="s">
        <v>75</v>
      </c>
      <c r="E746" s="14" t="s">
        <v>52</v>
      </c>
      <c r="F746" s="11" t="s">
        <v>53</v>
      </c>
      <c r="G746" s="14" t="s">
        <v>54</v>
      </c>
      <c r="H746" s="11" t="s">
        <v>449</v>
      </c>
      <c r="I746" s="11" t="s">
        <v>1926</v>
      </c>
      <c r="J746" s="11">
        <v>29.0</v>
      </c>
      <c r="K746" s="14"/>
      <c r="L746" s="14"/>
      <c r="M746" s="11">
        <v>446447.0</v>
      </c>
      <c r="N746" s="11" t="s">
        <v>1927</v>
      </c>
      <c r="P746" s="11">
        <v>0.0</v>
      </c>
      <c r="Q746" s="15">
        <v>0.0</v>
      </c>
      <c r="R746" s="22">
        <v>0.0</v>
      </c>
      <c r="S746">
        <f t="shared" si="1"/>
        <v>2009</v>
      </c>
      <c r="T746">
        <f t="shared" si="2"/>
        <v>4</v>
      </c>
      <c r="AF746" s="18"/>
      <c r="AG746" s="19"/>
      <c r="AL746" s="18"/>
      <c r="AM746" s="19"/>
    </row>
    <row r="747">
      <c r="A747" s="4" t="s">
        <v>1928</v>
      </c>
      <c r="B747" s="10">
        <v>39896.0</v>
      </c>
      <c r="C747" s="11" t="s">
        <v>209</v>
      </c>
      <c r="D747" s="11" t="s">
        <v>170</v>
      </c>
      <c r="E747" s="11" t="s">
        <v>52</v>
      </c>
      <c r="F747" s="11" t="s">
        <v>76</v>
      </c>
      <c r="G747" s="11" t="s">
        <v>54</v>
      </c>
      <c r="H747" s="11" t="s">
        <v>157</v>
      </c>
      <c r="I747" s="11"/>
      <c r="J747" s="11">
        <v>18.0</v>
      </c>
      <c r="K747" s="13">
        <v>40392.0</v>
      </c>
      <c r="L747" s="11"/>
      <c r="M747" s="11">
        <v>571567.0</v>
      </c>
      <c r="N747" s="11" t="s">
        <v>1929</v>
      </c>
      <c r="P747" s="11">
        <v>0.0</v>
      </c>
      <c r="Q747" s="15">
        <v>0.0</v>
      </c>
      <c r="R747" s="22">
        <v>0.0</v>
      </c>
      <c r="S747">
        <f t="shared" si="1"/>
        <v>2009</v>
      </c>
      <c r="T747">
        <f t="shared" si="2"/>
        <v>3</v>
      </c>
      <c r="AF747" s="18"/>
      <c r="AG747" s="19"/>
      <c r="AL747" s="18"/>
      <c r="AM747" s="19"/>
    </row>
    <row r="748">
      <c r="A748" s="4" t="s">
        <v>1930</v>
      </c>
      <c r="B748" s="10">
        <v>39892.0</v>
      </c>
      <c r="C748" s="11" t="s">
        <v>156</v>
      </c>
      <c r="D748" s="11" t="s">
        <v>75</v>
      </c>
      <c r="E748" s="14" t="s">
        <v>52</v>
      </c>
      <c r="F748" s="11" t="s">
        <v>53</v>
      </c>
      <c r="G748" s="14" t="s">
        <v>54</v>
      </c>
      <c r="H748" s="11" t="s">
        <v>260</v>
      </c>
      <c r="I748" s="11" t="s">
        <v>1931</v>
      </c>
      <c r="J748" s="11">
        <v>26.0</v>
      </c>
      <c r="K748" s="13">
        <v>40276.0</v>
      </c>
      <c r="L748" s="11">
        <f>ROUND(((K748-B748)/365)*12)</f>
        <v>13</v>
      </c>
      <c r="M748" s="11">
        <v>450312.0</v>
      </c>
      <c r="N748" s="11">
        <v>8045.0</v>
      </c>
      <c r="P748" s="11">
        <v>4.0</v>
      </c>
      <c r="Q748" s="15">
        <v>2.0</v>
      </c>
      <c r="R748" s="22">
        <v>0.0</v>
      </c>
      <c r="S748">
        <f t="shared" si="1"/>
        <v>2009</v>
      </c>
      <c r="T748">
        <f t="shared" si="2"/>
        <v>3</v>
      </c>
      <c r="AF748" s="18"/>
      <c r="AG748" s="19"/>
      <c r="AL748" s="18"/>
      <c r="AM748" s="19"/>
    </row>
    <row r="749">
      <c r="A749" s="4" t="s">
        <v>1932</v>
      </c>
      <c r="B749" s="10">
        <v>39887.0</v>
      </c>
      <c r="C749" s="11" t="s">
        <v>114</v>
      </c>
      <c r="D749" s="11" t="s">
        <v>82</v>
      </c>
      <c r="E749" s="14" t="s">
        <v>52</v>
      </c>
      <c r="F749" s="11" t="s">
        <v>76</v>
      </c>
      <c r="G749" s="14" t="s">
        <v>54</v>
      </c>
      <c r="H749" s="11" t="s">
        <v>197</v>
      </c>
      <c r="I749" s="11" t="s">
        <v>242</v>
      </c>
      <c r="J749" s="11">
        <v>25.0</v>
      </c>
      <c r="K749" s="13"/>
      <c r="L749" s="11"/>
      <c r="M749" s="11">
        <v>453067.0</v>
      </c>
      <c r="N749" s="11" t="s">
        <v>1933</v>
      </c>
      <c r="P749" s="11">
        <v>0.0</v>
      </c>
      <c r="Q749" s="15">
        <v>0.0</v>
      </c>
      <c r="R749" s="22">
        <v>0.0</v>
      </c>
      <c r="S749">
        <f t="shared" si="1"/>
        <v>2009</v>
      </c>
      <c r="T749">
        <f t="shared" si="2"/>
        <v>3</v>
      </c>
      <c r="AF749" s="18"/>
      <c r="AG749" s="19"/>
      <c r="AL749" s="18"/>
      <c r="AM749" s="19"/>
    </row>
    <row r="750">
      <c r="A750" s="4" t="s">
        <v>1934</v>
      </c>
      <c r="B750" s="10">
        <v>39880.0</v>
      </c>
      <c r="C750" s="11" t="s">
        <v>108</v>
      </c>
      <c r="D750" s="11" t="s">
        <v>151</v>
      </c>
      <c r="E750" s="14" t="s">
        <v>52</v>
      </c>
      <c r="F750" s="11" t="s">
        <v>53</v>
      </c>
      <c r="G750" s="11" t="s">
        <v>582</v>
      </c>
      <c r="H750" s="11"/>
      <c r="I750" s="11"/>
      <c r="J750" s="11">
        <v>25.0</v>
      </c>
      <c r="K750" s="13">
        <v>40330.0</v>
      </c>
      <c r="L750" s="11">
        <f t="shared" ref="L750:L751" si="79">ROUND(((K750-B750)/365)*12)</f>
        <v>15</v>
      </c>
      <c r="M750" s="11">
        <v>456068.0</v>
      </c>
      <c r="N750" s="11">
        <v>7024.0</v>
      </c>
      <c r="P750" s="11">
        <v>125.0</v>
      </c>
      <c r="Q750" s="15">
        <v>715.333</v>
      </c>
      <c r="R750" s="22">
        <v>1.0</v>
      </c>
      <c r="S750">
        <f t="shared" si="1"/>
        <v>2009</v>
      </c>
      <c r="T750">
        <f t="shared" si="2"/>
        <v>3</v>
      </c>
      <c r="AF750" s="18"/>
      <c r="AG750" s="19"/>
      <c r="AL750" s="18"/>
      <c r="AM750" s="19"/>
    </row>
    <row r="751">
      <c r="A751" s="4" t="s">
        <v>1935</v>
      </c>
      <c r="B751" s="10">
        <v>39876.0</v>
      </c>
      <c r="C751" s="11" t="s">
        <v>90</v>
      </c>
      <c r="D751" s="11" t="s">
        <v>51</v>
      </c>
      <c r="E751" s="14" t="s">
        <v>52</v>
      </c>
      <c r="F751" s="11" t="s">
        <v>76</v>
      </c>
      <c r="G751" s="14" t="s">
        <v>54</v>
      </c>
      <c r="H751" s="11" t="s">
        <v>305</v>
      </c>
      <c r="I751" s="11"/>
      <c r="J751" s="11">
        <v>23.0</v>
      </c>
      <c r="K751" s="13">
        <v>41833.0</v>
      </c>
      <c r="L751" s="11">
        <f t="shared" si="79"/>
        <v>64</v>
      </c>
      <c r="M751" s="11">
        <v>456387.0</v>
      </c>
      <c r="N751" s="11">
        <v>6336.0</v>
      </c>
      <c r="O751" s="4" t="s">
        <v>704</v>
      </c>
      <c r="P751" s="11">
        <v>6.0</v>
      </c>
      <c r="Q751" s="32">
        <v>7.332999999999998</v>
      </c>
      <c r="R751" s="22">
        <v>0.0</v>
      </c>
      <c r="S751">
        <f t="shared" si="1"/>
        <v>2009</v>
      </c>
      <c r="T751">
        <f t="shared" si="2"/>
        <v>3</v>
      </c>
      <c r="AF751" s="18"/>
      <c r="AG751" s="19"/>
      <c r="AL751" s="18"/>
      <c r="AM751" s="19"/>
    </row>
    <row r="752">
      <c r="A752" s="4" t="s">
        <v>1936</v>
      </c>
      <c r="B752" s="10">
        <v>39875.0</v>
      </c>
      <c r="C752" s="11" t="s">
        <v>270</v>
      </c>
      <c r="D752" s="11" t="s">
        <v>75</v>
      </c>
      <c r="E752" s="11" t="s">
        <v>264</v>
      </c>
      <c r="F752" s="11" t="s">
        <v>53</v>
      </c>
      <c r="G752" s="11" t="s">
        <v>54</v>
      </c>
      <c r="H752" s="11" t="s">
        <v>92</v>
      </c>
      <c r="I752" s="11" t="s">
        <v>1937</v>
      </c>
      <c r="J752" s="11">
        <v>27.0</v>
      </c>
      <c r="K752" s="13"/>
      <c r="L752" s="11"/>
      <c r="M752" s="11">
        <v>430925.0</v>
      </c>
      <c r="N752" s="11" t="s">
        <v>1938</v>
      </c>
      <c r="P752" s="11">
        <v>0.0</v>
      </c>
      <c r="Q752" s="15">
        <v>0.0</v>
      </c>
      <c r="R752" s="22">
        <v>0.0</v>
      </c>
      <c r="S752">
        <f t="shared" si="1"/>
        <v>2009</v>
      </c>
      <c r="T752">
        <f t="shared" si="2"/>
        <v>3</v>
      </c>
      <c r="AF752" s="18"/>
      <c r="AG752" s="19"/>
      <c r="AL752" s="18"/>
      <c r="AM752" s="19"/>
    </row>
    <row r="753">
      <c r="A753" s="4" t="s">
        <v>1939</v>
      </c>
      <c r="B753" s="10">
        <v>39815.0</v>
      </c>
      <c r="C753" s="11" t="s">
        <v>119</v>
      </c>
      <c r="D753" s="11" t="s">
        <v>91</v>
      </c>
      <c r="E753" s="14" t="s">
        <v>52</v>
      </c>
      <c r="F753" s="11" t="s">
        <v>53</v>
      </c>
      <c r="G753" s="14" t="s">
        <v>54</v>
      </c>
      <c r="H753" s="11" t="s">
        <v>99</v>
      </c>
      <c r="I753" s="11" t="s">
        <v>1446</v>
      </c>
      <c r="J753" s="11">
        <v>22.0</v>
      </c>
      <c r="K753" s="13">
        <v>40353.0</v>
      </c>
      <c r="L753" s="11">
        <f>ROUND(((K753-B753)/365)*12)</f>
        <v>18</v>
      </c>
      <c r="M753" s="11">
        <v>543778.0</v>
      </c>
      <c r="N753" s="11" t="s">
        <v>1940</v>
      </c>
      <c r="P753" s="11">
        <v>0.0</v>
      </c>
      <c r="Q753" s="15">
        <v>0.0</v>
      </c>
      <c r="R753" s="22">
        <v>0.0</v>
      </c>
      <c r="S753">
        <f t="shared" si="1"/>
        <v>2009</v>
      </c>
      <c r="T753">
        <f t="shared" si="2"/>
        <v>1</v>
      </c>
      <c r="AF753" s="18"/>
      <c r="AG753" s="19"/>
      <c r="AL753" s="18"/>
      <c r="AM753" s="19"/>
    </row>
    <row r="754">
      <c r="A754" s="4" t="s">
        <v>592</v>
      </c>
      <c r="B754" s="10">
        <v>39814.0</v>
      </c>
      <c r="C754" s="11" t="s">
        <v>96</v>
      </c>
      <c r="D754" s="11" t="s">
        <v>82</v>
      </c>
      <c r="E754" s="22" t="s">
        <v>264</v>
      </c>
      <c r="F754" s="11" t="s">
        <v>53</v>
      </c>
      <c r="G754" s="14" t="s">
        <v>54</v>
      </c>
      <c r="H754" s="11" t="s">
        <v>157</v>
      </c>
      <c r="I754" s="11" t="s">
        <v>1350</v>
      </c>
      <c r="J754" s="11">
        <v>26.0</v>
      </c>
      <c r="K754" s="13">
        <v>40640.0</v>
      </c>
      <c r="L754" s="14"/>
      <c r="M754" s="11">
        <v>446404.0</v>
      </c>
      <c r="N754" s="11" t="s">
        <v>1941</v>
      </c>
      <c r="P754" s="11">
        <v>0.0</v>
      </c>
      <c r="Q754" s="15">
        <v>0.0</v>
      </c>
      <c r="R754" s="22">
        <v>0.0</v>
      </c>
      <c r="S754">
        <f t="shared" si="1"/>
        <v>2009</v>
      </c>
      <c r="T754">
        <f t="shared" si="2"/>
        <v>1</v>
      </c>
      <c r="AF754" s="18"/>
      <c r="AG754" s="19"/>
      <c r="AL754" s="18"/>
      <c r="AM754" s="19"/>
    </row>
    <row r="755">
      <c r="A755" s="4" t="s">
        <v>1942</v>
      </c>
      <c r="B755" s="10">
        <v>39814.0</v>
      </c>
      <c r="C755" s="11" t="s">
        <v>142</v>
      </c>
      <c r="D755" s="11" t="s">
        <v>170</v>
      </c>
      <c r="E755" s="14" t="s">
        <v>52</v>
      </c>
      <c r="F755" s="11" t="s">
        <v>76</v>
      </c>
      <c r="G755" s="14" t="s">
        <v>54</v>
      </c>
      <c r="H755" s="11" t="s">
        <v>211</v>
      </c>
      <c r="I755" s="11" t="s">
        <v>99</v>
      </c>
      <c r="J755" s="11">
        <v>18.0</v>
      </c>
      <c r="K755" s="13">
        <v>41085.0</v>
      </c>
      <c r="L755" s="14"/>
      <c r="M755" s="11">
        <v>622072.0</v>
      </c>
      <c r="N755" s="11">
        <v>13781.0</v>
      </c>
      <c r="P755" s="11">
        <v>112.0</v>
      </c>
      <c r="Q755" s="15">
        <v>499.333</v>
      </c>
      <c r="R755" s="22">
        <v>1.0</v>
      </c>
      <c r="S755">
        <f t="shared" si="1"/>
        <v>2009</v>
      </c>
      <c r="T755">
        <f t="shared" si="2"/>
        <v>1</v>
      </c>
      <c r="AF755" s="18"/>
      <c r="AG755" s="19"/>
      <c r="AL755" s="18"/>
      <c r="AM755" s="19"/>
    </row>
    <row r="756">
      <c r="A756" s="4" t="s">
        <v>870</v>
      </c>
      <c r="B756" s="10">
        <v>39814.0</v>
      </c>
      <c r="C756" s="11" t="s">
        <v>142</v>
      </c>
      <c r="D756" s="11" t="s">
        <v>170</v>
      </c>
      <c r="E756" s="11" t="s">
        <v>52</v>
      </c>
      <c r="F756" s="11" t="s">
        <v>76</v>
      </c>
      <c r="G756" s="11" t="s">
        <v>54</v>
      </c>
      <c r="H756" s="11" t="s">
        <v>305</v>
      </c>
      <c r="I756" s="11" t="s">
        <v>1943</v>
      </c>
      <c r="J756" s="11">
        <v>18.0</v>
      </c>
      <c r="K756" s="13">
        <v>41450.0</v>
      </c>
      <c r="L756" s="14"/>
      <c r="M756" s="11">
        <v>621408.0</v>
      </c>
      <c r="N756" s="11">
        <v>15089.0</v>
      </c>
      <c r="O756" s="4" t="s">
        <v>224</v>
      </c>
      <c r="P756" s="11">
        <v>35.0</v>
      </c>
      <c r="Q756" s="15">
        <v>26.667</v>
      </c>
      <c r="R756" s="22">
        <v>1.0</v>
      </c>
      <c r="S756">
        <f t="shared" si="1"/>
        <v>2009</v>
      </c>
      <c r="T756">
        <f t="shared" si="2"/>
        <v>1</v>
      </c>
      <c r="AF756" s="18"/>
      <c r="AG756" s="19"/>
      <c r="AL756" s="18"/>
      <c r="AM756" s="19"/>
    </row>
    <row r="757">
      <c r="A757" s="4" t="s">
        <v>1944</v>
      </c>
      <c r="B757" s="10">
        <v>39814.0</v>
      </c>
      <c r="C757" s="11" t="s">
        <v>119</v>
      </c>
      <c r="D757" s="11" t="s">
        <v>82</v>
      </c>
      <c r="E757" s="14" t="s">
        <v>52</v>
      </c>
      <c r="F757" s="11" t="s">
        <v>53</v>
      </c>
      <c r="G757" s="22" t="s">
        <v>312</v>
      </c>
      <c r="H757" s="14"/>
      <c r="I757" s="14"/>
      <c r="J757" s="11">
        <v>25.0</v>
      </c>
      <c r="K757" s="13">
        <v>40370.0</v>
      </c>
      <c r="L757" s="14"/>
      <c r="M757" s="11">
        <v>460070.0</v>
      </c>
      <c r="N757" s="11" t="s">
        <v>1945</v>
      </c>
      <c r="P757" s="11">
        <v>0.0</v>
      </c>
      <c r="Q757" s="15">
        <v>0.0</v>
      </c>
      <c r="R757" s="22">
        <v>0.0</v>
      </c>
      <c r="S757">
        <f t="shared" si="1"/>
        <v>2009</v>
      </c>
      <c r="T757">
        <f t="shared" si="2"/>
        <v>1</v>
      </c>
      <c r="AF757" s="18"/>
      <c r="AG757" s="19"/>
      <c r="AL757" s="18"/>
      <c r="AM757" s="19"/>
    </row>
    <row r="758">
      <c r="A758" s="4" t="s">
        <v>1946</v>
      </c>
      <c r="B758" s="10">
        <v>39814.0</v>
      </c>
      <c r="C758" s="11" t="s">
        <v>119</v>
      </c>
      <c r="D758" s="11" t="s">
        <v>124</v>
      </c>
      <c r="E758" s="14" t="s">
        <v>52</v>
      </c>
      <c r="F758" s="11" t="s">
        <v>53</v>
      </c>
      <c r="G758" s="22" t="s">
        <v>312</v>
      </c>
      <c r="H758" s="14"/>
      <c r="I758" s="14"/>
      <c r="J758" s="11">
        <v>19.0</v>
      </c>
      <c r="K758" s="13">
        <v>40708.0</v>
      </c>
      <c r="L758" s="14"/>
      <c r="M758" s="11">
        <v>518952.0</v>
      </c>
      <c r="N758" s="11" t="s">
        <v>1947</v>
      </c>
      <c r="P758" s="11">
        <v>0.0</v>
      </c>
      <c r="Q758" s="15">
        <v>0.0</v>
      </c>
      <c r="R758" s="22">
        <v>1.0</v>
      </c>
      <c r="S758">
        <f t="shared" si="1"/>
        <v>2009</v>
      </c>
      <c r="T758">
        <f t="shared" si="2"/>
        <v>1</v>
      </c>
      <c r="AF758" s="18"/>
      <c r="AG758" s="19"/>
      <c r="AL758" s="18"/>
      <c r="AM758" s="19"/>
    </row>
    <row r="759">
      <c r="A759" s="4" t="s">
        <v>1948</v>
      </c>
      <c r="B759" s="10">
        <v>39814.0</v>
      </c>
      <c r="C759" s="11" t="s">
        <v>382</v>
      </c>
      <c r="D759" s="11" t="s">
        <v>210</v>
      </c>
      <c r="E759" s="14" t="s">
        <v>52</v>
      </c>
      <c r="F759" s="11" t="s">
        <v>53</v>
      </c>
      <c r="G759" s="14" t="s">
        <v>54</v>
      </c>
      <c r="H759" s="11" t="s">
        <v>126</v>
      </c>
      <c r="I759" s="11" t="s">
        <v>956</v>
      </c>
      <c r="J759" s="11">
        <v>24.0</v>
      </c>
      <c r="K759" s="13">
        <v>40669.0</v>
      </c>
      <c r="L759" s="14"/>
      <c r="M759" s="11">
        <v>501789.0</v>
      </c>
      <c r="N759" s="11">
        <v>3192.0</v>
      </c>
      <c r="P759" s="11">
        <v>244.0</v>
      </c>
      <c r="Q759" s="15">
        <v>234.333</v>
      </c>
      <c r="R759" s="22">
        <v>1.0</v>
      </c>
      <c r="S759">
        <f t="shared" si="1"/>
        <v>2009</v>
      </c>
      <c r="T759">
        <f t="shared" si="2"/>
        <v>1</v>
      </c>
      <c r="AF759" s="18"/>
      <c r="AG759" s="19"/>
      <c r="AL759" s="18"/>
      <c r="AM759" s="19"/>
    </row>
    <row r="760">
      <c r="A760" s="4" t="s">
        <v>1949</v>
      </c>
      <c r="B760" s="10">
        <v>39814.0</v>
      </c>
      <c r="C760" s="11" t="s">
        <v>159</v>
      </c>
      <c r="D760" s="11" t="s">
        <v>151</v>
      </c>
      <c r="E760" s="22" t="s">
        <v>264</v>
      </c>
      <c r="F760" s="11" t="s">
        <v>53</v>
      </c>
      <c r="G760" s="14" t="s">
        <v>54</v>
      </c>
      <c r="H760" s="11" t="s">
        <v>154</v>
      </c>
      <c r="I760" s="11" t="s">
        <v>477</v>
      </c>
      <c r="J760" s="11">
        <v>20.0</v>
      </c>
      <c r="K760" s="13">
        <v>40727.0</v>
      </c>
      <c r="L760" s="14"/>
      <c r="M760" s="11">
        <v>592200.0</v>
      </c>
      <c r="N760" s="11">
        <v>12510.0</v>
      </c>
      <c r="P760" s="11">
        <v>152.0</v>
      </c>
      <c r="Q760" s="15">
        <v>453.0</v>
      </c>
      <c r="R760" s="22">
        <v>1.0</v>
      </c>
      <c r="S760">
        <f t="shared" si="1"/>
        <v>2009</v>
      </c>
      <c r="T760">
        <f t="shared" si="2"/>
        <v>1</v>
      </c>
      <c r="AF760" s="18"/>
      <c r="AG760" s="19"/>
      <c r="AL760" s="18"/>
      <c r="AM760" s="19"/>
    </row>
    <row r="761">
      <c r="A761" s="4" t="s">
        <v>1950</v>
      </c>
      <c r="B761" s="10">
        <v>39814.0</v>
      </c>
      <c r="C761" s="11" t="s">
        <v>239</v>
      </c>
      <c r="D761" s="11" t="s">
        <v>91</v>
      </c>
      <c r="E761" s="11" t="s">
        <v>52</v>
      </c>
      <c r="F761" s="11" t="s">
        <v>53</v>
      </c>
      <c r="G761" s="11" t="s">
        <v>1146</v>
      </c>
      <c r="H761" s="11"/>
      <c r="I761" s="11"/>
      <c r="J761" s="11">
        <v>20.0</v>
      </c>
      <c r="K761" s="13">
        <v>40351.0</v>
      </c>
      <c r="L761" s="14"/>
      <c r="M761" s="11">
        <v>500765.0</v>
      </c>
      <c r="N761" s="11">
        <v>11543.0</v>
      </c>
      <c r="P761" s="11">
        <v>6.0</v>
      </c>
      <c r="Q761" s="15">
        <v>6.667</v>
      </c>
      <c r="R761" s="22">
        <v>1.0</v>
      </c>
      <c r="S761">
        <f t="shared" si="1"/>
        <v>2009</v>
      </c>
      <c r="T761">
        <f t="shared" si="2"/>
        <v>1</v>
      </c>
      <c r="AF761" s="18"/>
      <c r="AG761" s="19"/>
      <c r="AL761" s="18"/>
      <c r="AM761" s="19"/>
    </row>
    <row r="762">
      <c r="A762" s="4" t="s">
        <v>1951</v>
      </c>
      <c r="B762" s="10">
        <v>39814.0</v>
      </c>
      <c r="C762" s="11" t="s">
        <v>229</v>
      </c>
      <c r="D762" s="11" t="s">
        <v>170</v>
      </c>
      <c r="E762" s="14" t="s">
        <v>52</v>
      </c>
      <c r="F762" s="11" t="s">
        <v>53</v>
      </c>
      <c r="G762" s="14" t="s">
        <v>54</v>
      </c>
      <c r="H762" s="11" t="s">
        <v>251</v>
      </c>
      <c r="I762" s="11"/>
      <c r="J762" s="11">
        <v>16.0</v>
      </c>
      <c r="K762" s="13">
        <v>41105.0</v>
      </c>
      <c r="L762" s="14"/>
      <c r="M762" s="11">
        <v>606935.0</v>
      </c>
      <c r="N762" s="11" t="s">
        <v>1952</v>
      </c>
      <c r="P762" s="11">
        <v>0.0</v>
      </c>
      <c r="Q762" s="15">
        <v>0.0</v>
      </c>
      <c r="R762" s="22">
        <v>1.0</v>
      </c>
      <c r="S762">
        <f t="shared" si="1"/>
        <v>2009</v>
      </c>
      <c r="T762">
        <f t="shared" si="2"/>
        <v>1</v>
      </c>
      <c r="AF762" s="18"/>
      <c r="AG762" s="19"/>
      <c r="AL762" s="18"/>
      <c r="AM762" s="19"/>
    </row>
    <row r="763">
      <c r="A763" s="4" t="s">
        <v>521</v>
      </c>
      <c r="B763" s="10">
        <v>39814.0</v>
      </c>
      <c r="C763" s="11" t="s">
        <v>108</v>
      </c>
      <c r="D763" s="11" t="s">
        <v>151</v>
      </c>
      <c r="E763" s="14" t="s">
        <v>52</v>
      </c>
      <c r="F763" s="11" t="s">
        <v>53</v>
      </c>
      <c r="G763" s="14" t="s">
        <v>54</v>
      </c>
      <c r="H763" s="11" t="s">
        <v>157</v>
      </c>
      <c r="I763" s="11" t="s">
        <v>522</v>
      </c>
      <c r="J763" s="11">
        <v>19.0</v>
      </c>
      <c r="K763" s="13">
        <v>41452.0</v>
      </c>
      <c r="L763" s="14"/>
      <c r="M763" s="11">
        <v>643546.0</v>
      </c>
      <c r="N763" s="11" t="s">
        <v>523</v>
      </c>
      <c r="P763" s="11">
        <v>0.0</v>
      </c>
      <c r="Q763" s="15">
        <v>0.0</v>
      </c>
      <c r="R763" s="22">
        <v>0.0</v>
      </c>
      <c r="S763">
        <f t="shared" si="1"/>
        <v>2009</v>
      </c>
      <c r="T763">
        <f t="shared" si="2"/>
        <v>1</v>
      </c>
      <c r="AF763" s="18"/>
      <c r="AG763" s="19"/>
      <c r="AL763" s="18"/>
      <c r="AM763" s="19"/>
    </row>
    <row r="764">
      <c r="A764" s="4" t="s">
        <v>1953</v>
      </c>
      <c r="B764" s="10">
        <v>39814.0</v>
      </c>
      <c r="C764" s="11" t="s">
        <v>331</v>
      </c>
      <c r="D764" s="11" t="s">
        <v>75</v>
      </c>
      <c r="E764" s="14" t="s">
        <v>52</v>
      </c>
      <c r="F764" s="11" t="s">
        <v>53</v>
      </c>
      <c r="G764" s="14" t="s">
        <v>54</v>
      </c>
      <c r="H764" s="11" t="s">
        <v>218</v>
      </c>
      <c r="I764" s="11"/>
      <c r="J764" s="11">
        <v>23.0</v>
      </c>
      <c r="K764" s="13">
        <v>40647.0</v>
      </c>
      <c r="L764" s="14"/>
      <c r="M764" s="11">
        <v>448249.0</v>
      </c>
      <c r="N764" s="11" t="s">
        <v>1954</v>
      </c>
      <c r="P764" s="11">
        <v>0.0</v>
      </c>
      <c r="Q764" s="15">
        <v>0.0</v>
      </c>
      <c r="R764" s="22">
        <v>0.0</v>
      </c>
      <c r="S764">
        <f t="shared" si="1"/>
        <v>2009</v>
      </c>
      <c r="T764">
        <f t="shared" si="2"/>
        <v>1</v>
      </c>
      <c r="AF764" s="18"/>
      <c r="AG764" s="19"/>
      <c r="AL764" s="18"/>
      <c r="AM764" s="19"/>
    </row>
    <row r="765">
      <c r="A765" s="4" t="s">
        <v>1955</v>
      </c>
      <c r="B765" s="10">
        <v>39814.0</v>
      </c>
      <c r="C765" s="11" t="s">
        <v>114</v>
      </c>
      <c r="D765" s="11" t="s">
        <v>151</v>
      </c>
      <c r="E765" s="11" t="s">
        <v>160</v>
      </c>
      <c r="F765" s="11" t="s">
        <v>76</v>
      </c>
      <c r="G765" s="11" t="s">
        <v>54</v>
      </c>
      <c r="H765" s="11" t="s">
        <v>92</v>
      </c>
      <c r="I765" s="11" t="s">
        <v>518</v>
      </c>
      <c r="J765" s="11">
        <v>22.0</v>
      </c>
      <c r="K765" s="13">
        <v>40330.0</v>
      </c>
      <c r="L765" s="14"/>
      <c r="M765" s="11">
        <v>489264.0</v>
      </c>
      <c r="N765" s="11" t="s">
        <v>1956</v>
      </c>
      <c r="P765" s="11">
        <v>0.0</v>
      </c>
      <c r="Q765" s="15">
        <v>0.0</v>
      </c>
      <c r="R765" s="22">
        <v>0.0</v>
      </c>
      <c r="S765">
        <f t="shared" si="1"/>
        <v>2009</v>
      </c>
      <c r="T765">
        <f t="shared" si="2"/>
        <v>1</v>
      </c>
      <c r="AF765" s="18"/>
      <c r="AG765" s="19"/>
      <c r="AL765" s="18"/>
      <c r="AM765" s="19"/>
    </row>
    <row r="766">
      <c r="A766" s="4" t="s">
        <v>1957</v>
      </c>
      <c r="B766" s="10">
        <v>39814.0</v>
      </c>
      <c r="C766" s="11" t="s">
        <v>109</v>
      </c>
      <c r="D766" s="11" t="s">
        <v>124</v>
      </c>
      <c r="E766" s="14" t="s">
        <v>52</v>
      </c>
      <c r="F766" s="11" t="s">
        <v>53</v>
      </c>
      <c r="G766" s="14" t="s">
        <v>54</v>
      </c>
      <c r="H766" s="11" t="s">
        <v>92</v>
      </c>
      <c r="I766" s="11" t="s">
        <v>1958</v>
      </c>
      <c r="J766" s="11">
        <v>21.0</v>
      </c>
      <c r="K766" s="13">
        <v>41005.0</v>
      </c>
      <c r="L766" s="14"/>
      <c r="M766" s="11">
        <v>458720.0</v>
      </c>
      <c r="N766" s="11">
        <v>9392.0</v>
      </c>
      <c r="P766" s="11">
        <v>9.0</v>
      </c>
      <c r="Q766" s="15">
        <v>9.0</v>
      </c>
      <c r="R766" s="22">
        <v>1.0</v>
      </c>
      <c r="S766">
        <f t="shared" si="1"/>
        <v>2009</v>
      </c>
      <c r="T766">
        <f t="shared" si="2"/>
        <v>1</v>
      </c>
      <c r="AF766" s="18"/>
      <c r="AG766" s="19"/>
      <c r="AL766" s="18"/>
      <c r="AM766" s="19"/>
    </row>
    <row r="767">
      <c r="A767" s="4" t="s">
        <v>1959</v>
      </c>
      <c r="B767" s="10">
        <v>39814.0</v>
      </c>
      <c r="C767" s="11" t="s">
        <v>97</v>
      </c>
      <c r="D767" s="11" t="s">
        <v>124</v>
      </c>
      <c r="E767" s="11" t="s">
        <v>160</v>
      </c>
      <c r="F767" s="11" t="s">
        <v>76</v>
      </c>
      <c r="G767" s="11" t="s">
        <v>54</v>
      </c>
      <c r="H767" s="11" t="s">
        <v>92</v>
      </c>
      <c r="I767" s="11" t="s">
        <v>1960</v>
      </c>
      <c r="J767" s="11">
        <v>21.0</v>
      </c>
      <c r="K767" s="13">
        <v>40392.0</v>
      </c>
      <c r="L767" s="14"/>
      <c r="M767" s="11">
        <v>518938.0</v>
      </c>
      <c r="N767" s="11" t="s">
        <v>1961</v>
      </c>
      <c r="P767" s="11">
        <v>0.0</v>
      </c>
      <c r="Q767" s="15">
        <v>0.0</v>
      </c>
      <c r="R767" s="22">
        <v>0.0</v>
      </c>
      <c r="S767">
        <f t="shared" si="1"/>
        <v>2009</v>
      </c>
      <c r="T767">
        <f t="shared" si="2"/>
        <v>1</v>
      </c>
      <c r="AF767" s="18"/>
      <c r="AG767" s="19"/>
      <c r="AL767" s="18"/>
      <c r="AM767" s="19"/>
    </row>
    <row r="768">
      <c r="A768" s="4" t="s">
        <v>1963</v>
      </c>
      <c r="B768" s="10">
        <v>39814.0</v>
      </c>
      <c r="C768" s="11" t="s">
        <v>103</v>
      </c>
      <c r="D768" s="11" t="s">
        <v>91</v>
      </c>
      <c r="E768" s="11" t="s">
        <v>52</v>
      </c>
      <c r="F768" s="11" t="s">
        <v>76</v>
      </c>
      <c r="G768" s="11" t="s">
        <v>265</v>
      </c>
      <c r="H768" s="11"/>
      <c r="I768" s="11"/>
      <c r="J768" s="11">
        <v>17.0</v>
      </c>
      <c r="K768" s="13">
        <v>40714.0</v>
      </c>
      <c r="L768" s="14"/>
      <c r="M768" s="11">
        <v>542587.0</v>
      </c>
      <c r="N768" s="11">
        <v>12854.0</v>
      </c>
      <c r="P768" s="11">
        <v>72.0</v>
      </c>
      <c r="Q768" s="15">
        <v>62.0</v>
      </c>
      <c r="R768" s="22">
        <v>1.0</v>
      </c>
      <c r="S768">
        <f t="shared" si="1"/>
        <v>2009</v>
      </c>
      <c r="T768">
        <f t="shared" si="2"/>
        <v>1</v>
      </c>
      <c r="AF768" s="18"/>
      <c r="AG768" s="19"/>
      <c r="AL768" s="18"/>
      <c r="AM768" s="19"/>
    </row>
    <row r="769">
      <c r="A769" s="4" t="s">
        <v>1964</v>
      </c>
      <c r="B769" s="10">
        <v>39814.0</v>
      </c>
      <c r="C769" s="11" t="s">
        <v>103</v>
      </c>
      <c r="D769" s="11" t="s">
        <v>110</v>
      </c>
      <c r="E769" s="14" t="s">
        <v>52</v>
      </c>
      <c r="F769" s="11" t="s">
        <v>53</v>
      </c>
      <c r="G769" s="14" t="s">
        <v>54</v>
      </c>
      <c r="H769" s="11" t="s">
        <v>412</v>
      </c>
      <c r="I769" s="11" t="s">
        <v>1965</v>
      </c>
      <c r="J769" s="11">
        <v>23.0</v>
      </c>
      <c r="K769" s="13">
        <v>40324.0</v>
      </c>
      <c r="L769" s="14"/>
      <c r="M769" s="11">
        <v>461408.0</v>
      </c>
      <c r="N769" s="11" t="s">
        <v>1966</v>
      </c>
      <c r="P769" s="11">
        <v>0.0</v>
      </c>
      <c r="Q769" s="15">
        <v>0.0</v>
      </c>
      <c r="R769" s="22">
        <v>0.0</v>
      </c>
      <c r="S769">
        <f t="shared" si="1"/>
        <v>2009</v>
      </c>
      <c r="T769">
        <f t="shared" si="2"/>
        <v>1</v>
      </c>
      <c r="AF769" s="18"/>
      <c r="AG769" s="19"/>
      <c r="AL769" s="18"/>
      <c r="AM769" s="19"/>
    </row>
    <row r="770">
      <c r="A770" s="4" t="s">
        <v>1967</v>
      </c>
      <c r="B770" s="10">
        <v>39814.0</v>
      </c>
      <c r="C770" s="11" t="s">
        <v>49</v>
      </c>
      <c r="D770" s="11" t="s">
        <v>91</v>
      </c>
      <c r="E770" s="14" t="s">
        <v>52</v>
      </c>
      <c r="F770" s="11" t="s">
        <v>76</v>
      </c>
      <c r="G770" s="22" t="s">
        <v>312</v>
      </c>
      <c r="H770" s="14"/>
      <c r="I770" s="14"/>
      <c r="J770" s="11">
        <v>23.0</v>
      </c>
      <c r="K770" s="13">
        <v>40646.0</v>
      </c>
      <c r="L770" s="14"/>
      <c r="M770" s="11">
        <v>452027.0</v>
      </c>
      <c r="N770" s="11">
        <v>7853.0</v>
      </c>
      <c r="P770" s="11">
        <v>17.0</v>
      </c>
      <c r="Q770" s="15">
        <v>79.667</v>
      </c>
      <c r="R770" s="22">
        <v>1.0</v>
      </c>
      <c r="S770">
        <f t="shared" si="1"/>
        <v>2009</v>
      </c>
      <c r="T770">
        <f t="shared" si="2"/>
        <v>1</v>
      </c>
      <c r="AF770" s="18"/>
      <c r="AG770" s="19"/>
      <c r="AL770" s="18"/>
      <c r="AM770" s="19"/>
    </row>
    <row r="771">
      <c r="A771" s="4" t="s">
        <v>1968</v>
      </c>
      <c r="B771" s="10">
        <v>39814.0</v>
      </c>
      <c r="C771" s="11" t="s">
        <v>49</v>
      </c>
      <c r="D771" s="11" t="s">
        <v>210</v>
      </c>
      <c r="E771" s="14" t="s">
        <v>52</v>
      </c>
      <c r="F771" s="11" t="s">
        <v>53</v>
      </c>
      <c r="G771" s="14" t="s">
        <v>54</v>
      </c>
      <c r="H771" s="11" t="s">
        <v>260</v>
      </c>
      <c r="I771" s="11"/>
      <c r="J771" s="11">
        <v>19.0</v>
      </c>
      <c r="K771" s="13">
        <v>40688.0</v>
      </c>
      <c r="L771" s="14"/>
      <c r="M771" s="11">
        <v>543924.0</v>
      </c>
      <c r="N771" s="11" t="s">
        <v>1969</v>
      </c>
      <c r="P771" s="11">
        <v>0.0</v>
      </c>
      <c r="Q771" s="15">
        <v>0.0</v>
      </c>
      <c r="R771" s="22">
        <v>0.0</v>
      </c>
      <c r="S771">
        <f t="shared" si="1"/>
        <v>2009</v>
      </c>
      <c r="T771">
        <f t="shared" si="2"/>
        <v>1</v>
      </c>
      <c r="AF771" s="18"/>
      <c r="AG771" s="19"/>
      <c r="AL771" s="18"/>
      <c r="AM771" s="19"/>
    </row>
    <row r="772">
      <c r="A772" s="4" t="s">
        <v>1970</v>
      </c>
      <c r="B772" s="10">
        <v>39814.0</v>
      </c>
      <c r="C772" s="11" t="s">
        <v>49</v>
      </c>
      <c r="D772" s="11" t="s">
        <v>75</v>
      </c>
      <c r="E772" s="14" t="s">
        <v>52</v>
      </c>
      <c r="F772" s="11" t="s">
        <v>76</v>
      </c>
      <c r="G772" s="14" t="s">
        <v>54</v>
      </c>
      <c r="H772" s="11" t="s">
        <v>204</v>
      </c>
      <c r="I772" s="11" t="s">
        <v>99</v>
      </c>
      <c r="J772" s="11">
        <v>24.0</v>
      </c>
      <c r="K772" s="13">
        <v>40743.0</v>
      </c>
      <c r="L772" s="14"/>
      <c r="M772" s="11">
        <v>489336.0</v>
      </c>
      <c r="N772" s="11" t="s">
        <v>1971</v>
      </c>
      <c r="P772" s="11">
        <v>0.0</v>
      </c>
      <c r="Q772" s="15">
        <v>0.0</v>
      </c>
      <c r="R772" s="22">
        <v>0.0</v>
      </c>
      <c r="S772">
        <f t="shared" si="1"/>
        <v>2009</v>
      </c>
      <c r="T772">
        <f t="shared" si="2"/>
        <v>1</v>
      </c>
      <c r="AF772" s="18"/>
      <c r="AG772" s="19"/>
      <c r="AL772" s="18"/>
      <c r="AM772" s="19"/>
    </row>
    <row r="773">
      <c r="A773" s="4" t="s">
        <v>1972</v>
      </c>
      <c r="B773" s="10">
        <v>39814.0</v>
      </c>
      <c r="C773" s="11" t="s">
        <v>270</v>
      </c>
      <c r="D773" s="11" t="s">
        <v>82</v>
      </c>
      <c r="E773" s="14" t="s">
        <v>52</v>
      </c>
      <c r="F773" s="11" t="s">
        <v>53</v>
      </c>
      <c r="G773" s="14" t="s">
        <v>54</v>
      </c>
      <c r="H773" s="11" t="s">
        <v>260</v>
      </c>
      <c r="I773" s="11" t="s">
        <v>1973</v>
      </c>
      <c r="J773" s="11">
        <v>24.0</v>
      </c>
      <c r="K773" s="13">
        <v>40640.0</v>
      </c>
      <c r="L773" s="14"/>
      <c r="M773" s="11">
        <v>519096.0</v>
      </c>
      <c r="N773" s="11">
        <v>7385.0</v>
      </c>
      <c r="P773" s="11">
        <v>220.0</v>
      </c>
      <c r="Q773" s="15">
        <v>255.333</v>
      </c>
      <c r="R773" s="22">
        <v>1.0</v>
      </c>
      <c r="S773">
        <f t="shared" si="1"/>
        <v>2009</v>
      </c>
      <c r="T773">
        <f t="shared" si="2"/>
        <v>1</v>
      </c>
      <c r="AF773" s="18"/>
      <c r="AG773" s="19"/>
      <c r="AL773" s="18"/>
      <c r="AM773" s="19"/>
    </row>
    <row r="774">
      <c r="A774" s="4" t="s">
        <v>543</v>
      </c>
      <c r="B774" s="10">
        <v>39814.0</v>
      </c>
      <c r="C774" s="11" t="s">
        <v>270</v>
      </c>
      <c r="D774" s="11" t="s">
        <v>170</v>
      </c>
      <c r="E774" s="11" t="s">
        <v>52</v>
      </c>
      <c r="F774" s="11" t="s">
        <v>53</v>
      </c>
      <c r="G774" s="11" t="s">
        <v>54</v>
      </c>
      <c r="H774" s="11" t="s">
        <v>92</v>
      </c>
      <c r="I774" s="11" t="s">
        <v>546</v>
      </c>
      <c r="J774" s="11">
        <v>17.0</v>
      </c>
      <c r="K774" s="13">
        <v>41474.0</v>
      </c>
      <c r="L774" s="14"/>
      <c r="M774" s="11">
        <v>594589.0</v>
      </c>
      <c r="N774" s="11" t="s">
        <v>547</v>
      </c>
      <c r="O774" s="4" t="s">
        <v>704</v>
      </c>
      <c r="P774" s="11">
        <v>0.0</v>
      </c>
      <c r="Q774" s="15">
        <v>0.0</v>
      </c>
      <c r="R774" s="11">
        <v>0.0</v>
      </c>
      <c r="S774">
        <f t="shared" si="1"/>
        <v>2009</v>
      </c>
      <c r="T774">
        <f t="shared" si="2"/>
        <v>1</v>
      </c>
      <c r="AF774" s="18"/>
      <c r="AG774" s="19"/>
      <c r="AL774" s="18"/>
      <c r="AM774" s="19"/>
    </row>
    <row r="775">
      <c r="A775" s="4" t="s">
        <v>1974</v>
      </c>
      <c r="B775" s="10">
        <v>39814.0</v>
      </c>
      <c r="C775" s="11" t="s">
        <v>156</v>
      </c>
      <c r="D775" s="11" t="s">
        <v>170</v>
      </c>
      <c r="E775" s="11" t="s">
        <v>52</v>
      </c>
      <c r="F775" s="11" t="s">
        <v>53</v>
      </c>
      <c r="G775" s="11" t="s">
        <v>54</v>
      </c>
      <c r="H775" s="11" t="s">
        <v>244</v>
      </c>
      <c r="I775" s="11" t="s">
        <v>1410</v>
      </c>
      <c r="J775" s="11">
        <v>18.0</v>
      </c>
      <c r="K775" s="13">
        <v>41446.0</v>
      </c>
      <c r="L775" s="14"/>
      <c r="M775" s="11">
        <v>641972.0</v>
      </c>
      <c r="N775" s="11" t="s">
        <v>1975</v>
      </c>
      <c r="P775" s="11">
        <v>0.0</v>
      </c>
      <c r="Q775" s="15">
        <v>0.0</v>
      </c>
      <c r="R775" s="22">
        <v>0.0</v>
      </c>
      <c r="S775">
        <f t="shared" si="1"/>
        <v>2009</v>
      </c>
      <c r="T775">
        <f t="shared" si="2"/>
        <v>1</v>
      </c>
      <c r="AF775" s="18"/>
      <c r="AG775" s="19"/>
      <c r="AL775" s="18"/>
      <c r="AM775" s="19"/>
    </row>
    <row r="776">
      <c r="A776" s="4" t="s">
        <v>1976</v>
      </c>
      <c r="B776" s="10">
        <v>39814.0</v>
      </c>
      <c r="C776" s="11" t="s">
        <v>130</v>
      </c>
      <c r="D776" s="11" t="s">
        <v>210</v>
      </c>
      <c r="E776" s="14" t="s">
        <v>52</v>
      </c>
      <c r="F776" s="11" t="s">
        <v>53</v>
      </c>
      <c r="G776" s="22" t="s">
        <v>265</v>
      </c>
      <c r="H776" s="14"/>
      <c r="I776" s="14"/>
      <c r="J776" s="11">
        <v>19.0</v>
      </c>
      <c r="K776" s="13">
        <v>40366.0</v>
      </c>
      <c r="L776" s="14"/>
      <c r="M776" s="11">
        <v>544150.0</v>
      </c>
      <c r="N776" s="11">
        <v>6175.0</v>
      </c>
      <c r="P776" s="11">
        <v>22.0</v>
      </c>
      <c r="Q776" s="15">
        <v>84.0</v>
      </c>
      <c r="R776" s="22">
        <v>1.0</v>
      </c>
      <c r="S776">
        <f t="shared" si="1"/>
        <v>2009</v>
      </c>
      <c r="T776">
        <f t="shared" si="2"/>
        <v>1</v>
      </c>
      <c r="AF776" s="18"/>
      <c r="AG776" s="19"/>
      <c r="AL776" s="18"/>
      <c r="AM776" s="19"/>
    </row>
    <row r="777">
      <c r="A777" s="4" t="s">
        <v>1977</v>
      </c>
      <c r="B777" s="10">
        <v>39814.0</v>
      </c>
      <c r="C777" s="11" t="s">
        <v>130</v>
      </c>
      <c r="D777" s="11" t="s">
        <v>151</v>
      </c>
      <c r="E777" s="14" t="s">
        <v>52</v>
      </c>
      <c r="F777" s="11" t="s">
        <v>76</v>
      </c>
      <c r="G777" s="14" t="s">
        <v>54</v>
      </c>
      <c r="H777" s="11" t="s">
        <v>412</v>
      </c>
      <c r="I777" s="11" t="s">
        <v>1978</v>
      </c>
      <c r="J777" s="11">
        <v>22.0</v>
      </c>
      <c r="K777" s="13">
        <v>40353.0</v>
      </c>
      <c r="L777" s="14"/>
      <c r="M777" s="11">
        <v>571893.0</v>
      </c>
      <c r="N777" s="11">
        <v>10637.0</v>
      </c>
      <c r="P777" s="11">
        <v>97.0</v>
      </c>
      <c r="Q777" s="15">
        <v>72.333</v>
      </c>
      <c r="R777" s="22">
        <v>1.0</v>
      </c>
      <c r="S777">
        <f t="shared" si="1"/>
        <v>2009</v>
      </c>
      <c r="T777">
        <f t="shared" si="2"/>
        <v>1</v>
      </c>
      <c r="AF777" s="18"/>
      <c r="AG777" s="19"/>
      <c r="AL777" s="18"/>
      <c r="AM777" s="19"/>
    </row>
    <row r="778">
      <c r="A778" s="4" t="s">
        <v>1979</v>
      </c>
      <c r="B778" s="10">
        <v>39763.0</v>
      </c>
      <c r="C778" s="11" t="s">
        <v>123</v>
      </c>
      <c r="D778" s="11" t="s">
        <v>51</v>
      </c>
      <c r="E778" s="14" t="s">
        <v>52</v>
      </c>
      <c r="F778" s="11" t="s">
        <v>53</v>
      </c>
      <c r="G778" s="14" t="s">
        <v>54</v>
      </c>
      <c r="H778" s="11" t="s">
        <v>232</v>
      </c>
      <c r="I778" s="11" t="s">
        <v>1980</v>
      </c>
      <c r="J778" s="11">
        <v>27.0</v>
      </c>
      <c r="K778" s="13">
        <v>40273.0</v>
      </c>
      <c r="L778" s="11">
        <f t="shared" ref="L778:L785" si="80">ROUND(((K778-B778)/365)*12)</f>
        <v>17</v>
      </c>
      <c r="M778" s="11">
        <v>450212.0</v>
      </c>
      <c r="N778" s="11">
        <v>4682.0</v>
      </c>
      <c r="O778" s="4" t="s">
        <v>1651</v>
      </c>
      <c r="P778" s="11">
        <v>302.0</v>
      </c>
      <c r="Q778" s="15">
        <v>262.667</v>
      </c>
      <c r="R778" s="22">
        <v>1.0</v>
      </c>
      <c r="S778">
        <f t="shared" si="1"/>
        <v>2008</v>
      </c>
      <c r="T778">
        <f t="shared" si="2"/>
        <v>11</v>
      </c>
      <c r="AF778" s="18"/>
      <c r="AG778" s="19"/>
      <c r="AL778" s="18"/>
      <c r="AM778" s="19"/>
    </row>
    <row r="779">
      <c r="A779" s="4" t="s">
        <v>1982</v>
      </c>
      <c r="B779" s="10">
        <v>39735.0</v>
      </c>
      <c r="C779" s="11" t="s">
        <v>382</v>
      </c>
      <c r="D779" s="11" t="s">
        <v>82</v>
      </c>
      <c r="E779" s="14" t="s">
        <v>52</v>
      </c>
      <c r="F779" s="11" t="s">
        <v>53</v>
      </c>
      <c r="G779" s="14" t="s">
        <v>54</v>
      </c>
      <c r="H779" s="11" t="s">
        <v>92</v>
      </c>
      <c r="I779" s="11" t="s">
        <v>477</v>
      </c>
      <c r="J779" s="11">
        <v>23.0</v>
      </c>
      <c r="K779" s="13">
        <v>40640.0</v>
      </c>
      <c r="L779" s="11">
        <f t="shared" si="80"/>
        <v>30</v>
      </c>
      <c r="M779" s="11">
        <v>502255.0</v>
      </c>
      <c r="N779" s="11" t="s">
        <v>1983</v>
      </c>
      <c r="P779" s="11">
        <v>0.0</v>
      </c>
      <c r="Q779" s="15">
        <v>0.0</v>
      </c>
      <c r="R779" s="22">
        <v>1.0</v>
      </c>
      <c r="S779">
        <f t="shared" si="1"/>
        <v>2008</v>
      </c>
      <c r="T779">
        <f t="shared" si="2"/>
        <v>10</v>
      </c>
      <c r="AF779" s="18"/>
      <c r="AG779" s="19"/>
      <c r="AL779" s="18"/>
      <c r="AM779" s="19"/>
    </row>
    <row r="780">
      <c r="A780" s="4" t="s">
        <v>1984</v>
      </c>
      <c r="B780" s="10">
        <v>39721.0</v>
      </c>
      <c r="C780" s="11" t="s">
        <v>711</v>
      </c>
      <c r="D780" s="11" t="s">
        <v>51</v>
      </c>
      <c r="E780" s="14" t="s">
        <v>52</v>
      </c>
      <c r="F780" s="11" t="s">
        <v>53</v>
      </c>
      <c r="G780" s="14" t="s">
        <v>54</v>
      </c>
      <c r="H780" s="11" t="s">
        <v>244</v>
      </c>
      <c r="I780" s="11" t="s">
        <v>1985</v>
      </c>
      <c r="J780" s="11">
        <v>26.0</v>
      </c>
      <c r="K780" s="13">
        <v>40273.0</v>
      </c>
      <c r="L780" s="11">
        <f t="shared" si="80"/>
        <v>18</v>
      </c>
      <c r="M780" s="11">
        <v>451788.0</v>
      </c>
      <c r="N780" s="11">
        <v>6204.0</v>
      </c>
      <c r="O780" s="4" t="s">
        <v>59</v>
      </c>
      <c r="P780" s="11">
        <v>106.0</v>
      </c>
      <c r="Q780" s="15">
        <v>633.333</v>
      </c>
      <c r="R780" s="11">
        <v>0.0</v>
      </c>
      <c r="S780">
        <f t="shared" si="1"/>
        <v>2008</v>
      </c>
      <c r="T780">
        <f t="shared" si="2"/>
        <v>9</v>
      </c>
      <c r="U780" s="4"/>
      <c r="V780" s="4"/>
      <c r="W780" s="4"/>
      <c r="X780" s="4"/>
      <c r="Y780" s="4"/>
      <c r="Z780" s="4"/>
      <c r="AA780" s="4"/>
      <c r="AB780" s="4"/>
      <c r="AC780" s="4"/>
      <c r="AD780" s="4">
        <v>25.0</v>
      </c>
      <c r="AE780" s="4">
        <v>25.0</v>
      </c>
      <c r="AF780" s="54">
        <v>151.333</v>
      </c>
      <c r="AG780" s="55">
        <v>0.116</v>
      </c>
      <c r="AH780" s="4">
        <v>78.0</v>
      </c>
      <c r="AI780" s="4">
        <v>102.0</v>
      </c>
      <c r="AJ780" s="4">
        <v>31.0</v>
      </c>
      <c r="AK780" s="4">
        <v>31.0</v>
      </c>
      <c r="AL780" s="54">
        <v>195.333</v>
      </c>
      <c r="AM780" s="55">
        <v>0.153</v>
      </c>
      <c r="AN780" s="4">
        <v>87.0</v>
      </c>
      <c r="AO780" s="4">
        <v>88.0</v>
      </c>
    </row>
    <row r="781">
      <c r="A781" s="4" t="s">
        <v>1986</v>
      </c>
      <c r="B781" s="10">
        <v>39714.0</v>
      </c>
      <c r="C781" s="11" t="s">
        <v>133</v>
      </c>
      <c r="D781" s="11" t="s">
        <v>210</v>
      </c>
      <c r="E781" s="14" t="s">
        <v>52</v>
      </c>
      <c r="F781" s="11" t="s">
        <v>76</v>
      </c>
      <c r="G781" s="14" t="s">
        <v>54</v>
      </c>
      <c r="H781" s="11" t="s">
        <v>157</v>
      </c>
      <c r="I781" s="11"/>
      <c r="J781" s="11">
        <v>19.0</v>
      </c>
      <c r="K781" s="13">
        <v>40051.0</v>
      </c>
      <c r="L781" s="11">
        <f t="shared" si="80"/>
        <v>11</v>
      </c>
      <c r="M781" s="11">
        <v>518493.0</v>
      </c>
      <c r="N781" s="11">
        <v>2868.0</v>
      </c>
      <c r="P781" s="11">
        <v>25.0</v>
      </c>
      <c r="Q781" s="15">
        <v>27.667</v>
      </c>
      <c r="R781" s="22">
        <v>1.0</v>
      </c>
      <c r="S781">
        <f t="shared" si="1"/>
        <v>2008</v>
      </c>
      <c r="T781">
        <f t="shared" si="2"/>
        <v>9</v>
      </c>
      <c r="AF781" s="18"/>
      <c r="AG781" s="19"/>
      <c r="AL781" s="18"/>
      <c r="AM781" s="19"/>
    </row>
    <row r="782">
      <c r="A782" s="4" t="s">
        <v>1987</v>
      </c>
      <c r="B782" s="10">
        <v>39701.0</v>
      </c>
      <c r="C782" s="11" t="s">
        <v>109</v>
      </c>
      <c r="D782" s="11" t="s">
        <v>51</v>
      </c>
      <c r="E782" s="14" t="s">
        <v>52</v>
      </c>
      <c r="F782" s="11" t="s">
        <v>76</v>
      </c>
      <c r="G782" s="14" t="s">
        <v>54</v>
      </c>
      <c r="H782" s="11" t="s">
        <v>416</v>
      </c>
      <c r="I782" s="11" t="s">
        <v>1988</v>
      </c>
      <c r="J782" s="11">
        <v>36.0</v>
      </c>
      <c r="K782" s="13">
        <v>40045.0</v>
      </c>
      <c r="L782" s="11">
        <f t="shared" si="80"/>
        <v>11</v>
      </c>
      <c r="M782" s="11">
        <v>123790.0</v>
      </c>
      <c r="N782" s="11">
        <v>578.0</v>
      </c>
      <c r="O782" s="4" t="s">
        <v>704</v>
      </c>
      <c r="P782" s="11">
        <v>88.0</v>
      </c>
      <c r="Q782" s="32">
        <v>85.0</v>
      </c>
      <c r="R782" s="22">
        <v>0.0</v>
      </c>
      <c r="S782">
        <f t="shared" si="1"/>
        <v>2008</v>
      </c>
      <c r="T782">
        <f t="shared" si="2"/>
        <v>9</v>
      </c>
      <c r="AF782" s="18"/>
      <c r="AG782" s="19"/>
      <c r="AL782" s="18"/>
      <c r="AM782" s="19"/>
    </row>
    <row r="783">
      <c r="A783" s="4" t="s">
        <v>1989</v>
      </c>
      <c r="B783" s="10">
        <v>39699.0</v>
      </c>
      <c r="C783" s="11" t="s">
        <v>156</v>
      </c>
      <c r="D783" s="11" t="s">
        <v>51</v>
      </c>
      <c r="E783" s="14" t="s">
        <v>52</v>
      </c>
      <c r="F783" s="11" t="s">
        <v>76</v>
      </c>
      <c r="G783" s="11" t="s">
        <v>582</v>
      </c>
      <c r="H783" s="11"/>
      <c r="I783" s="11"/>
      <c r="J783" s="11">
        <v>21.0</v>
      </c>
      <c r="K783" s="13">
        <v>40278.0</v>
      </c>
      <c r="L783" s="11">
        <f t="shared" si="80"/>
        <v>19</v>
      </c>
      <c r="M783" s="11">
        <v>448802.0</v>
      </c>
      <c r="N783" s="11">
        <v>8137.0</v>
      </c>
      <c r="O783" s="4" t="s">
        <v>404</v>
      </c>
      <c r="P783" s="11">
        <v>148.0</v>
      </c>
      <c r="Q783" s="15">
        <v>880.0</v>
      </c>
      <c r="R783" s="22">
        <v>1.0</v>
      </c>
      <c r="S783">
        <f t="shared" si="1"/>
        <v>2008</v>
      </c>
      <c r="T783">
        <f t="shared" si="2"/>
        <v>9</v>
      </c>
      <c r="AF783" s="18"/>
      <c r="AG783" s="19"/>
      <c r="AL783" s="18"/>
      <c r="AM783" s="19"/>
    </row>
    <row r="784">
      <c r="A784" s="4" t="s">
        <v>1990</v>
      </c>
      <c r="B784" s="10">
        <v>39692.0</v>
      </c>
      <c r="C784" s="11" t="s">
        <v>109</v>
      </c>
      <c r="D784" s="11" t="s">
        <v>124</v>
      </c>
      <c r="E784" s="11" t="s">
        <v>52</v>
      </c>
      <c r="F784" s="11" t="s">
        <v>53</v>
      </c>
      <c r="G784" s="11" t="s">
        <v>54</v>
      </c>
      <c r="H784" s="11" t="s">
        <v>92</v>
      </c>
      <c r="I784" s="11" t="s">
        <v>1991</v>
      </c>
      <c r="J784" s="11">
        <v>21.0</v>
      </c>
      <c r="K784" s="13">
        <v>40723.0</v>
      </c>
      <c r="L784" s="11">
        <f t="shared" si="80"/>
        <v>34</v>
      </c>
      <c r="M784" s="11">
        <v>519092.0</v>
      </c>
      <c r="N784" s="11" t="s">
        <v>1992</v>
      </c>
      <c r="P784" s="11">
        <v>0.0</v>
      </c>
      <c r="Q784" s="15">
        <v>0.0</v>
      </c>
      <c r="R784" s="22">
        <v>0.0</v>
      </c>
      <c r="S784">
        <f t="shared" si="1"/>
        <v>2008</v>
      </c>
      <c r="T784">
        <f t="shared" si="2"/>
        <v>9</v>
      </c>
      <c r="AF784" s="18"/>
      <c r="AG784" s="19"/>
      <c r="AL784" s="18"/>
      <c r="AM784" s="19"/>
    </row>
    <row r="785">
      <c r="A785" s="4" t="s">
        <v>1993</v>
      </c>
      <c r="B785" s="10">
        <v>39680.0</v>
      </c>
      <c r="C785" s="11" t="s">
        <v>156</v>
      </c>
      <c r="D785" s="11" t="s">
        <v>75</v>
      </c>
      <c r="E785" s="14" t="s">
        <v>52</v>
      </c>
      <c r="F785" s="11" t="s">
        <v>53</v>
      </c>
      <c r="G785" s="14" t="s">
        <v>54</v>
      </c>
      <c r="H785" s="11" t="s">
        <v>153</v>
      </c>
      <c r="I785" s="11" t="s">
        <v>1994</v>
      </c>
      <c r="J785" s="11">
        <v>25.0</v>
      </c>
      <c r="K785" s="13">
        <v>40280.0</v>
      </c>
      <c r="L785" s="11">
        <f t="shared" si="80"/>
        <v>20</v>
      </c>
      <c r="M785" s="11">
        <v>449157.0</v>
      </c>
      <c r="N785" s="11">
        <v>8070.0</v>
      </c>
      <c r="P785" s="11">
        <v>0.0</v>
      </c>
      <c r="Q785" s="15">
        <v>0.0</v>
      </c>
      <c r="R785" s="22">
        <v>0.0</v>
      </c>
      <c r="S785">
        <f t="shared" si="1"/>
        <v>2008</v>
      </c>
      <c r="T785">
        <f t="shared" si="2"/>
        <v>8</v>
      </c>
      <c r="AF785" s="18"/>
      <c r="AG785" s="19"/>
      <c r="AL785" s="18"/>
      <c r="AM785" s="19"/>
    </row>
    <row r="786">
      <c r="A786" s="4" t="s">
        <v>1995</v>
      </c>
      <c r="B786" s="10">
        <v>39672.0</v>
      </c>
      <c r="C786" s="11" t="s">
        <v>109</v>
      </c>
      <c r="D786" s="11" t="s">
        <v>82</v>
      </c>
      <c r="E786" s="14" t="s">
        <v>52</v>
      </c>
      <c r="F786" s="11" t="s">
        <v>53</v>
      </c>
      <c r="G786" s="14" t="s">
        <v>54</v>
      </c>
      <c r="H786" s="11" t="s">
        <v>92</v>
      </c>
      <c r="I786" s="11" t="s">
        <v>1996</v>
      </c>
      <c r="J786" s="11">
        <v>26.0</v>
      </c>
      <c r="K786" s="13"/>
      <c r="L786" s="11"/>
      <c r="M786" s="11">
        <v>451100.0</v>
      </c>
      <c r="N786" s="11" t="s">
        <v>1997</v>
      </c>
      <c r="P786" s="11">
        <v>0.0</v>
      </c>
      <c r="Q786" s="15">
        <v>0.0</v>
      </c>
      <c r="R786" s="22">
        <v>0.0</v>
      </c>
      <c r="S786">
        <f t="shared" si="1"/>
        <v>2008</v>
      </c>
      <c r="T786">
        <f t="shared" si="2"/>
        <v>8</v>
      </c>
      <c r="AF786" s="18"/>
      <c r="AG786" s="19"/>
      <c r="AL786" s="18"/>
      <c r="AM786" s="19"/>
    </row>
    <row r="787">
      <c r="A787" s="4" t="s">
        <v>1998</v>
      </c>
      <c r="B787" s="10">
        <v>39668.0</v>
      </c>
      <c r="C787" s="11" t="s">
        <v>142</v>
      </c>
      <c r="D787" s="11" t="s">
        <v>51</v>
      </c>
      <c r="E787" s="14" t="s">
        <v>52</v>
      </c>
      <c r="F787" s="11" t="s">
        <v>53</v>
      </c>
      <c r="G787" s="14" t="s">
        <v>54</v>
      </c>
      <c r="H787" s="11" t="s">
        <v>449</v>
      </c>
      <c r="I787" s="11" t="s">
        <v>1999</v>
      </c>
      <c r="J787" s="11">
        <v>32.0</v>
      </c>
      <c r="K787" s="13">
        <v>40057.0</v>
      </c>
      <c r="L787" s="11">
        <f>ROUND(((K787-B787)/365)*12)</f>
        <v>13</v>
      </c>
      <c r="M787" s="11">
        <v>218596.0</v>
      </c>
      <c r="N787" s="11">
        <v>921.0</v>
      </c>
      <c r="O787" s="4" t="s">
        <v>59</v>
      </c>
      <c r="P787" s="11">
        <v>178.0</v>
      </c>
      <c r="Q787" s="15">
        <v>1109.333</v>
      </c>
      <c r="R787" s="22">
        <v>0.0</v>
      </c>
      <c r="S787">
        <f t="shared" si="1"/>
        <v>2008</v>
      </c>
      <c r="T787">
        <f t="shared" si="2"/>
        <v>8</v>
      </c>
      <c r="U787" s="4"/>
      <c r="V787" s="4"/>
      <c r="W787" s="4"/>
      <c r="X787" s="4"/>
      <c r="Y787" s="4"/>
      <c r="Z787" s="4"/>
      <c r="AA787" s="4"/>
      <c r="AB787" s="4"/>
      <c r="AC787" s="4"/>
      <c r="AD787" s="4">
        <v>23.0</v>
      </c>
      <c r="AE787" s="4">
        <v>22.0</v>
      </c>
      <c r="AF787" s="54">
        <v>142.0</v>
      </c>
      <c r="AG787" s="55">
        <v>0.079</v>
      </c>
      <c r="AH787" s="4">
        <v>75.0</v>
      </c>
      <c r="AI787" s="4">
        <v>89.0</v>
      </c>
      <c r="AJ787" s="4">
        <v>7.0</v>
      </c>
      <c r="AK787" s="4">
        <v>7.0</v>
      </c>
      <c r="AL787" s="54">
        <v>42.333</v>
      </c>
      <c r="AM787" s="55">
        <v>0.095</v>
      </c>
      <c r="AN787" s="4">
        <v>87.0</v>
      </c>
      <c r="AO787" s="4">
        <v>91.0</v>
      </c>
    </row>
    <row r="788">
      <c r="A788" s="4" t="s">
        <v>443</v>
      </c>
      <c r="B788" s="10">
        <v>39661.0</v>
      </c>
      <c r="C788" s="11" t="s">
        <v>81</v>
      </c>
      <c r="D788" s="11" t="s">
        <v>151</v>
      </c>
      <c r="E788" s="11" t="s">
        <v>52</v>
      </c>
      <c r="F788" s="11" t="s">
        <v>76</v>
      </c>
      <c r="G788" s="11" t="s">
        <v>54</v>
      </c>
      <c r="H788" s="11" t="s">
        <v>92</v>
      </c>
      <c r="I788" s="11" t="s">
        <v>1171</v>
      </c>
      <c r="J788" s="11">
        <v>20.0</v>
      </c>
      <c r="K788" s="13">
        <v>37622.0</v>
      </c>
      <c r="L788" s="11"/>
      <c r="M788" s="11">
        <v>608578.0</v>
      </c>
      <c r="N788" s="11" t="s">
        <v>1172</v>
      </c>
      <c r="O788" s="4"/>
      <c r="P788" s="11">
        <v>0.0</v>
      </c>
      <c r="Q788" s="15">
        <v>0.0</v>
      </c>
      <c r="R788" s="11">
        <v>0.0</v>
      </c>
      <c r="S788">
        <f t="shared" si="1"/>
        <v>2008</v>
      </c>
      <c r="T788">
        <f t="shared" si="2"/>
        <v>8</v>
      </c>
      <c r="U788" s="4"/>
      <c r="V788" s="4"/>
      <c r="W788" s="4"/>
      <c r="X788" s="4"/>
      <c r="Y788" s="4"/>
      <c r="Z788" s="4"/>
      <c r="AA788" s="4"/>
      <c r="AB788" s="4"/>
      <c r="AC788" s="4"/>
      <c r="AD788" s="4"/>
      <c r="AE788" s="4"/>
      <c r="AF788" s="54"/>
      <c r="AG788" s="55"/>
      <c r="AH788" s="4"/>
      <c r="AI788" s="4"/>
      <c r="AJ788" s="4"/>
      <c r="AK788" s="4"/>
      <c r="AL788" s="54"/>
      <c r="AM788" s="55"/>
      <c r="AN788" s="4"/>
      <c r="AO788" s="4"/>
    </row>
    <row r="789">
      <c r="A789" s="4" t="s">
        <v>2000</v>
      </c>
      <c r="B789" s="10">
        <v>39644.0</v>
      </c>
      <c r="C789" s="11" t="s">
        <v>138</v>
      </c>
      <c r="D789" s="11" t="s">
        <v>51</v>
      </c>
      <c r="E789" s="14" t="s">
        <v>52</v>
      </c>
      <c r="F789" s="11" t="s">
        <v>53</v>
      </c>
      <c r="G789" s="14" t="s">
        <v>54</v>
      </c>
      <c r="H789" s="11" t="s">
        <v>92</v>
      </c>
      <c r="I789" s="11" t="s">
        <v>2001</v>
      </c>
      <c r="J789" s="11">
        <v>27.0</v>
      </c>
      <c r="K789" s="13">
        <v>40015.0</v>
      </c>
      <c r="L789" s="11">
        <f t="shared" ref="L789:L791" si="81">ROUND(((K789-B789)/365)*12)</f>
        <v>12</v>
      </c>
      <c r="M789" s="11">
        <v>429901.0</v>
      </c>
      <c r="N789" s="11">
        <v>1773.0</v>
      </c>
      <c r="O789" s="4" t="s">
        <v>59</v>
      </c>
      <c r="P789" s="11">
        <v>65.0</v>
      </c>
      <c r="Q789" s="32">
        <v>144.0</v>
      </c>
      <c r="R789" s="22">
        <v>0.0</v>
      </c>
      <c r="S789">
        <f t="shared" si="1"/>
        <v>2008</v>
      </c>
      <c r="T789">
        <f t="shared" si="2"/>
        <v>7</v>
      </c>
      <c r="U789" s="4"/>
      <c r="V789" s="4"/>
      <c r="W789" s="4"/>
      <c r="X789" s="4"/>
      <c r="Y789" s="4"/>
      <c r="Z789" s="4"/>
      <c r="AA789" s="4"/>
      <c r="AB789" s="4"/>
      <c r="AC789" s="4"/>
      <c r="AD789" s="4">
        <v>27.0</v>
      </c>
      <c r="AE789" s="4">
        <v>27.0</v>
      </c>
      <c r="AF789" s="54">
        <v>149.0</v>
      </c>
      <c r="AG789" s="55">
        <v>0.059</v>
      </c>
      <c r="AH789" s="4">
        <v>105.0</v>
      </c>
      <c r="AI789" s="4">
        <v>90.0</v>
      </c>
      <c r="AJ789" s="4">
        <v>12.0</v>
      </c>
      <c r="AK789" s="4">
        <v>9.0</v>
      </c>
      <c r="AL789" s="54">
        <v>51.667</v>
      </c>
      <c r="AM789" s="55">
        <v>0.079</v>
      </c>
      <c r="AN789" s="4">
        <v>148.0</v>
      </c>
      <c r="AO789" s="4">
        <v>115.0</v>
      </c>
    </row>
    <row r="790">
      <c r="A790" s="4" t="s">
        <v>2002</v>
      </c>
      <c r="B790" s="10">
        <v>39644.0</v>
      </c>
      <c r="C790" s="11" t="s">
        <v>350</v>
      </c>
      <c r="D790" s="11" t="s">
        <v>124</v>
      </c>
      <c r="E790" s="11" t="s">
        <v>52</v>
      </c>
      <c r="F790" s="11" t="s">
        <v>53</v>
      </c>
      <c r="G790" s="11" t="s">
        <v>1454</v>
      </c>
      <c r="H790" s="11"/>
      <c r="I790" s="11"/>
      <c r="J790" s="11">
        <v>19.0</v>
      </c>
      <c r="K790" s="13">
        <v>40276.0</v>
      </c>
      <c r="L790" s="11">
        <f t="shared" si="81"/>
        <v>21</v>
      </c>
      <c r="M790" s="11">
        <v>534648.0</v>
      </c>
      <c r="N790" s="11" t="s">
        <v>2003</v>
      </c>
      <c r="P790" s="11">
        <v>0.0</v>
      </c>
      <c r="Q790" s="15">
        <v>0.0</v>
      </c>
      <c r="R790" s="22">
        <v>0.0</v>
      </c>
      <c r="S790">
        <f t="shared" si="1"/>
        <v>2008</v>
      </c>
      <c r="T790">
        <f t="shared" si="2"/>
        <v>7</v>
      </c>
      <c r="AF790" s="18"/>
      <c r="AG790" s="19"/>
      <c r="AL790" s="18"/>
      <c r="AM790" s="19"/>
    </row>
    <row r="791">
      <c r="A791" s="4" t="s">
        <v>2004</v>
      </c>
      <c r="B791" s="10">
        <v>39637.0</v>
      </c>
      <c r="C791" s="11" t="s">
        <v>130</v>
      </c>
      <c r="D791" s="11" t="s">
        <v>82</v>
      </c>
      <c r="E791" s="14" t="s">
        <v>52</v>
      </c>
      <c r="F791" s="11" t="s">
        <v>76</v>
      </c>
      <c r="G791" s="14" t="s">
        <v>54</v>
      </c>
      <c r="H791" s="11" t="s">
        <v>77</v>
      </c>
      <c r="I791" s="11"/>
      <c r="J791" s="11">
        <v>21.0</v>
      </c>
      <c r="K791" s="13">
        <v>40278.0</v>
      </c>
      <c r="L791" s="11">
        <f t="shared" si="81"/>
        <v>21</v>
      </c>
      <c r="M791" s="11">
        <v>459429.0</v>
      </c>
      <c r="N791" s="11">
        <v>7550.0</v>
      </c>
      <c r="P791" s="11">
        <v>354.0</v>
      </c>
      <c r="Q791" s="15">
        <v>305.333</v>
      </c>
      <c r="R791" s="22">
        <v>1.0</v>
      </c>
      <c r="S791">
        <f t="shared" si="1"/>
        <v>2008</v>
      </c>
      <c r="T791">
        <f t="shared" si="2"/>
        <v>7</v>
      </c>
      <c r="AF791" s="18"/>
      <c r="AG791" s="19"/>
      <c r="AL791" s="18"/>
      <c r="AM791" s="19"/>
    </row>
    <row r="792">
      <c r="A792" s="4" t="s">
        <v>2005</v>
      </c>
      <c r="B792" s="10">
        <v>39636.0</v>
      </c>
      <c r="C792" s="11" t="s">
        <v>119</v>
      </c>
      <c r="D792" s="11" t="s">
        <v>51</v>
      </c>
      <c r="E792" s="22" t="s">
        <v>160</v>
      </c>
      <c r="F792" s="11" t="s">
        <v>53</v>
      </c>
      <c r="G792" s="14" t="s">
        <v>54</v>
      </c>
      <c r="H792" s="11" t="s">
        <v>211</v>
      </c>
      <c r="I792" s="11"/>
      <c r="J792" s="11">
        <v>29.0</v>
      </c>
      <c r="K792" s="14"/>
      <c r="L792" s="14"/>
      <c r="M792" s="11">
        <v>440361.0</v>
      </c>
      <c r="N792" s="11">
        <v>2450.0</v>
      </c>
      <c r="O792" s="4" t="s">
        <v>224</v>
      </c>
      <c r="P792" s="11">
        <v>0.0</v>
      </c>
      <c r="Q792" s="32">
        <v>0.0</v>
      </c>
      <c r="R792" s="22">
        <v>0.0</v>
      </c>
      <c r="S792">
        <f t="shared" si="1"/>
        <v>2008</v>
      </c>
      <c r="T792">
        <f t="shared" si="2"/>
        <v>7</v>
      </c>
      <c r="AF792" s="18"/>
      <c r="AG792" s="19"/>
      <c r="AL792" s="18"/>
      <c r="AM792" s="19"/>
    </row>
    <row r="793">
      <c r="A793" s="4" t="s">
        <v>2007</v>
      </c>
      <c r="B793" s="10">
        <v>39632.0</v>
      </c>
      <c r="C793" s="11" t="s">
        <v>74</v>
      </c>
      <c r="D793" s="11" t="s">
        <v>51</v>
      </c>
      <c r="E793" s="14" t="s">
        <v>52</v>
      </c>
      <c r="F793" s="11" t="s">
        <v>76</v>
      </c>
      <c r="G793" s="14" t="s">
        <v>54</v>
      </c>
      <c r="H793" s="11" t="s">
        <v>92</v>
      </c>
      <c r="I793" s="11" t="s">
        <v>2008</v>
      </c>
      <c r="J793" s="11">
        <v>25.0</v>
      </c>
      <c r="K793" s="13">
        <v>40306.0</v>
      </c>
      <c r="L793" s="11">
        <f>ROUND(((K793-B793)/365)*12)</f>
        <v>22</v>
      </c>
      <c r="M793" s="11">
        <v>453889.0</v>
      </c>
      <c r="N793" s="11">
        <v>6068.0</v>
      </c>
      <c r="O793" s="4" t="s">
        <v>59</v>
      </c>
      <c r="P793" s="11">
        <v>1.0</v>
      </c>
      <c r="Q793" s="32">
        <v>5.0</v>
      </c>
      <c r="R793" s="22">
        <v>0.0</v>
      </c>
      <c r="S793">
        <f t="shared" si="1"/>
        <v>2008</v>
      </c>
      <c r="T793">
        <f t="shared" si="2"/>
        <v>7</v>
      </c>
      <c r="U793" s="4"/>
      <c r="V793" s="4"/>
      <c r="W793" s="4"/>
      <c r="X793" s="4"/>
      <c r="Y793" s="4"/>
      <c r="Z793" s="4"/>
      <c r="AA793" s="4"/>
      <c r="AB793" s="4"/>
      <c r="AC793" s="4"/>
      <c r="AD793" s="4">
        <v>11.0</v>
      </c>
      <c r="AE793" s="4">
        <v>8.0</v>
      </c>
      <c r="AF793" s="54">
        <v>48.0</v>
      </c>
      <c r="AG793" s="55">
        <v>0.064</v>
      </c>
      <c r="AH793" s="4">
        <v>144.0</v>
      </c>
      <c r="AI793" s="4">
        <v>131.0</v>
      </c>
      <c r="AJ793" s="4">
        <v>1.0</v>
      </c>
      <c r="AK793" s="4">
        <v>1.0</v>
      </c>
      <c r="AL793" s="54">
        <v>5.0</v>
      </c>
      <c r="AM793" s="55">
        <v>0.136</v>
      </c>
      <c r="AN793" s="4">
        <v>89.0</v>
      </c>
      <c r="AO793" s="4">
        <v>62.0</v>
      </c>
    </row>
    <row r="794">
      <c r="A794" s="4" t="s">
        <v>878</v>
      </c>
      <c r="B794" s="10">
        <v>39624.0</v>
      </c>
      <c r="C794" s="11" t="s">
        <v>159</v>
      </c>
      <c r="D794" s="11" t="s">
        <v>51</v>
      </c>
      <c r="E794" s="22" t="s">
        <v>264</v>
      </c>
      <c r="F794" s="11" t="s">
        <v>53</v>
      </c>
      <c r="G794" s="14" t="s">
        <v>54</v>
      </c>
      <c r="H794" s="11" t="s">
        <v>279</v>
      </c>
      <c r="I794" s="11" t="s">
        <v>2009</v>
      </c>
      <c r="J794" s="11">
        <v>36.0</v>
      </c>
      <c r="K794" s="14"/>
      <c r="L794" s="14"/>
      <c r="M794" s="11">
        <v>136300.0</v>
      </c>
      <c r="N794" s="11">
        <v>903.0</v>
      </c>
      <c r="O794" s="4" t="s">
        <v>287</v>
      </c>
      <c r="P794" s="11">
        <v>0.0</v>
      </c>
      <c r="Q794" s="32">
        <v>0.0</v>
      </c>
      <c r="R794" s="22">
        <v>0.0</v>
      </c>
      <c r="S794">
        <f t="shared" si="1"/>
        <v>2008</v>
      </c>
      <c r="T794">
        <f t="shared" si="2"/>
        <v>6</v>
      </c>
      <c r="AF794" s="18"/>
      <c r="AG794" s="19"/>
      <c r="AL794" s="18"/>
      <c r="AM794" s="19"/>
    </row>
    <row r="795">
      <c r="A795" s="4" t="s">
        <v>2010</v>
      </c>
      <c r="B795" s="10">
        <v>39617.0</v>
      </c>
      <c r="C795" s="11" t="s">
        <v>169</v>
      </c>
      <c r="D795" s="11" t="s">
        <v>91</v>
      </c>
      <c r="E795" s="14" t="s">
        <v>52</v>
      </c>
      <c r="F795" s="11" t="s">
        <v>53</v>
      </c>
      <c r="G795" s="22" t="s">
        <v>83</v>
      </c>
      <c r="H795" s="14"/>
      <c r="I795" s="14"/>
      <c r="J795" s="11">
        <v>21.0</v>
      </c>
      <c r="K795" s="13">
        <v>40008.0</v>
      </c>
      <c r="L795" s="11">
        <f t="shared" ref="L795:L798" si="82">ROUND(((K795-B795)/365)*12)</f>
        <v>13</v>
      </c>
      <c r="M795" s="11">
        <v>468536.0</v>
      </c>
      <c r="N795" s="11" t="s">
        <v>2011</v>
      </c>
      <c r="P795" s="11">
        <v>0.0</v>
      </c>
      <c r="Q795" s="15">
        <v>0.0</v>
      </c>
      <c r="R795" s="22">
        <v>0.0</v>
      </c>
      <c r="S795">
        <f t="shared" si="1"/>
        <v>2008</v>
      </c>
      <c r="T795">
        <f t="shared" si="2"/>
        <v>6</v>
      </c>
      <c r="AF795" s="18"/>
      <c r="AG795" s="19"/>
      <c r="AL795" s="18"/>
      <c r="AM795" s="19"/>
    </row>
    <row r="796">
      <c r="A796" s="4" t="s">
        <v>2012</v>
      </c>
      <c r="B796" s="10">
        <v>39600.0</v>
      </c>
      <c r="C796" s="11" t="s">
        <v>169</v>
      </c>
      <c r="D796" s="11" t="s">
        <v>51</v>
      </c>
      <c r="E796" s="14" t="s">
        <v>52</v>
      </c>
      <c r="F796" s="11" t="s">
        <v>53</v>
      </c>
      <c r="G796" s="14" t="s">
        <v>54</v>
      </c>
      <c r="H796" s="11" t="s">
        <v>99</v>
      </c>
      <c r="I796" s="11"/>
      <c r="J796" s="11">
        <v>30.0</v>
      </c>
      <c r="K796" s="13">
        <v>40273.0</v>
      </c>
      <c r="L796" s="11">
        <f t="shared" si="82"/>
        <v>22</v>
      </c>
      <c r="M796" s="11">
        <v>150414.0</v>
      </c>
      <c r="N796" s="11">
        <v>412.0</v>
      </c>
      <c r="O796" s="4" t="s">
        <v>704</v>
      </c>
      <c r="P796" s="11">
        <v>115.0</v>
      </c>
      <c r="Q796" s="32">
        <v>677.3330000000001</v>
      </c>
      <c r="R796" s="22">
        <v>0.0</v>
      </c>
      <c r="S796">
        <f t="shared" si="1"/>
        <v>2008</v>
      </c>
      <c r="T796">
        <f t="shared" si="2"/>
        <v>6</v>
      </c>
      <c r="U796" s="4"/>
      <c r="V796" s="4"/>
      <c r="W796" s="4"/>
      <c r="X796" s="4"/>
      <c r="Y796" s="4"/>
      <c r="Z796" s="4"/>
      <c r="AA796" s="4"/>
      <c r="AB796" s="4"/>
      <c r="AC796" s="4"/>
      <c r="AD796" s="4">
        <v>5.0</v>
      </c>
      <c r="AE796" s="4">
        <v>5.0</v>
      </c>
      <c r="AF796" s="54">
        <v>34.667</v>
      </c>
      <c r="AG796" s="55">
        <v>0.086</v>
      </c>
      <c r="AH796" s="4">
        <v>73.0</v>
      </c>
      <c r="AI796" s="4">
        <v>107.0</v>
      </c>
      <c r="AJ796" s="4">
        <v>33.0</v>
      </c>
      <c r="AK796" s="4">
        <v>33.0</v>
      </c>
      <c r="AL796" s="54">
        <v>202.667</v>
      </c>
      <c r="AM796" s="55">
        <v>0.07</v>
      </c>
      <c r="AN796" s="4">
        <v>106.0</v>
      </c>
      <c r="AO796" s="4">
        <v>104.0</v>
      </c>
    </row>
    <row r="797">
      <c r="A797" s="4" t="s">
        <v>2013</v>
      </c>
      <c r="B797" s="10">
        <v>39600.0</v>
      </c>
      <c r="C797" s="11" t="s">
        <v>382</v>
      </c>
      <c r="D797" s="11" t="s">
        <v>110</v>
      </c>
      <c r="E797" s="22" t="s">
        <v>392</v>
      </c>
      <c r="F797" s="11" t="s">
        <v>53</v>
      </c>
      <c r="G797" s="11" t="s">
        <v>83</v>
      </c>
      <c r="H797" s="14"/>
      <c r="I797" s="14"/>
      <c r="J797" s="11">
        <v>20.0</v>
      </c>
      <c r="K797" s="13">
        <v>39931.0</v>
      </c>
      <c r="L797" s="11">
        <f t="shared" si="82"/>
        <v>11</v>
      </c>
      <c r="M797" s="11">
        <v>467143.0</v>
      </c>
      <c r="N797" s="11">
        <v>2264.0</v>
      </c>
      <c r="P797" s="11">
        <v>83.0</v>
      </c>
      <c r="Q797" s="15">
        <v>162.0</v>
      </c>
      <c r="R797" s="11">
        <v>0.0</v>
      </c>
      <c r="S797">
        <f t="shared" si="1"/>
        <v>2008</v>
      </c>
      <c r="T797">
        <f t="shared" si="2"/>
        <v>6</v>
      </c>
      <c r="AF797" s="18"/>
      <c r="AG797" s="19"/>
      <c r="AL797" s="18"/>
      <c r="AM797" s="19"/>
    </row>
    <row r="798">
      <c r="A798" s="4" t="s">
        <v>1443</v>
      </c>
      <c r="B798" s="10">
        <v>39600.0</v>
      </c>
      <c r="C798" s="11" t="s">
        <v>159</v>
      </c>
      <c r="D798" s="11" t="s">
        <v>124</v>
      </c>
      <c r="E798" s="14" t="s">
        <v>52</v>
      </c>
      <c r="F798" s="11" t="s">
        <v>76</v>
      </c>
      <c r="G798" s="14" t="s">
        <v>54</v>
      </c>
      <c r="H798" s="11" t="s">
        <v>2014</v>
      </c>
      <c r="I798" s="11" t="s">
        <v>2015</v>
      </c>
      <c r="J798" s="11">
        <v>22.0</v>
      </c>
      <c r="K798" s="13">
        <v>39914.0</v>
      </c>
      <c r="L798" s="11">
        <f t="shared" si="82"/>
        <v>10</v>
      </c>
      <c r="M798" s="11">
        <v>518703.0</v>
      </c>
      <c r="N798" s="11">
        <v>1370.0</v>
      </c>
      <c r="P798" s="11">
        <v>247.0</v>
      </c>
      <c r="Q798" s="15">
        <v>260.667</v>
      </c>
      <c r="R798" s="22">
        <v>1.0</v>
      </c>
      <c r="S798">
        <f t="shared" si="1"/>
        <v>2008</v>
      </c>
      <c r="T798">
        <f t="shared" si="2"/>
        <v>6</v>
      </c>
      <c r="AF798" s="18"/>
      <c r="AG798" s="19"/>
      <c r="AL798" s="18"/>
      <c r="AM798" s="19"/>
    </row>
    <row r="799">
      <c r="A799" s="4" t="s">
        <v>2016</v>
      </c>
      <c r="B799" s="10">
        <v>39600.0</v>
      </c>
      <c r="C799" s="11" t="s">
        <v>159</v>
      </c>
      <c r="D799" s="11" t="s">
        <v>170</v>
      </c>
      <c r="E799" s="11" t="s">
        <v>52</v>
      </c>
      <c r="F799" s="11" t="s">
        <v>53</v>
      </c>
      <c r="G799" s="11" t="s">
        <v>54</v>
      </c>
      <c r="H799" s="11" t="s">
        <v>157</v>
      </c>
      <c r="I799" s="11" t="s">
        <v>2017</v>
      </c>
      <c r="J799" s="11">
        <v>17.0</v>
      </c>
      <c r="K799" s="13">
        <v>41099.0</v>
      </c>
      <c r="L799" s="11"/>
      <c r="M799" s="11">
        <v>572403.0</v>
      </c>
      <c r="N799" s="11">
        <v>13424.0</v>
      </c>
      <c r="O799" s="4" t="s">
        <v>59</v>
      </c>
      <c r="P799" s="11">
        <v>21.0</v>
      </c>
      <c r="Q799" s="15">
        <v>31.333</v>
      </c>
      <c r="R799" s="11">
        <v>0.0</v>
      </c>
      <c r="S799">
        <f t="shared" si="1"/>
        <v>2008</v>
      </c>
      <c r="T799">
        <f t="shared" si="2"/>
        <v>6</v>
      </c>
      <c r="AF799" s="18"/>
      <c r="AG799" s="19"/>
      <c r="AL799" s="18"/>
      <c r="AM799" s="19"/>
    </row>
    <row r="800">
      <c r="A800" s="4" t="s">
        <v>2018</v>
      </c>
      <c r="B800" s="10">
        <v>39596.0</v>
      </c>
      <c r="C800" s="11" t="s">
        <v>97</v>
      </c>
      <c r="D800" s="11" t="s">
        <v>110</v>
      </c>
      <c r="E800" s="14" t="s">
        <v>52</v>
      </c>
      <c r="F800" s="11" t="s">
        <v>53</v>
      </c>
      <c r="G800" s="22" t="s">
        <v>83</v>
      </c>
      <c r="H800" s="14"/>
      <c r="I800" s="14"/>
      <c r="J800" s="11">
        <v>22.0</v>
      </c>
      <c r="K800" s="13">
        <v>40309.0</v>
      </c>
      <c r="L800" s="11">
        <f t="shared" ref="L800:L804" si="83">ROUND(((K800-B800)/365)*12)</f>
        <v>23</v>
      </c>
      <c r="M800" s="11">
        <v>501745.0</v>
      </c>
      <c r="N800" s="11">
        <v>5841.0</v>
      </c>
      <c r="P800" s="11">
        <v>40.0</v>
      </c>
      <c r="Q800" s="15">
        <v>36.333</v>
      </c>
      <c r="R800" s="22">
        <v>0.0</v>
      </c>
      <c r="S800">
        <f t="shared" si="1"/>
        <v>2008</v>
      </c>
      <c r="T800">
        <f t="shared" si="2"/>
        <v>5</v>
      </c>
      <c r="AF800" s="18"/>
      <c r="AG800" s="19"/>
      <c r="AL800" s="18"/>
      <c r="AM800" s="19"/>
    </row>
    <row r="801">
      <c r="A801" s="4" t="s">
        <v>310</v>
      </c>
      <c r="B801" s="10">
        <v>39583.0</v>
      </c>
      <c r="C801" s="11" t="s">
        <v>114</v>
      </c>
      <c r="D801" s="11" t="s">
        <v>51</v>
      </c>
      <c r="E801" s="14" t="s">
        <v>52</v>
      </c>
      <c r="F801" s="11" t="s">
        <v>76</v>
      </c>
      <c r="G801" s="14" t="s">
        <v>54</v>
      </c>
      <c r="H801" s="11" t="s">
        <v>337</v>
      </c>
      <c r="I801" s="11" t="s">
        <v>668</v>
      </c>
      <c r="J801" s="11">
        <v>29.0</v>
      </c>
      <c r="K801" s="13">
        <v>40332.0</v>
      </c>
      <c r="L801" s="11">
        <f t="shared" si="83"/>
        <v>25</v>
      </c>
      <c r="M801" s="11">
        <v>425626.0</v>
      </c>
      <c r="N801" s="11">
        <v>1701.0</v>
      </c>
      <c r="O801" s="4" t="s">
        <v>59</v>
      </c>
      <c r="P801" s="11">
        <v>192.0</v>
      </c>
      <c r="Q801" s="15">
        <v>718.0</v>
      </c>
      <c r="R801" s="22">
        <v>1.0</v>
      </c>
      <c r="S801">
        <f t="shared" si="1"/>
        <v>2008</v>
      </c>
      <c r="T801">
        <f t="shared" si="2"/>
        <v>5</v>
      </c>
      <c r="U801" s="4"/>
      <c r="V801" s="4"/>
      <c r="W801" s="4"/>
      <c r="X801" s="4"/>
      <c r="Y801" s="4"/>
      <c r="Z801" s="4"/>
      <c r="AA801" s="4"/>
      <c r="AB801" s="4"/>
      <c r="AC801" s="4"/>
      <c r="AD801" s="4">
        <v>29.0</v>
      </c>
      <c r="AE801" s="4">
        <v>25.0</v>
      </c>
      <c r="AF801" s="54">
        <v>150.0</v>
      </c>
      <c r="AG801" s="55">
        <v>0.117</v>
      </c>
      <c r="AH801" s="4">
        <v>117.0</v>
      </c>
      <c r="AI801" s="4">
        <v>98.0</v>
      </c>
      <c r="AJ801" s="4">
        <v>24.0</v>
      </c>
      <c r="AK801" s="4">
        <v>9.0</v>
      </c>
      <c r="AL801" s="54">
        <v>66.0</v>
      </c>
      <c r="AM801" s="55">
        <v>0.119</v>
      </c>
      <c r="AN801" s="4">
        <v>98.0</v>
      </c>
      <c r="AO801" s="4">
        <v>103.0</v>
      </c>
    </row>
    <row r="802">
      <c r="A802" s="4" t="s">
        <v>707</v>
      </c>
      <c r="B802" s="10">
        <v>39576.0</v>
      </c>
      <c r="C802" s="11" t="s">
        <v>142</v>
      </c>
      <c r="D802" s="11" t="s">
        <v>51</v>
      </c>
      <c r="E802" s="14" t="s">
        <v>52</v>
      </c>
      <c r="F802" s="11" t="s">
        <v>53</v>
      </c>
      <c r="G802" s="22" t="s">
        <v>672</v>
      </c>
      <c r="H802" s="14"/>
      <c r="I802" s="14"/>
      <c r="J802" s="11">
        <v>29.0</v>
      </c>
      <c r="K802" s="13">
        <v>39911.0</v>
      </c>
      <c r="L802" s="11">
        <f t="shared" si="83"/>
        <v>11</v>
      </c>
      <c r="M802" s="11">
        <v>493247.0</v>
      </c>
      <c r="N802" s="11">
        <v>4891.0</v>
      </c>
      <c r="O802" s="4" t="s">
        <v>59</v>
      </c>
      <c r="P802" s="11">
        <v>207.0</v>
      </c>
      <c r="Q802" s="32">
        <v>165.33299999999997</v>
      </c>
      <c r="R802" s="22">
        <v>0.0</v>
      </c>
      <c r="S802">
        <f t="shared" si="1"/>
        <v>2008</v>
      </c>
      <c r="T802">
        <f t="shared" si="2"/>
        <v>5</v>
      </c>
      <c r="AF802" s="18"/>
      <c r="AG802" s="19"/>
      <c r="AL802" s="18"/>
      <c r="AM802" s="19"/>
    </row>
    <row r="803">
      <c r="A803" s="4" t="s">
        <v>2020</v>
      </c>
      <c r="B803" s="10">
        <v>39569.0</v>
      </c>
      <c r="C803" s="11" t="s">
        <v>138</v>
      </c>
      <c r="D803" s="11" t="s">
        <v>151</v>
      </c>
      <c r="E803" s="14" t="s">
        <v>52</v>
      </c>
      <c r="F803" s="11" t="s">
        <v>53</v>
      </c>
      <c r="G803" s="14" t="s">
        <v>54</v>
      </c>
      <c r="H803" s="11" t="s">
        <v>260</v>
      </c>
      <c r="I803" s="11" t="s">
        <v>2021</v>
      </c>
      <c r="J803" s="11">
        <v>19.0</v>
      </c>
      <c r="K803" s="13">
        <v>39988.0</v>
      </c>
      <c r="L803" s="11">
        <f t="shared" si="83"/>
        <v>14</v>
      </c>
      <c r="M803" s="11">
        <v>572888.0</v>
      </c>
      <c r="N803" s="11">
        <v>10756.0</v>
      </c>
      <c r="P803" s="11">
        <v>83.0</v>
      </c>
      <c r="Q803" s="15">
        <v>222.667</v>
      </c>
      <c r="R803" s="22">
        <v>1.0</v>
      </c>
      <c r="S803">
        <f t="shared" si="1"/>
        <v>2008</v>
      </c>
      <c r="T803">
        <f t="shared" si="2"/>
        <v>5</v>
      </c>
      <c r="AF803" s="18"/>
      <c r="AG803" s="19"/>
      <c r="AL803" s="18"/>
      <c r="AM803" s="19"/>
    </row>
    <row r="804">
      <c r="A804" s="4" t="s">
        <v>733</v>
      </c>
      <c r="B804" s="10">
        <v>39569.0</v>
      </c>
      <c r="C804" s="11" t="s">
        <v>103</v>
      </c>
      <c r="D804" s="11" t="s">
        <v>82</v>
      </c>
      <c r="E804" s="14" t="s">
        <v>52</v>
      </c>
      <c r="F804" s="11" t="s">
        <v>53</v>
      </c>
      <c r="G804" s="22" t="s">
        <v>312</v>
      </c>
      <c r="H804" s="14"/>
      <c r="I804" s="14"/>
      <c r="J804" s="11">
        <v>24.0</v>
      </c>
      <c r="K804" s="13">
        <v>40024.0</v>
      </c>
      <c r="L804" s="11">
        <f t="shared" si="83"/>
        <v>15</v>
      </c>
      <c r="M804" s="11">
        <v>455949.0</v>
      </c>
      <c r="N804" s="11">
        <v>4771.0</v>
      </c>
      <c r="P804" s="11">
        <v>6.0</v>
      </c>
      <c r="Q804" s="15">
        <v>6.667</v>
      </c>
      <c r="R804" s="22">
        <v>0.0</v>
      </c>
      <c r="S804">
        <f t="shared" si="1"/>
        <v>2008</v>
      </c>
      <c r="T804">
        <f t="shared" si="2"/>
        <v>5</v>
      </c>
      <c r="AF804" s="18"/>
      <c r="AG804" s="19"/>
      <c r="AL804" s="18"/>
      <c r="AM804" s="19"/>
    </row>
    <row r="805">
      <c r="A805" s="4" t="s">
        <v>2022</v>
      </c>
      <c r="B805" s="10">
        <v>39568.0</v>
      </c>
      <c r="C805" s="11" t="s">
        <v>331</v>
      </c>
      <c r="D805" s="11" t="s">
        <v>151</v>
      </c>
      <c r="E805" s="11" t="s">
        <v>52</v>
      </c>
      <c r="F805" s="11" t="s">
        <v>53</v>
      </c>
      <c r="G805" s="11" t="s">
        <v>54</v>
      </c>
      <c r="H805" s="11" t="s">
        <v>157</v>
      </c>
      <c r="I805" s="11" t="s">
        <v>643</v>
      </c>
      <c r="J805" s="11">
        <v>21.0</v>
      </c>
      <c r="K805" s="13">
        <v>41156.0</v>
      </c>
      <c r="L805" s="11"/>
      <c r="M805" s="11">
        <v>573109.0</v>
      </c>
      <c r="N805" s="11">
        <v>8350.0</v>
      </c>
      <c r="P805" s="11">
        <v>285.0</v>
      </c>
      <c r="Q805" s="15">
        <v>287.667</v>
      </c>
      <c r="R805" s="22">
        <v>1.0</v>
      </c>
      <c r="S805">
        <f t="shared" si="1"/>
        <v>2008</v>
      </c>
      <c r="T805">
        <f t="shared" si="2"/>
        <v>4</v>
      </c>
      <c r="AF805" s="18"/>
      <c r="AG805" s="19"/>
      <c r="AL805" s="18"/>
      <c r="AM805" s="19"/>
    </row>
    <row r="806">
      <c r="A806" s="4" t="s">
        <v>2023</v>
      </c>
      <c r="B806" s="10">
        <v>39567.0</v>
      </c>
      <c r="C806" s="11" t="s">
        <v>133</v>
      </c>
      <c r="D806" s="11" t="s">
        <v>124</v>
      </c>
      <c r="E806" s="14" t="s">
        <v>52</v>
      </c>
      <c r="F806" s="11" t="s">
        <v>76</v>
      </c>
      <c r="G806" s="14" t="s">
        <v>54</v>
      </c>
      <c r="H806" s="11" t="s">
        <v>316</v>
      </c>
      <c r="I806" s="11" t="s">
        <v>316</v>
      </c>
      <c r="J806" s="11">
        <v>22.0</v>
      </c>
      <c r="K806" s="13">
        <v>39970.0</v>
      </c>
      <c r="L806" s="11">
        <f>ROUND(((K806-B806)/365)*12)</f>
        <v>13</v>
      </c>
      <c r="M806" s="11">
        <v>444935.0</v>
      </c>
      <c r="N806" s="11">
        <v>1351.0</v>
      </c>
      <c r="P806" s="11">
        <v>143.0</v>
      </c>
      <c r="Q806" s="15">
        <v>118.333</v>
      </c>
      <c r="R806" s="11">
        <v>0.0</v>
      </c>
      <c r="S806">
        <f t="shared" si="1"/>
        <v>2008</v>
      </c>
      <c r="T806">
        <f t="shared" si="2"/>
        <v>4</v>
      </c>
      <c r="AF806" s="18"/>
      <c r="AG806" s="19"/>
      <c r="AL806" s="18"/>
      <c r="AM806" s="19"/>
    </row>
    <row r="807">
      <c r="A807" s="4" t="s">
        <v>2025</v>
      </c>
      <c r="B807" s="10">
        <v>39550.0</v>
      </c>
      <c r="C807" s="11" t="s">
        <v>159</v>
      </c>
      <c r="D807" s="11" t="s">
        <v>51</v>
      </c>
      <c r="E807" s="14" t="s">
        <v>52</v>
      </c>
      <c r="F807" s="11" t="s">
        <v>76</v>
      </c>
      <c r="G807" s="14" t="s">
        <v>54</v>
      </c>
      <c r="H807" s="11" t="s">
        <v>99</v>
      </c>
      <c r="I807" s="11"/>
      <c r="J807" s="11">
        <v>25.0</v>
      </c>
      <c r="K807" s="14"/>
      <c r="L807" s="14"/>
      <c r="M807" s="11">
        <v>434680.0</v>
      </c>
      <c r="N807" s="11">
        <v>3475.0</v>
      </c>
      <c r="O807" s="4" t="s">
        <v>2026</v>
      </c>
      <c r="P807" s="11">
        <v>0.0</v>
      </c>
      <c r="Q807" s="32">
        <v>0.0</v>
      </c>
      <c r="R807" s="22">
        <v>0.0</v>
      </c>
      <c r="S807">
        <f t="shared" si="1"/>
        <v>2008</v>
      </c>
      <c r="T807">
        <f t="shared" si="2"/>
        <v>4</v>
      </c>
      <c r="AF807" s="18"/>
      <c r="AG807" s="19"/>
      <c r="AL807" s="18"/>
      <c r="AM807" s="19"/>
    </row>
    <row r="808">
      <c r="A808" s="4" t="s">
        <v>2027</v>
      </c>
      <c r="B808" s="10">
        <v>39545.0</v>
      </c>
      <c r="C808" s="11" t="s">
        <v>259</v>
      </c>
      <c r="D808" s="11" t="s">
        <v>75</v>
      </c>
      <c r="E808" s="14" t="s">
        <v>52</v>
      </c>
      <c r="F808" s="11" t="s">
        <v>76</v>
      </c>
      <c r="G808" s="14" t="s">
        <v>54</v>
      </c>
      <c r="H808" s="11" t="s">
        <v>316</v>
      </c>
      <c r="I808" s="11"/>
      <c r="J808" s="11">
        <v>25.0</v>
      </c>
      <c r="K808" s="13">
        <v>40640.0</v>
      </c>
      <c r="L808" s="11">
        <f t="shared" ref="L808:L809" si="84">ROUND(((K808-B808)/365)*12)</f>
        <v>36</v>
      </c>
      <c r="M808" s="11">
        <v>434878.0</v>
      </c>
      <c r="N808" s="11">
        <v>3706.0</v>
      </c>
      <c r="P808" s="11">
        <v>0.0</v>
      </c>
      <c r="Q808" s="15">
        <v>0.0</v>
      </c>
      <c r="R808" s="22">
        <v>0.0</v>
      </c>
      <c r="S808">
        <f t="shared" si="1"/>
        <v>2008</v>
      </c>
      <c r="T808">
        <f t="shared" si="2"/>
        <v>4</v>
      </c>
      <c r="AF808" s="18"/>
      <c r="AG808" s="19"/>
      <c r="AL808" s="18"/>
      <c r="AM808" s="19"/>
    </row>
    <row r="809">
      <c r="A809" s="4" t="s">
        <v>2028</v>
      </c>
      <c r="B809" s="10">
        <v>39539.0</v>
      </c>
      <c r="C809" s="11" t="s">
        <v>123</v>
      </c>
      <c r="D809" s="11" t="s">
        <v>82</v>
      </c>
      <c r="E809" s="11" t="s">
        <v>52</v>
      </c>
      <c r="F809" s="11" t="s">
        <v>53</v>
      </c>
      <c r="G809" s="11" t="s">
        <v>54</v>
      </c>
      <c r="H809" s="11" t="s">
        <v>204</v>
      </c>
      <c r="I809" s="11"/>
      <c r="J809" s="11">
        <v>22.0</v>
      </c>
      <c r="K809" s="13">
        <v>39987.0</v>
      </c>
      <c r="L809" s="11">
        <f t="shared" si="84"/>
        <v>15</v>
      </c>
      <c r="M809" s="11">
        <v>448252.0</v>
      </c>
      <c r="N809" s="11">
        <v>7513.0</v>
      </c>
      <c r="P809" s="11">
        <v>24.0</v>
      </c>
      <c r="Q809" s="15">
        <v>32.333</v>
      </c>
      <c r="R809" s="22">
        <v>0.0</v>
      </c>
      <c r="S809">
        <f t="shared" si="1"/>
        <v>2008</v>
      </c>
      <c r="T809">
        <f t="shared" si="2"/>
        <v>4</v>
      </c>
      <c r="AF809" s="18"/>
      <c r="AG809" s="19"/>
      <c r="AL809" s="18"/>
      <c r="AM809" s="19"/>
    </row>
    <row r="810">
      <c r="A810" s="4" t="s">
        <v>1371</v>
      </c>
      <c r="B810" s="10">
        <v>39539.0</v>
      </c>
      <c r="C810" s="11" t="s">
        <v>270</v>
      </c>
      <c r="D810" s="11" t="s">
        <v>151</v>
      </c>
      <c r="E810" s="14" t="s">
        <v>52</v>
      </c>
      <c r="F810" s="11" t="s">
        <v>53</v>
      </c>
      <c r="G810" s="14" t="s">
        <v>54</v>
      </c>
      <c r="H810" s="11" t="s">
        <v>412</v>
      </c>
      <c r="I810" s="11" t="s">
        <v>563</v>
      </c>
      <c r="J810" s="11">
        <v>18.0</v>
      </c>
      <c r="K810" s="13">
        <v>41732.0</v>
      </c>
      <c r="L810" s="14"/>
      <c r="M810" s="11">
        <v>605143.0</v>
      </c>
      <c r="N810" s="11" t="s">
        <v>1373</v>
      </c>
      <c r="P810" s="11">
        <v>0.0</v>
      </c>
      <c r="Q810" s="15">
        <v>0.0</v>
      </c>
      <c r="R810" s="22">
        <v>1.0</v>
      </c>
      <c r="S810">
        <f t="shared" si="1"/>
        <v>2008</v>
      </c>
      <c r="T810">
        <f t="shared" si="2"/>
        <v>4</v>
      </c>
      <c r="AF810" s="18"/>
      <c r="AG810" s="19"/>
      <c r="AL810" s="18"/>
      <c r="AM810" s="19"/>
    </row>
    <row r="811">
      <c r="A811" s="4" t="s">
        <v>2029</v>
      </c>
      <c r="B811" s="10">
        <v>39535.0</v>
      </c>
      <c r="C811" s="11" t="s">
        <v>103</v>
      </c>
      <c r="D811" s="11" t="s">
        <v>51</v>
      </c>
      <c r="E811" s="14" t="s">
        <v>52</v>
      </c>
      <c r="F811" s="11" t="s">
        <v>76</v>
      </c>
      <c r="G811" s="14" t="s">
        <v>54</v>
      </c>
      <c r="H811" s="11" t="s">
        <v>302</v>
      </c>
      <c r="I811" s="11" t="s">
        <v>2030</v>
      </c>
      <c r="J811" s="11">
        <v>25.0</v>
      </c>
      <c r="K811" s="13">
        <v>40352.0</v>
      </c>
      <c r="L811" s="11">
        <f>ROUND(((K811-B811)/365)*12)</f>
        <v>27</v>
      </c>
      <c r="M811" s="11">
        <v>489448.0</v>
      </c>
      <c r="N811" s="11">
        <v>9683.0</v>
      </c>
      <c r="O811" s="4" t="s">
        <v>59</v>
      </c>
      <c r="P811" s="11">
        <v>64.0</v>
      </c>
      <c r="Q811" s="32">
        <v>54.0</v>
      </c>
      <c r="R811" s="22">
        <v>0.0</v>
      </c>
      <c r="S811">
        <f t="shared" si="1"/>
        <v>2008</v>
      </c>
      <c r="T811">
        <f t="shared" si="2"/>
        <v>3</v>
      </c>
      <c r="AF811" s="18"/>
      <c r="AG811" s="19"/>
      <c r="AL811" s="18"/>
      <c r="AM811" s="19"/>
    </row>
    <row r="812">
      <c r="A812" s="4" t="s">
        <v>2032</v>
      </c>
      <c r="B812" s="10">
        <v>39448.0</v>
      </c>
      <c r="C812" s="11" t="s">
        <v>239</v>
      </c>
      <c r="D812" s="11" t="s">
        <v>51</v>
      </c>
      <c r="E812" s="14" t="s">
        <v>52</v>
      </c>
      <c r="F812" s="11" t="s">
        <v>76</v>
      </c>
      <c r="G812" s="14" t="s">
        <v>54</v>
      </c>
      <c r="H812" s="11" t="s">
        <v>92</v>
      </c>
      <c r="I812" s="11" t="s">
        <v>550</v>
      </c>
      <c r="J812" s="11">
        <v>27.0</v>
      </c>
      <c r="K812" s="14"/>
      <c r="L812" s="14"/>
      <c r="M812" s="11">
        <v>434642.0</v>
      </c>
      <c r="N812" s="11">
        <v>4655.0</v>
      </c>
      <c r="P812" s="11">
        <v>0.0</v>
      </c>
      <c r="Q812" s="32">
        <v>0.0</v>
      </c>
      <c r="R812" s="22">
        <v>0.0</v>
      </c>
      <c r="S812">
        <f t="shared" si="1"/>
        <v>2008</v>
      </c>
      <c r="T812">
        <f t="shared" si="2"/>
        <v>1</v>
      </c>
      <c r="AF812" s="18"/>
      <c r="AG812" s="19"/>
      <c r="AL812" s="18"/>
      <c r="AM812" s="19"/>
    </row>
    <row r="813">
      <c r="A813" s="4" t="s">
        <v>592</v>
      </c>
      <c r="B813" s="10">
        <v>39448.0</v>
      </c>
      <c r="C813" s="11" t="s">
        <v>96</v>
      </c>
      <c r="D813" s="11" t="s">
        <v>82</v>
      </c>
      <c r="E813" s="22" t="s">
        <v>264</v>
      </c>
      <c r="F813" s="11" t="s">
        <v>53</v>
      </c>
      <c r="G813" s="14" t="s">
        <v>54</v>
      </c>
      <c r="H813" s="11" t="s">
        <v>157</v>
      </c>
      <c r="I813" s="11" t="s">
        <v>1350</v>
      </c>
      <c r="J813" s="11">
        <v>25.0</v>
      </c>
      <c r="K813" s="13">
        <v>40640.0</v>
      </c>
      <c r="L813" s="14"/>
      <c r="M813" s="11">
        <v>446404.0</v>
      </c>
      <c r="N813" s="11" t="s">
        <v>1941</v>
      </c>
      <c r="P813" s="11">
        <v>0.0</v>
      </c>
      <c r="Q813" s="15">
        <v>0.0</v>
      </c>
      <c r="R813" s="22">
        <v>0.0</v>
      </c>
      <c r="S813">
        <f t="shared" si="1"/>
        <v>2008</v>
      </c>
      <c r="T813">
        <f t="shared" si="2"/>
        <v>1</v>
      </c>
      <c r="AF813" s="18"/>
      <c r="AG813" s="19"/>
      <c r="AL813" s="18"/>
      <c r="AM813" s="19"/>
    </row>
    <row r="814">
      <c r="A814" s="4" t="s">
        <v>2033</v>
      </c>
      <c r="B814" s="10">
        <v>39448.0</v>
      </c>
      <c r="C814" s="11" t="s">
        <v>96</v>
      </c>
      <c r="D814" s="11" t="s">
        <v>91</v>
      </c>
      <c r="E814" s="14" t="s">
        <v>52</v>
      </c>
      <c r="F814" s="11" t="s">
        <v>53</v>
      </c>
      <c r="G814" s="22" t="s">
        <v>83</v>
      </c>
      <c r="H814" s="14"/>
      <c r="I814" s="14"/>
      <c r="J814" s="11">
        <v>21.0</v>
      </c>
      <c r="K814" s="13">
        <v>39939.0</v>
      </c>
      <c r="L814" s="14"/>
      <c r="M814" s="11">
        <v>466458.0</v>
      </c>
      <c r="N814" s="11" t="s">
        <v>2034</v>
      </c>
      <c r="P814" s="11">
        <v>0.0</v>
      </c>
      <c r="Q814" s="15">
        <v>0.0</v>
      </c>
      <c r="R814" s="22">
        <v>0.0</v>
      </c>
      <c r="S814">
        <f t="shared" si="1"/>
        <v>2008</v>
      </c>
      <c r="T814">
        <f t="shared" si="2"/>
        <v>1</v>
      </c>
      <c r="AF814" s="18"/>
      <c r="AG814" s="19"/>
      <c r="AL814" s="18"/>
      <c r="AM814" s="19"/>
    </row>
    <row r="815">
      <c r="A815" s="4" t="s">
        <v>2035</v>
      </c>
      <c r="B815" s="10">
        <v>39448.0</v>
      </c>
      <c r="C815" s="11" t="s">
        <v>209</v>
      </c>
      <c r="D815" s="11" t="s">
        <v>170</v>
      </c>
      <c r="E815" s="14" t="s">
        <v>52</v>
      </c>
      <c r="F815" s="11" t="s">
        <v>53</v>
      </c>
      <c r="G815" s="14" t="s">
        <v>54</v>
      </c>
      <c r="H815" s="11" t="s">
        <v>218</v>
      </c>
      <c r="I815" s="11" t="s">
        <v>2037</v>
      </c>
      <c r="J815" s="11">
        <v>18.0</v>
      </c>
      <c r="K815" s="13">
        <v>40278.0</v>
      </c>
      <c r="L815" s="14"/>
      <c r="M815" s="11">
        <v>571770.0</v>
      </c>
      <c r="N815" s="11" t="s">
        <v>2038</v>
      </c>
      <c r="P815" s="11">
        <v>0.0</v>
      </c>
      <c r="Q815" s="15">
        <v>0.0</v>
      </c>
      <c r="R815" s="22">
        <v>0.0</v>
      </c>
      <c r="S815">
        <f t="shared" si="1"/>
        <v>2008</v>
      </c>
      <c r="T815">
        <f t="shared" si="2"/>
        <v>1</v>
      </c>
      <c r="AF815" s="18"/>
      <c r="AG815" s="19"/>
      <c r="AL815" s="18"/>
      <c r="AM815" s="19"/>
    </row>
    <row r="816">
      <c r="A816" s="4" t="s">
        <v>2039</v>
      </c>
      <c r="B816" s="10">
        <v>39448.0</v>
      </c>
      <c r="C816" s="11" t="s">
        <v>133</v>
      </c>
      <c r="D816" s="11" t="s">
        <v>75</v>
      </c>
      <c r="E816" s="14" t="s">
        <v>52</v>
      </c>
      <c r="F816" s="11" t="s">
        <v>53</v>
      </c>
      <c r="G816" s="14" t="s">
        <v>54</v>
      </c>
      <c r="H816" s="11" t="s">
        <v>92</v>
      </c>
      <c r="I816" s="11" t="s">
        <v>2040</v>
      </c>
      <c r="J816" s="11">
        <v>29.0</v>
      </c>
      <c r="K816" s="14"/>
      <c r="L816" s="14"/>
      <c r="M816" s="11">
        <v>473137.0</v>
      </c>
      <c r="N816" s="11">
        <v>3508.0</v>
      </c>
      <c r="P816" s="11">
        <v>0.0</v>
      </c>
      <c r="Q816" s="15">
        <v>0.0</v>
      </c>
      <c r="R816" s="22">
        <v>0.0</v>
      </c>
      <c r="S816">
        <f t="shared" si="1"/>
        <v>2008</v>
      </c>
      <c r="T816">
        <f t="shared" si="2"/>
        <v>1</v>
      </c>
      <c r="AF816" s="18"/>
      <c r="AG816" s="19"/>
      <c r="AL816" s="18"/>
      <c r="AM816" s="19"/>
    </row>
    <row r="817">
      <c r="A817" s="4" t="s">
        <v>2041</v>
      </c>
      <c r="B817" s="10">
        <v>39448.0</v>
      </c>
      <c r="C817" s="11" t="s">
        <v>133</v>
      </c>
      <c r="D817" s="11" t="s">
        <v>82</v>
      </c>
      <c r="E817" s="14" t="s">
        <v>52</v>
      </c>
      <c r="F817" s="11" t="s">
        <v>76</v>
      </c>
      <c r="G817" s="14" t="s">
        <v>54</v>
      </c>
      <c r="H817" s="11" t="s">
        <v>244</v>
      </c>
      <c r="I817" s="11" t="s">
        <v>371</v>
      </c>
      <c r="J817" s="11">
        <v>26.0</v>
      </c>
      <c r="K817" s="13">
        <v>40000.0</v>
      </c>
      <c r="L817" s="14"/>
      <c r="M817" s="11">
        <v>459415.0</v>
      </c>
      <c r="N817" s="11">
        <v>7542.0</v>
      </c>
      <c r="P817" s="11">
        <v>17.0</v>
      </c>
      <c r="Q817" s="15">
        <v>13.333</v>
      </c>
      <c r="R817" s="22">
        <v>0.0</v>
      </c>
      <c r="S817">
        <f t="shared" si="1"/>
        <v>2008</v>
      </c>
      <c r="T817">
        <f t="shared" si="2"/>
        <v>1</v>
      </c>
      <c r="AF817" s="18"/>
      <c r="AG817" s="19"/>
      <c r="AL817" s="18"/>
      <c r="AM817" s="19"/>
    </row>
    <row r="818">
      <c r="A818" s="4" t="s">
        <v>2042</v>
      </c>
      <c r="B818" s="10">
        <v>39448.0</v>
      </c>
      <c r="C818" s="11" t="s">
        <v>119</v>
      </c>
      <c r="D818" s="11" t="s">
        <v>124</v>
      </c>
      <c r="E818" s="14" t="s">
        <v>52</v>
      </c>
      <c r="F818" s="11" t="s">
        <v>76</v>
      </c>
      <c r="G818" s="14" t="s">
        <v>54</v>
      </c>
      <c r="H818" s="11" t="s">
        <v>316</v>
      </c>
      <c r="I818" s="11" t="s">
        <v>1316</v>
      </c>
      <c r="J818" s="11">
        <v>23.0</v>
      </c>
      <c r="K818" s="13">
        <v>39913.0</v>
      </c>
      <c r="L818" s="14"/>
      <c r="M818" s="11">
        <v>453365.0</v>
      </c>
      <c r="N818" s="11" t="s">
        <v>2043</v>
      </c>
      <c r="P818" s="11">
        <v>0.0</v>
      </c>
      <c r="Q818" s="15">
        <v>0.0</v>
      </c>
      <c r="R818" s="22">
        <v>0.0</v>
      </c>
      <c r="S818">
        <f t="shared" si="1"/>
        <v>2008</v>
      </c>
      <c r="T818">
        <f t="shared" si="2"/>
        <v>1</v>
      </c>
      <c r="AF818" s="18"/>
      <c r="AG818" s="19"/>
      <c r="AL818" s="18"/>
      <c r="AM818" s="19"/>
    </row>
    <row r="819">
      <c r="A819" s="4" t="s">
        <v>2044</v>
      </c>
      <c r="B819" s="10">
        <v>39448.0</v>
      </c>
      <c r="C819" s="11" t="s">
        <v>169</v>
      </c>
      <c r="D819" s="11" t="s">
        <v>151</v>
      </c>
      <c r="E819" s="11" t="s">
        <v>52</v>
      </c>
      <c r="F819" s="11" t="s">
        <v>53</v>
      </c>
      <c r="G819" s="11" t="s">
        <v>54</v>
      </c>
      <c r="H819" s="11" t="s">
        <v>260</v>
      </c>
      <c r="I819" s="11" t="s">
        <v>2045</v>
      </c>
      <c r="J819" s="11">
        <v>19.0</v>
      </c>
      <c r="K819" s="13">
        <v>40712.0</v>
      </c>
      <c r="L819" s="14"/>
      <c r="M819" s="11">
        <v>592102.0</v>
      </c>
      <c r="N819" s="11">
        <v>12183.0</v>
      </c>
      <c r="P819" s="11">
        <v>317.0</v>
      </c>
      <c r="Q819" s="15">
        <v>306.333</v>
      </c>
      <c r="R819" s="22">
        <v>1.0</v>
      </c>
      <c r="S819">
        <f t="shared" si="1"/>
        <v>2008</v>
      </c>
      <c r="T819">
        <f t="shared" si="2"/>
        <v>1</v>
      </c>
      <c r="AF819" s="18"/>
      <c r="AG819" s="19"/>
      <c r="AL819" s="18"/>
      <c r="AM819" s="19"/>
    </row>
    <row r="820">
      <c r="A820" s="4" t="s">
        <v>2046</v>
      </c>
      <c r="B820" s="10">
        <v>39448.0</v>
      </c>
      <c r="C820" s="11" t="s">
        <v>229</v>
      </c>
      <c r="D820" s="11" t="s">
        <v>124</v>
      </c>
      <c r="E820" s="11" t="s">
        <v>52</v>
      </c>
      <c r="F820" s="11" t="s">
        <v>53</v>
      </c>
      <c r="G820" s="11" t="s">
        <v>54</v>
      </c>
      <c r="H820" s="11" t="s">
        <v>416</v>
      </c>
      <c r="I820" s="11" t="s">
        <v>1656</v>
      </c>
      <c r="J820" s="11">
        <v>23.0</v>
      </c>
      <c r="K820" s="13">
        <v>40277.0</v>
      </c>
      <c r="L820" s="14"/>
      <c r="M820" s="11">
        <v>458115.0</v>
      </c>
      <c r="N820" s="11" t="s">
        <v>2047</v>
      </c>
      <c r="O820" s="4" t="s">
        <v>704</v>
      </c>
      <c r="P820" s="11">
        <v>0.0</v>
      </c>
      <c r="Q820" s="15">
        <v>0.0</v>
      </c>
      <c r="R820" s="22">
        <v>0.0</v>
      </c>
      <c r="S820">
        <f t="shared" si="1"/>
        <v>2008</v>
      </c>
      <c r="T820">
        <f t="shared" si="2"/>
        <v>1</v>
      </c>
      <c r="AF820" s="18"/>
      <c r="AG820" s="19"/>
      <c r="AL820" s="18"/>
      <c r="AM820" s="19"/>
    </row>
    <row r="821">
      <c r="A821" s="4" t="s">
        <v>2048</v>
      </c>
      <c r="B821" s="10">
        <v>39448.0</v>
      </c>
      <c r="C821" s="11" t="s">
        <v>229</v>
      </c>
      <c r="D821" s="11" t="s">
        <v>151</v>
      </c>
      <c r="E821" s="14" t="s">
        <v>52</v>
      </c>
      <c r="F821" s="11" t="s">
        <v>76</v>
      </c>
      <c r="G821" s="14" t="s">
        <v>54</v>
      </c>
      <c r="H821" s="11" t="s">
        <v>260</v>
      </c>
      <c r="I821" s="11" t="s">
        <v>260</v>
      </c>
      <c r="J821" s="11">
        <v>20.0</v>
      </c>
      <c r="K821" s="13">
        <v>40374.0</v>
      </c>
      <c r="L821" s="14"/>
      <c r="M821" s="11">
        <v>502087.0</v>
      </c>
      <c r="N821" s="11">
        <v>11240.0</v>
      </c>
      <c r="P821" s="11">
        <v>58.0</v>
      </c>
      <c r="Q821" s="15">
        <v>55.0</v>
      </c>
      <c r="R821" s="22">
        <v>1.0</v>
      </c>
      <c r="S821">
        <f t="shared" si="1"/>
        <v>2008</v>
      </c>
      <c r="T821">
        <f t="shared" si="2"/>
        <v>1</v>
      </c>
      <c r="AF821" s="18"/>
      <c r="AG821" s="19"/>
      <c r="AL821" s="18"/>
      <c r="AM821" s="19"/>
    </row>
    <row r="822">
      <c r="A822" s="4" t="s">
        <v>2049</v>
      </c>
      <c r="B822" s="10">
        <v>39448.0</v>
      </c>
      <c r="C822" s="11" t="s">
        <v>103</v>
      </c>
      <c r="D822" s="11" t="s">
        <v>151</v>
      </c>
      <c r="E822" s="14" t="s">
        <v>52</v>
      </c>
      <c r="F822" s="11" t="s">
        <v>53</v>
      </c>
      <c r="G822" s="14" t="s">
        <v>54</v>
      </c>
      <c r="H822" s="11" t="s">
        <v>77</v>
      </c>
      <c r="I822" s="11" t="s">
        <v>837</v>
      </c>
      <c r="J822" s="11">
        <v>20.0</v>
      </c>
      <c r="K822" s="13">
        <v>40294.0</v>
      </c>
      <c r="L822" s="14"/>
      <c r="M822" s="11">
        <v>519283.0</v>
      </c>
      <c r="N822" s="11" t="s">
        <v>2050</v>
      </c>
      <c r="P822" s="11">
        <v>0.0</v>
      </c>
      <c r="Q822" s="15">
        <v>0.0</v>
      </c>
      <c r="R822" s="22">
        <v>0.0</v>
      </c>
      <c r="S822">
        <f t="shared" si="1"/>
        <v>2008</v>
      </c>
      <c r="T822">
        <f t="shared" si="2"/>
        <v>1</v>
      </c>
      <c r="AF822" s="18"/>
      <c r="AG822" s="19"/>
      <c r="AL822" s="18"/>
      <c r="AM822" s="19"/>
    </row>
    <row r="823">
      <c r="A823" s="4" t="s">
        <v>2051</v>
      </c>
      <c r="B823" s="10">
        <v>39448.0</v>
      </c>
      <c r="C823" s="11" t="s">
        <v>49</v>
      </c>
      <c r="D823" s="11" t="s">
        <v>124</v>
      </c>
      <c r="E823" s="14" t="s">
        <v>52</v>
      </c>
      <c r="F823" s="11" t="s">
        <v>53</v>
      </c>
      <c r="G823" s="22" t="s">
        <v>672</v>
      </c>
      <c r="H823" s="14"/>
      <c r="I823" s="14"/>
      <c r="J823" s="11">
        <v>21.0</v>
      </c>
      <c r="K823" s="13">
        <v>40280.0</v>
      </c>
      <c r="L823" s="14"/>
      <c r="M823" s="11">
        <v>444485.0</v>
      </c>
      <c r="N823" s="11" t="s">
        <v>2052</v>
      </c>
      <c r="P823" s="11">
        <v>0.0</v>
      </c>
      <c r="Q823" s="15">
        <v>0.0</v>
      </c>
      <c r="R823" s="22">
        <v>0.0</v>
      </c>
      <c r="S823">
        <f t="shared" si="1"/>
        <v>2008</v>
      </c>
      <c r="T823">
        <f t="shared" si="2"/>
        <v>1</v>
      </c>
      <c r="AF823" s="18"/>
      <c r="AG823" s="19"/>
      <c r="AL823" s="18"/>
      <c r="AM823" s="19"/>
    </row>
    <row r="824">
      <c r="A824" s="4" t="s">
        <v>2053</v>
      </c>
      <c r="B824" s="10">
        <v>39448.0</v>
      </c>
      <c r="C824" s="11" t="s">
        <v>90</v>
      </c>
      <c r="D824" s="11" t="s">
        <v>151</v>
      </c>
      <c r="E824" s="11" t="s">
        <v>160</v>
      </c>
      <c r="F824" s="11" t="s">
        <v>53</v>
      </c>
      <c r="G824" s="14" t="s">
        <v>54</v>
      </c>
      <c r="H824" s="11" t="s">
        <v>211</v>
      </c>
      <c r="I824" s="11" t="s">
        <v>211</v>
      </c>
      <c r="J824" s="11">
        <v>20.0</v>
      </c>
      <c r="K824" s="13">
        <v>40276.0</v>
      </c>
      <c r="L824" s="14"/>
      <c r="M824" s="11">
        <v>554429.0</v>
      </c>
      <c r="N824" s="11">
        <v>10099.0</v>
      </c>
      <c r="P824" s="11">
        <v>635.0</v>
      </c>
      <c r="Q824" s="15">
        <v>2347.0</v>
      </c>
      <c r="R824" s="22">
        <v>1.0</v>
      </c>
      <c r="S824">
        <f t="shared" si="1"/>
        <v>2008</v>
      </c>
      <c r="T824">
        <f t="shared" si="2"/>
        <v>1</v>
      </c>
      <c r="AF824" s="18"/>
      <c r="AG824" s="19"/>
      <c r="AL824" s="18"/>
      <c r="AM824" s="19"/>
    </row>
    <row r="825">
      <c r="A825" s="4" t="s">
        <v>2054</v>
      </c>
      <c r="B825" s="10">
        <v>39448.0</v>
      </c>
      <c r="C825" s="11" t="s">
        <v>270</v>
      </c>
      <c r="D825" s="11" t="s">
        <v>82</v>
      </c>
      <c r="E825" s="11" t="s">
        <v>1248</v>
      </c>
      <c r="F825" s="11" t="s">
        <v>53</v>
      </c>
      <c r="G825" s="11" t="s">
        <v>54</v>
      </c>
      <c r="H825" s="11" t="s">
        <v>412</v>
      </c>
      <c r="I825" s="11" t="s">
        <v>972</v>
      </c>
      <c r="J825" s="11">
        <v>25.0</v>
      </c>
      <c r="K825" s="13">
        <v>41061.0</v>
      </c>
      <c r="L825" s="14"/>
      <c r="M825" s="11">
        <v>489126.0</v>
      </c>
      <c r="N825" s="11" t="s">
        <v>2055</v>
      </c>
      <c r="P825" s="11">
        <v>0.0</v>
      </c>
      <c r="Q825" s="15">
        <v>0.0</v>
      </c>
      <c r="R825" s="22">
        <v>1.0</v>
      </c>
      <c r="S825">
        <f t="shared" si="1"/>
        <v>2008</v>
      </c>
      <c r="T825">
        <f t="shared" si="2"/>
        <v>1</v>
      </c>
      <c r="AF825" s="18"/>
      <c r="AG825" s="19"/>
      <c r="AL825" s="18"/>
      <c r="AM825" s="19"/>
    </row>
    <row r="826">
      <c r="A826" s="4" t="s">
        <v>2057</v>
      </c>
      <c r="B826" s="10">
        <v>39448.0</v>
      </c>
      <c r="C826" s="11" t="s">
        <v>130</v>
      </c>
      <c r="D826" s="11" t="s">
        <v>170</v>
      </c>
      <c r="E826" s="22" t="s">
        <v>392</v>
      </c>
      <c r="F826" s="11" t="s">
        <v>53</v>
      </c>
      <c r="G826" s="11" t="s">
        <v>1454</v>
      </c>
      <c r="H826" s="14"/>
      <c r="I826" s="14"/>
      <c r="J826" s="11">
        <v>17.0</v>
      </c>
      <c r="K826" s="13">
        <v>39984.0</v>
      </c>
      <c r="L826" s="14"/>
      <c r="M826" s="11">
        <v>573349.0</v>
      </c>
      <c r="N826" s="11" t="s">
        <v>2058</v>
      </c>
      <c r="P826" s="11">
        <v>0.0</v>
      </c>
      <c r="Q826" s="15">
        <v>0.0</v>
      </c>
      <c r="R826" s="22">
        <v>1.0</v>
      </c>
      <c r="S826">
        <f t="shared" si="1"/>
        <v>2008</v>
      </c>
      <c r="T826">
        <f t="shared" si="2"/>
        <v>1</v>
      </c>
      <c r="AF826" s="18"/>
      <c r="AG826" s="19"/>
      <c r="AL826" s="18"/>
      <c r="AM826" s="19"/>
    </row>
    <row r="827">
      <c r="A827" s="4" t="s">
        <v>2059</v>
      </c>
      <c r="B827" s="10">
        <v>39417.0</v>
      </c>
      <c r="C827" s="11" t="s">
        <v>81</v>
      </c>
      <c r="D827" s="11" t="s">
        <v>151</v>
      </c>
      <c r="E827" s="11" t="s">
        <v>52</v>
      </c>
      <c r="F827" s="11" t="s">
        <v>76</v>
      </c>
      <c r="G827" s="11" t="s">
        <v>54</v>
      </c>
      <c r="H827" s="11" t="s">
        <v>539</v>
      </c>
      <c r="I827" s="11" t="s">
        <v>126</v>
      </c>
      <c r="J827" s="11">
        <v>20.0</v>
      </c>
      <c r="K827" s="13">
        <v>39989.0</v>
      </c>
      <c r="L827" s="11"/>
      <c r="M827" s="11">
        <v>572261.0</v>
      </c>
      <c r="N827" s="11" t="s">
        <v>2060</v>
      </c>
      <c r="P827" s="11">
        <v>0.0</v>
      </c>
      <c r="Q827" s="15">
        <v>0.0</v>
      </c>
      <c r="R827" s="22">
        <v>0.0</v>
      </c>
      <c r="S827">
        <f t="shared" si="1"/>
        <v>2007</v>
      </c>
      <c r="T827">
        <f t="shared" si="2"/>
        <v>12</v>
      </c>
      <c r="AF827" s="18"/>
      <c r="AG827" s="19"/>
      <c r="AL827" s="18"/>
      <c r="AM827" s="19"/>
    </row>
    <row r="828">
      <c r="A828" s="4" t="s">
        <v>2061</v>
      </c>
      <c r="B828" s="10">
        <v>39413.0</v>
      </c>
      <c r="C828" s="11" t="s">
        <v>159</v>
      </c>
      <c r="D828" s="11" t="s">
        <v>170</v>
      </c>
      <c r="E828" s="14" t="s">
        <v>52</v>
      </c>
      <c r="F828" s="11" t="s">
        <v>76</v>
      </c>
      <c r="G828" s="14" t="s">
        <v>54</v>
      </c>
      <c r="H828" s="11" t="s">
        <v>344</v>
      </c>
      <c r="I828" s="11"/>
      <c r="J828" s="11">
        <v>18.0</v>
      </c>
      <c r="K828" s="13">
        <v>39675.0</v>
      </c>
      <c r="L828" s="11">
        <f t="shared" ref="L828:L835" si="85">ROUND(((K828-B828)/365)*12)</f>
        <v>9</v>
      </c>
      <c r="M828" s="11">
        <v>518582.0</v>
      </c>
      <c r="N828" s="11">
        <v>5261.0</v>
      </c>
      <c r="P828" s="11">
        <v>3.0</v>
      </c>
      <c r="Q828" s="15">
        <v>12.333</v>
      </c>
      <c r="R828" s="22">
        <v>0.0</v>
      </c>
      <c r="S828">
        <f t="shared" si="1"/>
        <v>2007</v>
      </c>
      <c r="T828">
        <f t="shared" si="2"/>
        <v>11</v>
      </c>
      <c r="AF828" s="18"/>
      <c r="AG828" s="19"/>
      <c r="AL828" s="18"/>
      <c r="AM828" s="19"/>
    </row>
    <row r="829">
      <c r="A829" s="4" t="s">
        <v>2062</v>
      </c>
      <c r="B829" s="10">
        <v>39409.0</v>
      </c>
      <c r="C829" s="11" t="s">
        <v>382</v>
      </c>
      <c r="D829" s="11" t="s">
        <v>82</v>
      </c>
      <c r="E829" s="14" t="s">
        <v>52</v>
      </c>
      <c r="F829" s="11" t="s">
        <v>53</v>
      </c>
      <c r="G829" s="22" t="s">
        <v>83</v>
      </c>
      <c r="H829" s="14"/>
      <c r="I829" s="14"/>
      <c r="J829" s="11">
        <v>23.0</v>
      </c>
      <c r="K829" s="13">
        <v>39913.0</v>
      </c>
      <c r="L829" s="11">
        <f t="shared" si="85"/>
        <v>17</v>
      </c>
      <c r="M829" s="11">
        <v>465679.0</v>
      </c>
      <c r="N829" s="11">
        <v>5285.0</v>
      </c>
      <c r="P829" s="11">
        <v>83.0</v>
      </c>
      <c r="Q829" s="15">
        <v>314.333</v>
      </c>
      <c r="R829" s="22">
        <v>1.0</v>
      </c>
      <c r="S829">
        <f t="shared" si="1"/>
        <v>2007</v>
      </c>
      <c r="T829">
        <f t="shared" si="2"/>
        <v>11</v>
      </c>
      <c r="AF829" s="18"/>
      <c r="AG829" s="19"/>
      <c r="AL829" s="18"/>
      <c r="AM829" s="19"/>
    </row>
    <row r="830">
      <c r="A830" s="4" t="s">
        <v>2063</v>
      </c>
      <c r="B830" s="10">
        <v>39400.0</v>
      </c>
      <c r="C830" s="11" t="s">
        <v>179</v>
      </c>
      <c r="D830" s="11" t="s">
        <v>210</v>
      </c>
      <c r="E830" s="14" t="s">
        <v>52</v>
      </c>
      <c r="F830" s="11" t="s">
        <v>53</v>
      </c>
      <c r="G830" s="14" t="s">
        <v>54</v>
      </c>
      <c r="H830" s="11" t="s">
        <v>260</v>
      </c>
      <c r="I830" s="11"/>
      <c r="J830" s="11">
        <v>19.0</v>
      </c>
      <c r="K830" s="13">
        <v>39914.0</v>
      </c>
      <c r="L830" s="11">
        <f t="shared" si="85"/>
        <v>17</v>
      </c>
      <c r="M830" s="11">
        <v>502010.0</v>
      </c>
      <c r="N830" s="11">
        <v>2851.0</v>
      </c>
      <c r="P830" s="11">
        <v>12.0</v>
      </c>
      <c r="Q830" s="15">
        <v>16.667</v>
      </c>
      <c r="R830" s="11">
        <v>0.0</v>
      </c>
      <c r="S830">
        <f t="shared" si="1"/>
        <v>2007</v>
      </c>
      <c r="T830">
        <f t="shared" si="2"/>
        <v>11</v>
      </c>
      <c r="AF830" s="18"/>
      <c r="AG830" s="19"/>
      <c r="AL830" s="18"/>
      <c r="AM830" s="19"/>
    </row>
    <row r="831">
      <c r="A831" s="4" t="s">
        <v>2065</v>
      </c>
      <c r="B831" s="10">
        <v>39381.0</v>
      </c>
      <c r="C831" s="11" t="s">
        <v>209</v>
      </c>
      <c r="D831" s="11" t="s">
        <v>51</v>
      </c>
      <c r="E831" s="14" t="s">
        <v>52</v>
      </c>
      <c r="F831" s="11" t="s">
        <v>53</v>
      </c>
      <c r="G831" s="22" t="s">
        <v>299</v>
      </c>
      <c r="H831" s="14"/>
      <c r="I831" s="14"/>
      <c r="J831" s="11">
        <v>29.0</v>
      </c>
      <c r="K831" s="13">
        <v>39911.0</v>
      </c>
      <c r="L831" s="11">
        <f t="shared" si="85"/>
        <v>17</v>
      </c>
      <c r="M831" s="11">
        <v>276056.0</v>
      </c>
      <c r="N831" s="11">
        <v>367.0</v>
      </c>
      <c r="O831" s="4" t="s">
        <v>59</v>
      </c>
      <c r="P831" s="11">
        <v>139.0</v>
      </c>
      <c r="Q831" s="32">
        <v>155.33299999999997</v>
      </c>
      <c r="R831" s="22">
        <v>0.0</v>
      </c>
      <c r="S831">
        <f t="shared" si="1"/>
        <v>2007</v>
      </c>
      <c r="T831">
        <f t="shared" si="2"/>
        <v>10</v>
      </c>
      <c r="AF831" s="18"/>
      <c r="AG831" s="19"/>
      <c r="AL831" s="18"/>
      <c r="AM831" s="19"/>
    </row>
    <row r="832">
      <c r="A832" s="4" t="s">
        <v>2066</v>
      </c>
      <c r="B832" s="10">
        <v>39362.0</v>
      </c>
      <c r="C832" s="11" t="s">
        <v>49</v>
      </c>
      <c r="D832" s="11" t="s">
        <v>124</v>
      </c>
      <c r="E832" s="14" t="s">
        <v>52</v>
      </c>
      <c r="F832" s="11" t="s">
        <v>76</v>
      </c>
      <c r="G832" s="14" t="s">
        <v>54</v>
      </c>
      <c r="H832" s="11" t="s">
        <v>244</v>
      </c>
      <c r="I832" s="11" t="s">
        <v>308</v>
      </c>
      <c r="J832" s="11">
        <v>21.0</v>
      </c>
      <c r="K832" s="13">
        <v>39913.0</v>
      </c>
      <c r="L832" s="11">
        <f t="shared" si="85"/>
        <v>18</v>
      </c>
      <c r="M832" s="11">
        <v>519260.0</v>
      </c>
      <c r="N832" s="11" t="s">
        <v>2067</v>
      </c>
      <c r="P832" s="11">
        <v>0.0</v>
      </c>
      <c r="Q832" s="15">
        <v>0.0</v>
      </c>
      <c r="R832" s="22">
        <v>0.0</v>
      </c>
      <c r="S832">
        <f t="shared" si="1"/>
        <v>2007</v>
      </c>
      <c r="T832">
        <f t="shared" si="2"/>
        <v>10</v>
      </c>
      <c r="AF832" s="18"/>
      <c r="AG832" s="19"/>
      <c r="AL832" s="18"/>
      <c r="AM832" s="19"/>
    </row>
    <row r="833">
      <c r="A833" s="4" t="s">
        <v>2068</v>
      </c>
      <c r="B833" s="10">
        <v>39350.0</v>
      </c>
      <c r="C833" s="11" t="s">
        <v>169</v>
      </c>
      <c r="D833" s="11" t="s">
        <v>75</v>
      </c>
      <c r="E833" s="22" t="s">
        <v>160</v>
      </c>
      <c r="F833" s="11" t="s">
        <v>76</v>
      </c>
      <c r="G833" s="11" t="s">
        <v>1454</v>
      </c>
      <c r="H833" s="14"/>
      <c r="I833" s="14"/>
      <c r="J833" s="11">
        <v>24.0</v>
      </c>
      <c r="K833" s="13">
        <v>39599.0</v>
      </c>
      <c r="L833" s="11">
        <f t="shared" si="85"/>
        <v>8</v>
      </c>
      <c r="M833" s="11">
        <v>425783.0</v>
      </c>
      <c r="N833" s="11">
        <v>3174.0</v>
      </c>
      <c r="P833" s="11">
        <v>1108.0</v>
      </c>
      <c r="Q833" s="15">
        <v>4849.0</v>
      </c>
      <c r="R833" s="22">
        <v>1.0</v>
      </c>
      <c r="S833">
        <f t="shared" si="1"/>
        <v>2007</v>
      </c>
      <c r="T833">
        <f t="shared" si="2"/>
        <v>9</v>
      </c>
      <c r="AF833" s="18"/>
      <c r="AG833" s="19"/>
      <c r="AL833" s="18"/>
      <c r="AM833" s="19"/>
    </row>
    <row r="834">
      <c r="A834" s="4" t="s">
        <v>2069</v>
      </c>
      <c r="B834" s="10">
        <v>39332.0</v>
      </c>
      <c r="C834" s="11" t="s">
        <v>142</v>
      </c>
      <c r="D834" s="11" t="s">
        <v>124</v>
      </c>
      <c r="E834" s="11" t="s">
        <v>52</v>
      </c>
      <c r="F834" s="11" t="s">
        <v>53</v>
      </c>
      <c r="G834" s="11" t="s">
        <v>54</v>
      </c>
      <c r="H834" s="11" t="s">
        <v>99</v>
      </c>
      <c r="I834" s="11" t="s">
        <v>743</v>
      </c>
      <c r="J834" s="11">
        <v>22.0</v>
      </c>
      <c r="K834" s="13">
        <v>39921.0</v>
      </c>
      <c r="L834" s="11">
        <f t="shared" si="85"/>
        <v>19</v>
      </c>
      <c r="M834" s="11">
        <v>453170.0</v>
      </c>
      <c r="N834" s="11" t="s">
        <v>2070</v>
      </c>
      <c r="P834" s="11">
        <v>0.0</v>
      </c>
      <c r="Q834" s="15">
        <v>0.0</v>
      </c>
      <c r="R834" s="22">
        <v>0.0</v>
      </c>
      <c r="S834">
        <f t="shared" si="1"/>
        <v>2007</v>
      </c>
      <c r="T834">
        <f t="shared" si="2"/>
        <v>9</v>
      </c>
      <c r="AF834" s="18"/>
      <c r="AG834" s="19"/>
      <c r="AL834" s="18"/>
      <c r="AM834" s="19"/>
    </row>
    <row r="835">
      <c r="A835" s="4" t="s">
        <v>2073</v>
      </c>
      <c r="B835" s="10">
        <v>39331.0</v>
      </c>
      <c r="C835" s="11" t="s">
        <v>350</v>
      </c>
      <c r="D835" s="11" t="s">
        <v>91</v>
      </c>
      <c r="E835" s="14" t="s">
        <v>52</v>
      </c>
      <c r="F835" s="11" t="s">
        <v>53</v>
      </c>
      <c r="G835" s="22" t="s">
        <v>265</v>
      </c>
      <c r="H835" s="14"/>
      <c r="I835" s="14"/>
      <c r="J835" s="11">
        <v>25.0</v>
      </c>
      <c r="K835" s="13">
        <v>39662.0</v>
      </c>
      <c r="L835" s="11">
        <f t="shared" si="85"/>
        <v>11</v>
      </c>
      <c r="M835" s="11">
        <v>425768.0</v>
      </c>
      <c r="N835" s="11">
        <v>2145.0</v>
      </c>
      <c r="P835" s="11">
        <v>61.0</v>
      </c>
      <c r="Q835" s="15">
        <v>70.667</v>
      </c>
      <c r="R835" s="22">
        <v>0.0</v>
      </c>
      <c r="S835">
        <f t="shared" si="1"/>
        <v>2007</v>
      </c>
      <c r="T835">
        <f t="shared" si="2"/>
        <v>9</v>
      </c>
      <c r="AF835" s="18"/>
      <c r="AG835" s="19"/>
      <c r="AL835" s="18"/>
      <c r="AM835" s="19"/>
    </row>
    <row r="836">
      <c r="A836" s="4" t="s">
        <v>2074</v>
      </c>
      <c r="B836" s="10">
        <v>39326.0</v>
      </c>
      <c r="C836" s="11" t="s">
        <v>331</v>
      </c>
      <c r="D836" s="11" t="s">
        <v>170</v>
      </c>
      <c r="E836" s="11" t="s">
        <v>52</v>
      </c>
      <c r="F836" s="11" t="s">
        <v>53</v>
      </c>
      <c r="G836" s="11" t="s">
        <v>54</v>
      </c>
      <c r="H836" s="11" t="s">
        <v>260</v>
      </c>
      <c r="I836" s="11" t="s">
        <v>2075</v>
      </c>
      <c r="J836" s="11">
        <v>16.0</v>
      </c>
      <c r="K836" s="13">
        <v>41080.0</v>
      </c>
      <c r="L836" s="11"/>
      <c r="M836" s="11">
        <v>623395.0</v>
      </c>
      <c r="N836" s="11">
        <v>17233.0</v>
      </c>
      <c r="O836" s="4"/>
      <c r="P836" s="11">
        <v>55.0</v>
      </c>
      <c r="Q836" s="15">
        <v>58.0</v>
      </c>
      <c r="R836" s="22">
        <v>1.0</v>
      </c>
      <c r="S836">
        <f t="shared" si="1"/>
        <v>2007</v>
      </c>
      <c r="T836">
        <f t="shared" si="2"/>
        <v>9</v>
      </c>
      <c r="U836" s="4"/>
      <c r="V836" s="4"/>
      <c r="W836" s="4"/>
      <c r="X836" s="4"/>
      <c r="Y836" s="4"/>
      <c r="Z836" s="4"/>
      <c r="AA836" s="4"/>
      <c r="AB836" s="4"/>
      <c r="AC836" s="4"/>
      <c r="AD836" s="4"/>
      <c r="AE836" s="4"/>
      <c r="AF836" s="54"/>
      <c r="AG836" s="55"/>
      <c r="AH836" s="4"/>
      <c r="AI836" s="4"/>
      <c r="AJ836" s="4"/>
      <c r="AK836" s="4"/>
      <c r="AL836" s="54"/>
      <c r="AM836" s="55"/>
      <c r="AN836" s="4"/>
      <c r="AO836" s="4"/>
    </row>
    <row r="837">
      <c r="A837" s="4" t="s">
        <v>2076</v>
      </c>
      <c r="B837" s="10">
        <v>39323.0</v>
      </c>
      <c r="C837" s="11" t="s">
        <v>270</v>
      </c>
      <c r="D837" s="11" t="s">
        <v>51</v>
      </c>
      <c r="E837" s="14" t="s">
        <v>52</v>
      </c>
      <c r="F837" s="11" t="s">
        <v>53</v>
      </c>
      <c r="G837" s="14" t="s">
        <v>54</v>
      </c>
      <c r="H837" s="11" t="s">
        <v>92</v>
      </c>
      <c r="I837" s="11" t="s">
        <v>218</v>
      </c>
      <c r="J837" s="11">
        <v>33.0</v>
      </c>
      <c r="K837" s="13">
        <v>39911.0</v>
      </c>
      <c r="L837" s="11">
        <f>ROUND(((K837-B837)/365)*12)</f>
        <v>19</v>
      </c>
      <c r="M837" s="11">
        <v>133460.0</v>
      </c>
      <c r="N837" s="11">
        <v>1124.0</v>
      </c>
      <c r="O837" s="4" t="s">
        <v>2077</v>
      </c>
      <c r="P837" s="11">
        <v>29.0</v>
      </c>
      <c r="Q837" s="15">
        <v>92.667</v>
      </c>
      <c r="R837" s="22">
        <v>0.0</v>
      </c>
      <c r="S837">
        <f t="shared" si="1"/>
        <v>2007</v>
      </c>
      <c r="T837">
        <f t="shared" si="2"/>
        <v>8</v>
      </c>
      <c r="U837" s="4"/>
      <c r="V837" s="4"/>
      <c r="W837" s="4"/>
      <c r="X837" s="4"/>
      <c r="Y837" s="4"/>
      <c r="Z837" s="4"/>
      <c r="AA837" s="4"/>
      <c r="AB837" s="4"/>
      <c r="AC837" s="4"/>
      <c r="AD837" s="4">
        <v>12.0</v>
      </c>
      <c r="AE837" s="4">
        <v>8.0</v>
      </c>
      <c r="AF837" s="54">
        <v>49.0</v>
      </c>
      <c r="AG837" s="55">
        <v>0.031</v>
      </c>
      <c r="AH837" s="4">
        <v>124.0</v>
      </c>
      <c r="AI837" s="4">
        <v>110.0</v>
      </c>
      <c r="AJ837" s="4">
        <v>23.0</v>
      </c>
      <c r="AK837" s="4">
        <v>13.0</v>
      </c>
      <c r="AL837" s="54">
        <v>85.667</v>
      </c>
      <c r="AM837" s="55">
        <v>0.044</v>
      </c>
      <c r="AN837" s="4">
        <v>135.0</v>
      </c>
      <c r="AO837" s="4">
        <v>108.0</v>
      </c>
    </row>
    <row r="838">
      <c r="A838" s="4" t="s">
        <v>2078</v>
      </c>
      <c r="B838" s="10">
        <v>39322.0</v>
      </c>
      <c r="C838" s="11" t="s">
        <v>109</v>
      </c>
      <c r="D838" s="11" t="s">
        <v>51</v>
      </c>
      <c r="E838" s="14" t="s">
        <v>52</v>
      </c>
      <c r="F838" s="11" t="s">
        <v>53</v>
      </c>
      <c r="G838" s="22" t="s">
        <v>83</v>
      </c>
      <c r="H838" s="14"/>
      <c r="I838" s="14"/>
      <c r="J838" s="11">
        <v>23.0</v>
      </c>
      <c r="K838" s="14"/>
      <c r="L838" s="14"/>
      <c r="M838" s="11">
        <v>434586.0</v>
      </c>
      <c r="N838" s="11">
        <v>3246.0</v>
      </c>
      <c r="O838" s="4" t="s">
        <v>287</v>
      </c>
      <c r="P838" s="11">
        <v>0.0</v>
      </c>
      <c r="Q838" s="32">
        <v>0.0</v>
      </c>
      <c r="R838" s="22">
        <v>0.0</v>
      </c>
      <c r="S838">
        <f t="shared" si="1"/>
        <v>2007</v>
      </c>
      <c r="T838">
        <f t="shared" si="2"/>
        <v>8</v>
      </c>
      <c r="AF838" s="18"/>
      <c r="AG838" s="19"/>
      <c r="AL838" s="18"/>
      <c r="AM838" s="19"/>
    </row>
    <row r="839">
      <c r="A839" s="4" t="s">
        <v>2080</v>
      </c>
      <c r="B839" s="10">
        <v>39321.0</v>
      </c>
      <c r="C839" s="11" t="s">
        <v>179</v>
      </c>
      <c r="D839" s="11" t="s">
        <v>51</v>
      </c>
      <c r="E839" s="14" t="s">
        <v>52</v>
      </c>
      <c r="F839" s="11" t="s">
        <v>53</v>
      </c>
      <c r="G839" s="14" t="s">
        <v>54</v>
      </c>
      <c r="H839" s="11" t="s">
        <v>843</v>
      </c>
      <c r="I839" s="11" t="s">
        <v>2081</v>
      </c>
      <c r="J839" s="11">
        <v>28.0</v>
      </c>
      <c r="K839" s="13">
        <v>39918.0</v>
      </c>
      <c r="L839" s="11">
        <f t="shared" ref="L839:L848" si="86">ROUND(((K839-B839)/365)*12)</f>
        <v>20</v>
      </c>
      <c r="M839" s="11">
        <v>425466.0</v>
      </c>
      <c r="N839" s="11">
        <v>2078.0</v>
      </c>
      <c r="O839" s="4" t="s">
        <v>177</v>
      </c>
      <c r="P839" s="11">
        <v>36.0</v>
      </c>
      <c r="Q839" s="32">
        <v>36.333000000000006</v>
      </c>
      <c r="R839" s="22">
        <v>0.0</v>
      </c>
      <c r="S839">
        <f t="shared" si="1"/>
        <v>2007</v>
      </c>
      <c r="T839">
        <f t="shared" si="2"/>
        <v>8</v>
      </c>
      <c r="AF839" s="18"/>
      <c r="AG839" s="19"/>
      <c r="AL839" s="18"/>
      <c r="AM839" s="19"/>
    </row>
    <row r="840">
      <c r="A840" s="4" t="s">
        <v>2082</v>
      </c>
      <c r="B840" s="10">
        <v>39318.0</v>
      </c>
      <c r="C840" s="11" t="s">
        <v>138</v>
      </c>
      <c r="D840" s="11" t="s">
        <v>151</v>
      </c>
      <c r="E840" s="14" t="s">
        <v>52</v>
      </c>
      <c r="F840" s="11" t="s">
        <v>53</v>
      </c>
      <c r="G840" s="14" t="s">
        <v>54</v>
      </c>
      <c r="H840" s="11" t="s">
        <v>305</v>
      </c>
      <c r="I840" s="11" t="s">
        <v>1446</v>
      </c>
      <c r="J840" s="11">
        <v>21.0</v>
      </c>
      <c r="K840" s="13">
        <v>39912.0</v>
      </c>
      <c r="L840" s="11">
        <f t="shared" si="86"/>
        <v>20</v>
      </c>
      <c r="M840" s="11">
        <v>457581.0</v>
      </c>
      <c r="N840" s="11">
        <v>2365.0</v>
      </c>
      <c r="P840" s="11">
        <v>3.0</v>
      </c>
      <c r="Q840" s="15">
        <v>2.333</v>
      </c>
      <c r="R840" s="22">
        <v>0.0</v>
      </c>
      <c r="S840">
        <f t="shared" si="1"/>
        <v>2007</v>
      </c>
      <c r="T840">
        <f t="shared" si="2"/>
        <v>8</v>
      </c>
      <c r="AF840" s="18"/>
      <c r="AG840" s="19"/>
      <c r="AL840" s="18"/>
      <c r="AM840" s="19"/>
    </row>
    <row r="841">
      <c r="A841" s="4" t="s">
        <v>2083</v>
      </c>
      <c r="B841" s="10">
        <v>39316.0</v>
      </c>
      <c r="C841" s="11" t="s">
        <v>382</v>
      </c>
      <c r="D841" s="11" t="s">
        <v>51</v>
      </c>
      <c r="E841" s="11" t="s">
        <v>52</v>
      </c>
      <c r="F841" s="11" t="s">
        <v>53</v>
      </c>
      <c r="G841" s="11" t="s">
        <v>582</v>
      </c>
      <c r="H841" s="11"/>
      <c r="I841" s="11"/>
      <c r="J841" s="11">
        <v>31.0</v>
      </c>
      <c r="K841" s="13">
        <v>39997.0</v>
      </c>
      <c r="L841" s="11">
        <f t="shared" si="86"/>
        <v>22</v>
      </c>
      <c r="M841" s="11">
        <v>150438.0</v>
      </c>
      <c r="N841" s="11">
        <v>150.0</v>
      </c>
      <c r="O841" s="4"/>
      <c r="P841" s="11">
        <v>70.0</v>
      </c>
      <c r="Q841" s="15">
        <v>334.0</v>
      </c>
      <c r="R841" s="22">
        <v>0.0</v>
      </c>
      <c r="S841">
        <f t="shared" si="1"/>
        <v>2007</v>
      </c>
      <c r="T841">
        <f t="shared" si="2"/>
        <v>8</v>
      </c>
      <c r="U841" s="4"/>
      <c r="V841" s="4"/>
      <c r="W841" s="4"/>
      <c r="X841" s="4"/>
      <c r="Y841" s="4"/>
      <c r="Z841" s="4"/>
      <c r="AA841" s="4"/>
      <c r="AB841" s="4"/>
      <c r="AC841" s="4"/>
      <c r="AD841" s="4">
        <v>14.0</v>
      </c>
      <c r="AE841" s="4">
        <v>14.0</v>
      </c>
      <c r="AF841" s="54">
        <v>79.333</v>
      </c>
      <c r="AG841" s="55">
        <v>0.066</v>
      </c>
      <c r="AH841" s="4">
        <v>92.0</v>
      </c>
      <c r="AI841" s="4">
        <v>100.0</v>
      </c>
      <c r="AJ841" s="4">
        <v>7.0</v>
      </c>
      <c r="AK841" s="4">
        <v>5.0</v>
      </c>
      <c r="AL841" s="54">
        <v>30.0</v>
      </c>
      <c r="AM841" s="55">
        <v>0.058</v>
      </c>
      <c r="AN841" s="4">
        <v>135.0</v>
      </c>
      <c r="AO841" s="4">
        <v>98.0</v>
      </c>
    </row>
    <row r="842">
      <c r="A842" s="4" t="s">
        <v>2084</v>
      </c>
      <c r="B842" s="10">
        <v>39311.0</v>
      </c>
      <c r="C842" s="11" t="s">
        <v>209</v>
      </c>
      <c r="D842" s="11" t="s">
        <v>51</v>
      </c>
      <c r="E842" s="14" t="s">
        <v>52</v>
      </c>
      <c r="F842" s="11" t="s">
        <v>53</v>
      </c>
      <c r="G842" s="14" t="s">
        <v>54</v>
      </c>
      <c r="H842" s="11" t="s">
        <v>260</v>
      </c>
      <c r="I842" s="11" t="s">
        <v>1919</v>
      </c>
      <c r="J842" s="11">
        <v>25.0</v>
      </c>
      <c r="K842" s="13">
        <v>39909.0</v>
      </c>
      <c r="L842" s="11">
        <f t="shared" si="86"/>
        <v>20</v>
      </c>
      <c r="M842" s="11">
        <v>444884.0</v>
      </c>
      <c r="N842" s="11">
        <v>6315.0</v>
      </c>
      <c r="O842" s="4" t="s">
        <v>59</v>
      </c>
      <c r="P842" s="11">
        <v>138.0</v>
      </c>
      <c r="Q842" s="15">
        <v>130.667</v>
      </c>
      <c r="R842" s="22">
        <v>0.0</v>
      </c>
      <c r="S842">
        <f t="shared" si="1"/>
        <v>2007</v>
      </c>
      <c r="T842">
        <f t="shared" si="2"/>
        <v>8</v>
      </c>
      <c r="AF842" s="18"/>
      <c r="AG842" s="19"/>
      <c r="AL842" s="18"/>
      <c r="AM842" s="19"/>
    </row>
    <row r="843">
      <c r="A843" s="4" t="s">
        <v>2085</v>
      </c>
      <c r="B843" s="10">
        <v>39308.0</v>
      </c>
      <c r="C843" s="11" t="s">
        <v>133</v>
      </c>
      <c r="D843" s="11" t="s">
        <v>51</v>
      </c>
      <c r="E843" s="14" t="s">
        <v>52</v>
      </c>
      <c r="F843" s="11" t="s">
        <v>53</v>
      </c>
      <c r="G843" s="14" t="s">
        <v>54</v>
      </c>
      <c r="H843" s="11" t="s">
        <v>539</v>
      </c>
      <c r="I843" s="11" t="s">
        <v>2086</v>
      </c>
      <c r="J843" s="11">
        <v>35.0</v>
      </c>
      <c r="K843" s="13">
        <v>39671.0</v>
      </c>
      <c r="L843" s="11">
        <f t="shared" si="86"/>
        <v>12</v>
      </c>
      <c r="M843" s="11">
        <v>407791.0</v>
      </c>
      <c r="N843" s="11">
        <v>1441.0</v>
      </c>
      <c r="O843" s="4" t="s">
        <v>704</v>
      </c>
      <c r="P843" s="11">
        <v>83.0</v>
      </c>
      <c r="Q843" s="15">
        <v>69.667</v>
      </c>
      <c r="R843" s="22">
        <v>0.0</v>
      </c>
      <c r="S843">
        <f t="shared" si="1"/>
        <v>2007</v>
      </c>
      <c r="T843">
        <f t="shared" si="2"/>
        <v>8</v>
      </c>
      <c r="AF843" s="18"/>
      <c r="AG843" s="19"/>
      <c r="AL843" s="18"/>
      <c r="AM843" s="19"/>
    </row>
    <row r="844">
      <c r="A844" s="4" t="s">
        <v>595</v>
      </c>
      <c r="B844" s="10">
        <v>39297.0</v>
      </c>
      <c r="C844" s="11" t="s">
        <v>331</v>
      </c>
      <c r="D844" s="11" t="s">
        <v>51</v>
      </c>
      <c r="E844" s="14" t="s">
        <v>52</v>
      </c>
      <c r="F844" s="11" t="s">
        <v>53</v>
      </c>
      <c r="G844" s="14" t="s">
        <v>54</v>
      </c>
      <c r="H844" s="11" t="s">
        <v>218</v>
      </c>
      <c r="I844" s="11"/>
      <c r="J844" s="11">
        <v>23.0</v>
      </c>
      <c r="K844" s="13">
        <v>39639.0</v>
      </c>
      <c r="L844" s="11">
        <f t="shared" si="86"/>
        <v>11</v>
      </c>
      <c r="M844" s="11">
        <v>435178.0</v>
      </c>
      <c r="N844" s="11">
        <v>4567.0</v>
      </c>
      <c r="O844" s="4" t="s">
        <v>59</v>
      </c>
      <c r="P844" s="11">
        <v>131.0</v>
      </c>
      <c r="Q844" s="32">
        <v>813.0</v>
      </c>
      <c r="R844" s="22">
        <v>0.0</v>
      </c>
      <c r="S844">
        <f t="shared" si="1"/>
        <v>2007</v>
      </c>
      <c r="T844">
        <f t="shared" si="2"/>
        <v>8</v>
      </c>
      <c r="U844" s="4"/>
      <c r="V844" s="4"/>
      <c r="W844" s="4"/>
      <c r="X844" s="4"/>
      <c r="Y844" s="4"/>
      <c r="Z844" s="4"/>
      <c r="AA844" s="4"/>
      <c r="AB844" s="4"/>
      <c r="AC844" s="4"/>
      <c r="AD844" s="4">
        <v>4.0</v>
      </c>
      <c r="AE844" s="4">
        <v>4.0</v>
      </c>
      <c r="AF844" s="54">
        <v>15.667</v>
      </c>
      <c r="AG844" s="55">
        <v>0.024</v>
      </c>
      <c r="AH844" s="4">
        <v>169.0</v>
      </c>
      <c r="AI844" s="4">
        <v>104.0</v>
      </c>
      <c r="AJ844" s="4">
        <v>14.0</v>
      </c>
      <c r="AK844" s="4">
        <v>14.0</v>
      </c>
      <c r="AL844" s="54">
        <v>87.333</v>
      </c>
      <c r="AM844" s="55">
        <v>0.137</v>
      </c>
      <c r="AN844" s="4">
        <v>83.0</v>
      </c>
      <c r="AO844" s="4">
        <v>79.0</v>
      </c>
    </row>
    <row r="845">
      <c r="A845" s="4" t="s">
        <v>2087</v>
      </c>
      <c r="B845" s="10">
        <v>39295.0</v>
      </c>
      <c r="C845" s="11" t="s">
        <v>96</v>
      </c>
      <c r="D845" s="11" t="s">
        <v>82</v>
      </c>
      <c r="E845" s="14" t="s">
        <v>52</v>
      </c>
      <c r="F845" s="11" t="s">
        <v>53</v>
      </c>
      <c r="G845" s="14" t="s">
        <v>54</v>
      </c>
      <c r="H845" s="11" t="s">
        <v>92</v>
      </c>
      <c r="I845" s="11" t="s">
        <v>2088</v>
      </c>
      <c r="J845" s="11">
        <v>21.0</v>
      </c>
      <c r="K845" s="13">
        <v>39912.0</v>
      </c>
      <c r="L845" s="11">
        <f t="shared" si="86"/>
        <v>20</v>
      </c>
      <c r="M845" s="11">
        <v>458094.0</v>
      </c>
      <c r="N845" s="11">
        <v>9404.0</v>
      </c>
      <c r="P845" s="11">
        <v>7.0</v>
      </c>
      <c r="Q845" s="15">
        <v>5.667</v>
      </c>
      <c r="R845" s="22">
        <v>0.0</v>
      </c>
      <c r="S845">
        <f t="shared" si="1"/>
        <v>2007</v>
      </c>
      <c r="T845">
        <f t="shared" si="2"/>
        <v>8</v>
      </c>
      <c r="AF845" s="18"/>
      <c r="AG845" s="19"/>
      <c r="AL845" s="18"/>
      <c r="AM845" s="19"/>
    </row>
    <row r="846">
      <c r="A846" s="4" t="s">
        <v>627</v>
      </c>
      <c r="B846" s="10">
        <v>39288.0</v>
      </c>
      <c r="C846" s="11" t="s">
        <v>103</v>
      </c>
      <c r="D846" s="11" t="s">
        <v>124</v>
      </c>
      <c r="E846" s="14" t="s">
        <v>52</v>
      </c>
      <c r="F846" s="11" t="s">
        <v>53</v>
      </c>
      <c r="G846" s="14" t="s">
        <v>54</v>
      </c>
      <c r="H846" s="11" t="s">
        <v>157</v>
      </c>
      <c r="I846" s="11"/>
      <c r="J846" s="11">
        <v>19.0</v>
      </c>
      <c r="K846" s="13">
        <v>39912.0</v>
      </c>
      <c r="L846" s="11">
        <f t="shared" si="86"/>
        <v>21</v>
      </c>
      <c r="M846" s="11">
        <v>475138.0</v>
      </c>
      <c r="N846" s="11">
        <v>4359.0</v>
      </c>
      <c r="O846" s="4" t="s">
        <v>287</v>
      </c>
      <c r="P846" s="11">
        <v>34.0</v>
      </c>
      <c r="Q846" s="15">
        <v>167.0</v>
      </c>
      <c r="R846" s="22">
        <v>0.0</v>
      </c>
      <c r="S846">
        <f t="shared" si="1"/>
        <v>2007</v>
      </c>
      <c r="T846">
        <f t="shared" si="2"/>
        <v>7</v>
      </c>
      <c r="AF846" s="18"/>
      <c r="AG846" s="19"/>
      <c r="AL846" s="18"/>
      <c r="AM846" s="19"/>
    </row>
    <row r="847">
      <c r="A847" s="4" t="s">
        <v>2089</v>
      </c>
      <c r="B847" s="10">
        <v>39287.0</v>
      </c>
      <c r="C847" s="11" t="s">
        <v>156</v>
      </c>
      <c r="D847" s="11" t="s">
        <v>51</v>
      </c>
      <c r="E847" s="14" t="s">
        <v>52</v>
      </c>
      <c r="F847" s="11" t="s">
        <v>53</v>
      </c>
      <c r="G847" s="14" t="s">
        <v>54</v>
      </c>
      <c r="H847" s="11" t="s">
        <v>163</v>
      </c>
      <c r="I847" s="11"/>
      <c r="J847" s="11">
        <v>32.0</v>
      </c>
      <c r="K847" s="13">
        <v>39659.0</v>
      </c>
      <c r="L847" s="11">
        <f t="shared" si="86"/>
        <v>12</v>
      </c>
      <c r="M847" s="11">
        <v>112020.0</v>
      </c>
      <c r="N847" s="11">
        <v>1292.0</v>
      </c>
      <c r="O847" s="4" t="s">
        <v>404</v>
      </c>
      <c r="P847" s="11">
        <v>104.0</v>
      </c>
      <c r="Q847" s="32">
        <v>697.3330000000001</v>
      </c>
      <c r="R847" s="22">
        <v>0.0</v>
      </c>
      <c r="S847">
        <f t="shared" si="1"/>
        <v>2007</v>
      </c>
      <c r="T847">
        <f t="shared" si="2"/>
        <v>7</v>
      </c>
      <c r="U847" s="4"/>
      <c r="V847" s="4"/>
      <c r="W847" s="4"/>
      <c r="X847" s="4"/>
      <c r="Y847" s="4"/>
      <c r="Z847" s="4"/>
      <c r="AA847" s="4"/>
      <c r="AB847" s="4"/>
      <c r="AC847" s="4"/>
      <c r="AD847" s="4">
        <v>1.0</v>
      </c>
      <c r="AE847" s="4">
        <v>1.0</v>
      </c>
      <c r="AF847" s="54">
        <v>6.0</v>
      </c>
      <c r="AG847" s="55">
        <v>0.069</v>
      </c>
      <c r="AH847" s="4">
        <v>174.0</v>
      </c>
      <c r="AI847" s="4">
        <v>73.0</v>
      </c>
      <c r="AJ847" s="4">
        <v>4.0</v>
      </c>
      <c r="AK847" s="4">
        <v>3.0</v>
      </c>
      <c r="AL847" s="54">
        <v>15.333</v>
      </c>
      <c r="AM847" s="55">
        <v>0.048</v>
      </c>
      <c r="AN847" s="4">
        <v>42.0</v>
      </c>
      <c r="AO847" s="4">
        <v>71.0</v>
      </c>
    </row>
    <row r="848">
      <c r="A848" s="4" t="s">
        <v>2090</v>
      </c>
      <c r="B848" s="10">
        <v>39273.0</v>
      </c>
      <c r="C848" s="11" t="s">
        <v>169</v>
      </c>
      <c r="D848" s="11" t="s">
        <v>82</v>
      </c>
      <c r="E848" s="14" t="s">
        <v>52</v>
      </c>
      <c r="F848" s="11" t="s">
        <v>76</v>
      </c>
      <c r="G848" s="14" t="s">
        <v>54</v>
      </c>
      <c r="H848" s="11" t="s">
        <v>197</v>
      </c>
      <c r="I848" s="11" t="s">
        <v>2091</v>
      </c>
      <c r="J848" s="11">
        <v>23.0</v>
      </c>
      <c r="K848" s="13">
        <v>39646.0</v>
      </c>
      <c r="L848" s="11">
        <f t="shared" si="86"/>
        <v>12</v>
      </c>
      <c r="M848" s="11">
        <v>448609.0</v>
      </c>
      <c r="N848" s="11">
        <v>8280.0</v>
      </c>
      <c r="P848" s="11">
        <v>480.0</v>
      </c>
      <c r="Q848" s="15">
        <v>406.667</v>
      </c>
      <c r="R848" s="22">
        <v>1.0</v>
      </c>
      <c r="S848">
        <f t="shared" si="1"/>
        <v>2007</v>
      </c>
      <c r="T848">
        <f t="shared" si="2"/>
        <v>7</v>
      </c>
      <c r="AF848" s="18"/>
      <c r="AG848" s="19"/>
      <c r="AL848" s="18"/>
      <c r="AM848" s="19"/>
    </row>
    <row r="849">
      <c r="A849" s="4" t="s">
        <v>2092</v>
      </c>
      <c r="B849" s="10">
        <v>39269.0</v>
      </c>
      <c r="C849" s="11" t="s">
        <v>133</v>
      </c>
      <c r="D849" s="11" t="s">
        <v>151</v>
      </c>
      <c r="E849" s="11" t="s">
        <v>52</v>
      </c>
      <c r="F849" s="11" t="s">
        <v>53</v>
      </c>
      <c r="G849" s="11" t="s">
        <v>2093</v>
      </c>
      <c r="H849" s="14"/>
      <c r="I849" s="14"/>
      <c r="J849" s="11">
        <v>20.0</v>
      </c>
      <c r="K849" s="13">
        <v>39992.0</v>
      </c>
      <c r="L849" s="11"/>
      <c r="M849" s="11">
        <v>543935.0</v>
      </c>
      <c r="N849" s="11">
        <v>9239.0</v>
      </c>
      <c r="O849" s="4" t="s">
        <v>224</v>
      </c>
      <c r="P849" s="11">
        <v>165.0</v>
      </c>
      <c r="Q849" s="15">
        <v>199.0</v>
      </c>
      <c r="R849" s="22">
        <v>1.0</v>
      </c>
      <c r="S849">
        <f t="shared" si="1"/>
        <v>2007</v>
      </c>
      <c r="T849">
        <f t="shared" si="2"/>
        <v>7</v>
      </c>
      <c r="AF849" s="18"/>
      <c r="AG849" s="19"/>
      <c r="AL849" s="18"/>
      <c r="AM849" s="19"/>
    </row>
    <row r="850">
      <c r="A850" s="4" t="s">
        <v>2094</v>
      </c>
      <c r="B850" s="10">
        <v>39269.0</v>
      </c>
      <c r="C850" s="11" t="s">
        <v>350</v>
      </c>
      <c r="D850" s="11" t="s">
        <v>124</v>
      </c>
      <c r="E850" s="14" t="s">
        <v>52</v>
      </c>
      <c r="F850" s="11" t="s">
        <v>53</v>
      </c>
      <c r="G850" s="22" t="s">
        <v>83</v>
      </c>
      <c r="H850" s="14"/>
      <c r="I850" s="14"/>
      <c r="J850" s="11">
        <v>19.0</v>
      </c>
      <c r="K850" s="13">
        <v>39912.0</v>
      </c>
      <c r="L850" s="11">
        <f t="shared" ref="L850:L852" si="87">ROUND(((K850-B850)/365)*12)</f>
        <v>21</v>
      </c>
      <c r="M850" s="11">
        <v>503569.0</v>
      </c>
      <c r="N850" s="11">
        <v>4185.0</v>
      </c>
      <c r="P850" s="11">
        <v>40.0</v>
      </c>
      <c r="Q850" s="15">
        <v>44.333</v>
      </c>
      <c r="R850" s="22">
        <v>0.0</v>
      </c>
      <c r="S850">
        <f t="shared" si="1"/>
        <v>2007</v>
      </c>
      <c r="T850">
        <f t="shared" si="2"/>
        <v>7</v>
      </c>
      <c r="AF850" s="18"/>
      <c r="AG850" s="19"/>
      <c r="AL850" s="18"/>
      <c r="AM850" s="19"/>
    </row>
    <row r="851">
      <c r="A851" s="4" t="s">
        <v>2095</v>
      </c>
      <c r="B851" s="10">
        <v>39252.0</v>
      </c>
      <c r="C851" s="11" t="s">
        <v>142</v>
      </c>
      <c r="D851" s="11" t="s">
        <v>51</v>
      </c>
      <c r="E851" s="14" t="s">
        <v>52</v>
      </c>
      <c r="F851" s="11" t="s">
        <v>53</v>
      </c>
      <c r="G851" s="14" t="s">
        <v>54</v>
      </c>
      <c r="H851" s="11" t="s">
        <v>412</v>
      </c>
      <c r="I851" s="11"/>
      <c r="J851" s="11">
        <v>24.0</v>
      </c>
      <c r="K851" s="13">
        <v>40080.0</v>
      </c>
      <c r="L851" s="11">
        <f t="shared" si="87"/>
        <v>27</v>
      </c>
      <c r="M851" s="11">
        <v>434679.0</v>
      </c>
      <c r="N851" s="11">
        <v>3440.0</v>
      </c>
      <c r="O851" s="4" t="s">
        <v>59</v>
      </c>
      <c r="P851" s="11">
        <v>9.0</v>
      </c>
      <c r="Q851" s="15">
        <v>39.667</v>
      </c>
      <c r="R851" s="22">
        <v>0.0</v>
      </c>
      <c r="S851">
        <f t="shared" si="1"/>
        <v>2007</v>
      </c>
      <c r="T851">
        <f t="shared" si="2"/>
        <v>6</v>
      </c>
      <c r="U851" s="4"/>
      <c r="V851" s="4"/>
      <c r="W851" s="4"/>
      <c r="X851" s="4"/>
      <c r="Y851" s="4"/>
      <c r="Z851" s="4"/>
      <c r="AA851" s="4"/>
      <c r="AB851" s="4"/>
      <c r="AC851" s="4"/>
      <c r="AD851" s="4">
        <v>3.0</v>
      </c>
      <c r="AE851" s="4">
        <v>3.0</v>
      </c>
      <c r="AF851" s="54">
        <v>11.67</v>
      </c>
      <c r="AG851" s="55">
        <v>0.035</v>
      </c>
      <c r="AH851" s="4">
        <v>176.0</v>
      </c>
      <c r="AI851" s="4">
        <v>179.0</v>
      </c>
      <c r="AJ851" s="4">
        <v>3.0</v>
      </c>
      <c r="AK851" s="4">
        <v>2.0</v>
      </c>
      <c r="AL851" s="54">
        <v>13.333</v>
      </c>
      <c r="AM851" s="55">
        <v>-0.016</v>
      </c>
      <c r="AN851" s="4">
        <v>90.0</v>
      </c>
      <c r="AO851" s="4">
        <v>176.0</v>
      </c>
    </row>
    <row r="852">
      <c r="A852" s="4" t="s">
        <v>2097</v>
      </c>
      <c r="B852" s="10">
        <v>39248.0</v>
      </c>
      <c r="C852" s="11" t="s">
        <v>119</v>
      </c>
      <c r="D852" s="11" t="s">
        <v>51</v>
      </c>
      <c r="E852" s="14" t="s">
        <v>52</v>
      </c>
      <c r="F852" s="11" t="s">
        <v>76</v>
      </c>
      <c r="G852" s="14" t="s">
        <v>54</v>
      </c>
      <c r="H852" s="11" t="s">
        <v>412</v>
      </c>
      <c r="I852" s="11" t="s">
        <v>251</v>
      </c>
      <c r="J852" s="11">
        <v>31.0</v>
      </c>
      <c r="K852" s="13">
        <v>39949.0</v>
      </c>
      <c r="L852" s="11">
        <f t="shared" si="87"/>
        <v>23</v>
      </c>
      <c r="M852" s="11">
        <v>132980.0</v>
      </c>
      <c r="N852" s="11">
        <v>743.0</v>
      </c>
      <c r="O852" s="4" t="s">
        <v>224</v>
      </c>
      <c r="P852" s="11">
        <v>5.0</v>
      </c>
      <c r="Q852" s="15">
        <v>23.667</v>
      </c>
      <c r="R852" s="22">
        <v>0.0</v>
      </c>
      <c r="S852">
        <f t="shared" si="1"/>
        <v>2007</v>
      </c>
      <c r="T852">
        <f t="shared" si="2"/>
        <v>6</v>
      </c>
      <c r="U852" s="4"/>
      <c r="V852" s="4"/>
      <c r="W852" s="4"/>
      <c r="X852" s="4"/>
      <c r="Y852" s="4"/>
      <c r="Z852" s="4"/>
      <c r="AA852" s="4"/>
      <c r="AB852" s="4"/>
      <c r="AC852" s="4"/>
      <c r="AD852" s="4">
        <v>6.0</v>
      </c>
      <c r="AE852" s="4">
        <v>6.0</v>
      </c>
      <c r="AF852" s="54">
        <v>31.333</v>
      </c>
      <c r="AG852" s="55">
        <v>0.063</v>
      </c>
      <c r="AH852" s="4">
        <v>113.0</v>
      </c>
      <c r="AI852" s="4">
        <v>99.0</v>
      </c>
      <c r="AJ852" s="4">
        <v>5.0</v>
      </c>
      <c r="AK852" s="4">
        <v>5.0</v>
      </c>
      <c r="AL852" s="54">
        <v>23.667</v>
      </c>
      <c r="AM852" s="55">
        <v>0.13</v>
      </c>
      <c r="AN852" s="4">
        <v>94.0</v>
      </c>
      <c r="AO852" s="4">
        <v>84.0</v>
      </c>
    </row>
    <row r="853">
      <c r="A853" s="4" t="s">
        <v>878</v>
      </c>
      <c r="B853" s="10">
        <v>39246.0</v>
      </c>
      <c r="C853" s="11" t="s">
        <v>159</v>
      </c>
      <c r="D853" s="11" t="s">
        <v>51</v>
      </c>
      <c r="E853" s="22" t="s">
        <v>264</v>
      </c>
      <c r="F853" s="11" t="s">
        <v>53</v>
      </c>
      <c r="G853" s="14" t="s">
        <v>54</v>
      </c>
      <c r="H853" s="11" t="s">
        <v>279</v>
      </c>
      <c r="I853" s="11" t="s">
        <v>2009</v>
      </c>
      <c r="J853" s="11">
        <v>27.0</v>
      </c>
      <c r="K853" s="14"/>
      <c r="L853" s="14"/>
      <c r="M853" s="11">
        <v>136300.0</v>
      </c>
      <c r="N853" s="11">
        <v>903.0</v>
      </c>
      <c r="O853" s="4" t="s">
        <v>287</v>
      </c>
      <c r="P853" s="11">
        <v>0.0</v>
      </c>
      <c r="Q853" s="32">
        <v>0.0</v>
      </c>
      <c r="R853" s="22">
        <v>0.0</v>
      </c>
      <c r="S853">
        <f t="shared" si="1"/>
        <v>2007</v>
      </c>
      <c r="T853">
        <f t="shared" si="2"/>
        <v>6</v>
      </c>
      <c r="AF853" s="18"/>
      <c r="AG853" s="19"/>
      <c r="AL853" s="18"/>
      <c r="AM853" s="19"/>
    </row>
    <row r="854">
      <c r="A854" s="4" t="s">
        <v>2098</v>
      </c>
      <c r="B854" s="10">
        <v>39238.0</v>
      </c>
      <c r="C854" s="11" t="s">
        <v>138</v>
      </c>
      <c r="D854" s="11" t="s">
        <v>51</v>
      </c>
      <c r="E854" s="14" t="s">
        <v>52</v>
      </c>
      <c r="F854" s="11" t="s">
        <v>53</v>
      </c>
      <c r="G854" s="14" t="s">
        <v>54</v>
      </c>
      <c r="H854" s="11" t="s">
        <v>154</v>
      </c>
      <c r="I854" s="11"/>
      <c r="J854" s="11">
        <v>31.0</v>
      </c>
      <c r="K854" s="13">
        <v>39683.0</v>
      </c>
      <c r="L854" s="11">
        <f>ROUND(((K854-B854)/365)*12)</f>
        <v>15</v>
      </c>
      <c r="M854" s="11">
        <v>134321.0</v>
      </c>
      <c r="N854" s="11">
        <v>790.0</v>
      </c>
      <c r="O854" s="4" t="s">
        <v>59</v>
      </c>
      <c r="P854" s="11">
        <v>116.0</v>
      </c>
      <c r="Q854" s="15">
        <v>739.667</v>
      </c>
      <c r="R854" s="22">
        <v>0.0</v>
      </c>
      <c r="S854">
        <f t="shared" si="1"/>
        <v>2007</v>
      </c>
      <c r="T854">
        <f t="shared" si="2"/>
        <v>6</v>
      </c>
      <c r="U854" s="4"/>
      <c r="V854" s="4"/>
      <c r="W854" s="4"/>
      <c r="X854" s="4"/>
      <c r="Y854" s="4"/>
      <c r="Z854" s="4"/>
      <c r="AA854" s="4"/>
      <c r="AB854" s="4"/>
      <c r="AC854" s="4"/>
      <c r="AD854" s="4">
        <v>2.0</v>
      </c>
      <c r="AE854" s="4">
        <v>2.0</v>
      </c>
      <c r="AF854" s="54">
        <v>11.333</v>
      </c>
      <c r="AG854" s="55">
        <v>0.043</v>
      </c>
      <c r="AH854" s="4">
        <v>106.0</v>
      </c>
      <c r="AI854" s="4">
        <v>95.0</v>
      </c>
      <c r="AJ854" s="4">
        <v>7.0</v>
      </c>
      <c r="AK854" s="4">
        <v>7.0</v>
      </c>
      <c r="AL854" s="54">
        <v>34.333</v>
      </c>
      <c r="AM854" s="55">
        <v>0.032</v>
      </c>
      <c r="AN854" s="4">
        <v>133.0</v>
      </c>
      <c r="AO854" s="4">
        <v>124.0</v>
      </c>
    </row>
    <row r="855">
      <c r="A855" s="4" t="s">
        <v>468</v>
      </c>
      <c r="B855" s="10">
        <v>39234.0</v>
      </c>
      <c r="C855" s="11" t="s">
        <v>96</v>
      </c>
      <c r="D855" s="11" t="s">
        <v>170</v>
      </c>
      <c r="E855" s="11" t="s">
        <v>52</v>
      </c>
      <c r="F855" s="11" t="s">
        <v>76</v>
      </c>
      <c r="G855" s="11" t="s">
        <v>54</v>
      </c>
      <c r="H855" s="11" t="s">
        <v>251</v>
      </c>
      <c r="I855" s="11" t="s">
        <v>363</v>
      </c>
      <c r="J855" s="11">
        <v>18.0</v>
      </c>
      <c r="K855" s="13">
        <v>40715.0</v>
      </c>
      <c r="L855" s="11"/>
      <c r="M855" s="11">
        <v>594857.0</v>
      </c>
      <c r="N855" s="11">
        <v>12220.0</v>
      </c>
      <c r="P855" s="11">
        <v>35.0</v>
      </c>
      <c r="Q855" s="15">
        <v>34.0</v>
      </c>
      <c r="R855" s="22">
        <v>1.0</v>
      </c>
      <c r="S855">
        <f t="shared" si="1"/>
        <v>2007</v>
      </c>
      <c r="T855">
        <f t="shared" si="2"/>
        <v>6</v>
      </c>
      <c r="AF855" s="18"/>
      <c r="AG855" s="19"/>
      <c r="AL855" s="18"/>
      <c r="AM855" s="19"/>
    </row>
    <row r="856">
      <c r="A856" s="4" t="s">
        <v>2100</v>
      </c>
      <c r="B856" s="10">
        <v>39234.0</v>
      </c>
      <c r="C856" s="11" t="s">
        <v>119</v>
      </c>
      <c r="D856" s="11" t="s">
        <v>110</v>
      </c>
      <c r="E856" s="11" t="s">
        <v>52</v>
      </c>
      <c r="F856" s="11" t="s">
        <v>53</v>
      </c>
      <c r="G856" s="11" t="s">
        <v>54</v>
      </c>
      <c r="H856" s="11" t="s">
        <v>549</v>
      </c>
      <c r="I856" s="11" t="s">
        <v>550</v>
      </c>
      <c r="J856" s="11">
        <v>22.0</v>
      </c>
      <c r="K856" s="13">
        <v>39667.0</v>
      </c>
      <c r="L856" s="11">
        <f t="shared" ref="L856:L859" si="88">ROUND(((K856-B856)/365)*12)</f>
        <v>14</v>
      </c>
      <c r="M856" s="11">
        <v>453271.0</v>
      </c>
      <c r="N856" s="11" t="s">
        <v>2101</v>
      </c>
      <c r="P856" s="11">
        <v>0.0</v>
      </c>
      <c r="Q856" s="15">
        <v>0.0</v>
      </c>
      <c r="R856" s="22">
        <v>0.0</v>
      </c>
      <c r="S856">
        <f t="shared" si="1"/>
        <v>2007</v>
      </c>
      <c r="T856">
        <f t="shared" si="2"/>
        <v>6</v>
      </c>
      <c r="AF856" s="18"/>
      <c r="AG856" s="19"/>
      <c r="AL856" s="18"/>
      <c r="AM856" s="19"/>
    </row>
    <row r="857">
      <c r="A857" s="4" t="s">
        <v>2102</v>
      </c>
      <c r="B857" s="10">
        <v>39234.0</v>
      </c>
      <c r="C857" s="11" t="s">
        <v>114</v>
      </c>
      <c r="D857" s="11" t="s">
        <v>82</v>
      </c>
      <c r="E857" s="11" t="s">
        <v>52</v>
      </c>
      <c r="F857" s="11" t="s">
        <v>53</v>
      </c>
      <c r="G857" s="14" t="s">
        <v>54</v>
      </c>
      <c r="H857" s="11" t="s">
        <v>279</v>
      </c>
      <c r="I857" s="11"/>
      <c r="J857" s="11">
        <v>24.0</v>
      </c>
      <c r="K857" s="13">
        <v>39587.0</v>
      </c>
      <c r="L857" s="11">
        <f t="shared" si="88"/>
        <v>12</v>
      </c>
      <c r="M857" s="11">
        <v>434523.0</v>
      </c>
      <c r="N857" s="11" t="s">
        <v>2103</v>
      </c>
      <c r="P857" s="11">
        <v>0.0</v>
      </c>
      <c r="Q857" s="15">
        <v>0.0</v>
      </c>
      <c r="R857" s="22">
        <v>0.0</v>
      </c>
      <c r="S857">
        <f t="shared" si="1"/>
        <v>2007</v>
      </c>
      <c r="T857">
        <f t="shared" si="2"/>
        <v>6</v>
      </c>
      <c r="AF857" s="18"/>
      <c r="AG857" s="19"/>
      <c r="AL857" s="18"/>
      <c r="AM857" s="19"/>
    </row>
    <row r="858">
      <c r="A858" s="4" t="s">
        <v>2104</v>
      </c>
      <c r="B858" s="10">
        <v>39233.0</v>
      </c>
      <c r="C858" s="11" t="s">
        <v>142</v>
      </c>
      <c r="D858" s="11" t="s">
        <v>51</v>
      </c>
      <c r="E858" s="14" t="s">
        <v>52</v>
      </c>
      <c r="F858" s="11" t="s">
        <v>76</v>
      </c>
      <c r="G858" s="14" t="s">
        <v>54</v>
      </c>
      <c r="H858" s="11" t="s">
        <v>157</v>
      </c>
      <c r="I858" s="11" t="s">
        <v>202</v>
      </c>
      <c r="J858" s="11">
        <v>29.0</v>
      </c>
      <c r="K858" s="13">
        <v>39617.0</v>
      </c>
      <c r="L858" s="11">
        <f t="shared" si="88"/>
        <v>13</v>
      </c>
      <c r="M858" s="11">
        <v>283166.0</v>
      </c>
      <c r="N858" s="11">
        <v>1794.0</v>
      </c>
      <c r="P858" s="11">
        <v>323.0</v>
      </c>
      <c r="Q858" s="15">
        <v>271.667</v>
      </c>
      <c r="R858" s="22">
        <v>0.0</v>
      </c>
      <c r="S858">
        <f t="shared" si="1"/>
        <v>2007</v>
      </c>
      <c r="T858">
        <f t="shared" si="2"/>
        <v>5</v>
      </c>
      <c r="AF858" s="18"/>
      <c r="AG858" s="19"/>
      <c r="AL858" s="18"/>
      <c r="AM858" s="19"/>
    </row>
    <row r="859">
      <c r="A859" s="4" t="s">
        <v>2105</v>
      </c>
      <c r="B859" s="10">
        <v>39217.0</v>
      </c>
      <c r="C859" s="11" t="s">
        <v>49</v>
      </c>
      <c r="D859" s="11" t="s">
        <v>75</v>
      </c>
      <c r="E859" s="14" t="s">
        <v>52</v>
      </c>
      <c r="F859" s="11" t="s">
        <v>53</v>
      </c>
      <c r="G859" s="14" t="s">
        <v>54</v>
      </c>
      <c r="H859" s="11" t="s">
        <v>344</v>
      </c>
      <c r="I859" s="11" t="s">
        <v>2106</v>
      </c>
      <c r="J859" s="11">
        <v>23.0</v>
      </c>
      <c r="K859" s="13">
        <v>39914.0</v>
      </c>
      <c r="L859" s="11">
        <f t="shared" si="88"/>
        <v>23</v>
      </c>
      <c r="M859" s="11">
        <v>460044.0</v>
      </c>
      <c r="N859" s="11">
        <v>4697.0</v>
      </c>
      <c r="P859" s="11">
        <v>3.0</v>
      </c>
      <c r="Q859" s="15">
        <v>10.333</v>
      </c>
      <c r="R859" s="22">
        <v>0.0</v>
      </c>
      <c r="S859">
        <f t="shared" si="1"/>
        <v>2007</v>
      </c>
      <c r="T859">
        <f t="shared" si="2"/>
        <v>5</v>
      </c>
      <c r="AF859" s="18"/>
      <c r="AG859" s="19"/>
      <c r="AL859" s="18"/>
      <c r="AM859" s="19"/>
    </row>
    <row r="860">
      <c r="A860" s="4" t="s">
        <v>263</v>
      </c>
      <c r="B860" s="10">
        <v>39211.0</v>
      </c>
      <c r="C860" s="11" t="s">
        <v>331</v>
      </c>
      <c r="D860" s="11" t="s">
        <v>51</v>
      </c>
      <c r="E860" s="11" t="s">
        <v>52</v>
      </c>
      <c r="F860" s="11" t="s">
        <v>53</v>
      </c>
      <c r="G860" s="11" t="s">
        <v>83</v>
      </c>
      <c r="H860" s="11"/>
      <c r="I860" s="11"/>
      <c r="J860" s="11">
        <v>22.0</v>
      </c>
      <c r="K860" s="13"/>
      <c r="L860" s="11"/>
      <c r="M860" s="11">
        <v>462911.0</v>
      </c>
      <c r="N860" s="11" t="s">
        <v>2107</v>
      </c>
      <c r="O860" s="4"/>
      <c r="P860" s="11">
        <v>0.0</v>
      </c>
      <c r="Q860" s="15">
        <v>0.0</v>
      </c>
      <c r="R860" s="22">
        <v>0.0</v>
      </c>
      <c r="S860">
        <f t="shared" si="1"/>
        <v>2007</v>
      </c>
      <c r="T860">
        <f t="shared" si="2"/>
        <v>5</v>
      </c>
      <c r="AF860" s="18"/>
      <c r="AG860" s="19"/>
      <c r="AL860" s="18"/>
      <c r="AM860" s="19"/>
    </row>
    <row r="861">
      <c r="A861" s="4" t="s">
        <v>2108</v>
      </c>
      <c r="B861" s="10">
        <v>39203.0</v>
      </c>
      <c r="C861" s="11" t="s">
        <v>711</v>
      </c>
      <c r="D861" s="11" t="s">
        <v>51</v>
      </c>
      <c r="E861" s="14" t="s">
        <v>52</v>
      </c>
      <c r="F861" s="11" t="s">
        <v>76</v>
      </c>
      <c r="G861" s="14" t="s">
        <v>54</v>
      </c>
      <c r="H861" s="11" t="s">
        <v>126</v>
      </c>
      <c r="I861" s="11" t="s">
        <v>2109</v>
      </c>
      <c r="J861" s="11">
        <v>31.0</v>
      </c>
      <c r="K861" s="13">
        <v>39551.0</v>
      </c>
      <c r="L861" s="11">
        <f t="shared" ref="L861:L862" si="89">ROUND(((K861-B861)/365)*12)</f>
        <v>11</v>
      </c>
      <c r="M861" s="11">
        <v>124805.0</v>
      </c>
      <c r="N861" s="11">
        <v>168.0</v>
      </c>
      <c r="O861" s="4" t="s">
        <v>224</v>
      </c>
      <c r="P861" s="11">
        <v>85.0</v>
      </c>
      <c r="Q861" s="15">
        <v>78.667</v>
      </c>
      <c r="R861" s="22">
        <v>0.0</v>
      </c>
      <c r="S861">
        <f t="shared" si="1"/>
        <v>2007</v>
      </c>
      <c r="T861">
        <f t="shared" si="2"/>
        <v>5</v>
      </c>
      <c r="AF861" s="18"/>
      <c r="AG861" s="19"/>
      <c r="AL861" s="18"/>
      <c r="AM861" s="19"/>
    </row>
    <row r="862">
      <c r="A862" s="4" t="s">
        <v>2110</v>
      </c>
      <c r="B862" s="10">
        <v>39203.0</v>
      </c>
      <c r="C862" s="11" t="s">
        <v>239</v>
      </c>
      <c r="D862" s="11" t="s">
        <v>82</v>
      </c>
      <c r="E862" s="11" t="s">
        <v>52</v>
      </c>
      <c r="F862" s="11" t="s">
        <v>53</v>
      </c>
      <c r="G862" s="11" t="s">
        <v>54</v>
      </c>
      <c r="H862" s="11" t="s">
        <v>2014</v>
      </c>
      <c r="I862" s="11" t="s">
        <v>2111</v>
      </c>
      <c r="J862" s="11">
        <v>23.0</v>
      </c>
      <c r="K862" s="13">
        <v>39589.0</v>
      </c>
      <c r="L862" s="11">
        <f t="shared" si="89"/>
        <v>13</v>
      </c>
      <c r="M862" s="11">
        <v>488868.0</v>
      </c>
      <c r="N862" s="11" t="s">
        <v>2112</v>
      </c>
      <c r="O862" s="4"/>
      <c r="P862" s="11">
        <v>0.0</v>
      </c>
      <c r="Q862" s="15">
        <v>0.0</v>
      </c>
      <c r="R862" s="22">
        <v>0.0</v>
      </c>
      <c r="S862">
        <f t="shared" si="1"/>
        <v>2007</v>
      </c>
      <c r="T862">
        <f t="shared" si="2"/>
        <v>5</v>
      </c>
      <c r="AF862" s="18"/>
      <c r="AG862" s="19"/>
      <c r="AL862" s="18"/>
      <c r="AM862" s="19"/>
    </row>
    <row r="863">
      <c r="A863" s="4" t="s">
        <v>2113</v>
      </c>
      <c r="B863" s="10">
        <v>39203.0</v>
      </c>
      <c r="C863" s="11" t="s">
        <v>108</v>
      </c>
      <c r="D863" s="11" t="s">
        <v>75</v>
      </c>
      <c r="E863" s="11" t="s">
        <v>52</v>
      </c>
      <c r="F863" s="11" t="s">
        <v>53</v>
      </c>
      <c r="G863" s="11" t="s">
        <v>54</v>
      </c>
      <c r="H863" s="11" t="s">
        <v>92</v>
      </c>
      <c r="I863" s="11" t="s">
        <v>2114</v>
      </c>
      <c r="J863" s="11">
        <v>28.0</v>
      </c>
      <c r="K863" s="13"/>
      <c r="L863" s="11"/>
      <c r="M863" s="11">
        <v>425778.0</v>
      </c>
      <c r="N863" s="11">
        <v>1924.0</v>
      </c>
      <c r="O863" s="4"/>
      <c r="P863" s="11">
        <v>0.0</v>
      </c>
      <c r="Q863" s="15">
        <v>0.0</v>
      </c>
      <c r="R863" s="22">
        <v>0.0</v>
      </c>
      <c r="S863">
        <f t="shared" si="1"/>
        <v>2007</v>
      </c>
      <c r="T863">
        <f t="shared" si="2"/>
        <v>5</v>
      </c>
      <c r="AF863" s="18"/>
      <c r="AG863" s="19"/>
      <c r="AL863" s="18"/>
      <c r="AM863" s="19"/>
    </row>
    <row r="864">
      <c r="A864" s="4" t="s">
        <v>2115</v>
      </c>
      <c r="B864" s="10">
        <v>39200.0</v>
      </c>
      <c r="C864" s="11" t="s">
        <v>239</v>
      </c>
      <c r="D864" s="11" t="s">
        <v>51</v>
      </c>
      <c r="E864" s="14" t="s">
        <v>52</v>
      </c>
      <c r="F864" s="11" t="s">
        <v>53</v>
      </c>
      <c r="G864" s="22" t="s">
        <v>265</v>
      </c>
      <c r="H864" s="14"/>
      <c r="I864" s="14"/>
      <c r="J864" s="11">
        <v>24.0</v>
      </c>
      <c r="K864" s="13">
        <v>39585.0</v>
      </c>
      <c r="L864" s="11">
        <f t="shared" ref="L864:L867" si="90">ROUND(((K864-B864)/365)*12)</f>
        <v>13</v>
      </c>
      <c r="M864" s="11">
        <v>430588.0</v>
      </c>
      <c r="N864" s="11">
        <v>2173.0</v>
      </c>
      <c r="O864" s="4" t="s">
        <v>59</v>
      </c>
      <c r="P864" s="11">
        <v>59.0</v>
      </c>
      <c r="Q864" s="32">
        <v>89.33299999999998</v>
      </c>
      <c r="R864" s="22">
        <v>0.0</v>
      </c>
      <c r="S864">
        <f t="shared" si="1"/>
        <v>2007</v>
      </c>
      <c r="T864">
        <f t="shared" si="2"/>
        <v>4</v>
      </c>
      <c r="AF864" s="18"/>
      <c r="AG864" s="19"/>
      <c r="AL864" s="18"/>
      <c r="AM864" s="19"/>
    </row>
    <row r="865">
      <c r="A865" s="4" t="s">
        <v>2116</v>
      </c>
      <c r="B865" s="10">
        <v>39191.0</v>
      </c>
      <c r="C865" s="11" t="s">
        <v>159</v>
      </c>
      <c r="D865" s="11" t="s">
        <v>75</v>
      </c>
      <c r="E865" s="14" t="s">
        <v>52</v>
      </c>
      <c r="F865" s="11" t="s">
        <v>53</v>
      </c>
      <c r="G865" s="22" t="s">
        <v>83</v>
      </c>
      <c r="H865" s="14"/>
      <c r="I865" s="14"/>
      <c r="J865" s="11">
        <v>24.0</v>
      </c>
      <c r="K865" s="13">
        <v>40057.0</v>
      </c>
      <c r="L865" s="11">
        <f t="shared" si="90"/>
        <v>28</v>
      </c>
      <c r="M865" s="11">
        <v>458008.0</v>
      </c>
      <c r="N865" s="11">
        <v>4303.0</v>
      </c>
      <c r="P865" s="11">
        <v>2.0</v>
      </c>
      <c r="Q865" s="15">
        <v>2.0</v>
      </c>
      <c r="R865" s="22">
        <v>0.0</v>
      </c>
      <c r="S865">
        <f t="shared" si="1"/>
        <v>2007</v>
      </c>
      <c r="T865">
        <f t="shared" si="2"/>
        <v>4</v>
      </c>
      <c r="AF865" s="18"/>
      <c r="AG865" s="19"/>
      <c r="AL865" s="18"/>
      <c r="AM865" s="19"/>
    </row>
    <row r="866">
      <c r="A866" s="4" t="s">
        <v>2117</v>
      </c>
      <c r="B866" s="10">
        <v>39175.0</v>
      </c>
      <c r="C866" s="11" t="s">
        <v>119</v>
      </c>
      <c r="D866" s="11" t="s">
        <v>51</v>
      </c>
      <c r="E866" s="22" t="s">
        <v>1594</v>
      </c>
      <c r="F866" s="11" t="s">
        <v>53</v>
      </c>
      <c r="G866" s="14" t="s">
        <v>54</v>
      </c>
      <c r="H866" s="11" t="s">
        <v>154</v>
      </c>
      <c r="I866" s="11" t="s">
        <v>296</v>
      </c>
      <c r="J866" s="11">
        <v>26.0</v>
      </c>
      <c r="K866" s="13">
        <v>39533.0</v>
      </c>
      <c r="L866" s="11">
        <f t="shared" si="90"/>
        <v>12</v>
      </c>
      <c r="M866" s="11">
        <v>456121.0</v>
      </c>
      <c r="N866" s="11">
        <v>4400.0</v>
      </c>
      <c r="O866" s="4" t="s">
        <v>224</v>
      </c>
      <c r="P866" s="11">
        <v>741.0</v>
      </c>
      <c r="Q866" s="15">
        <v>2221.0</v>
      </c>
      <c r="R866" s="22">
        <v>1.0</v>
      </c>
      <c r="S866">
        <f t="shared" si="1"/>
        <v>2007</v>
      </c>
      <c r="T866">
        <f t="shared" si="2"/>
        <v>4</v>
      </c>
      <c r="AF866" s="18"/>
      <c r="AG866" s="19"/>
      <c r="AL866" s="18"/>
      <c r="AM866" s="19"/>
    </row>
    <row r="867">
      <c r="A867" s="4" t="s">
        <v>2118</v>
      </c>
      <c r="B867" s="10">
        <v>39175.0</v>
      </c>
      <c r="C867" s="11" t="s">
        <v>125</v>
      </c>
      <c r="D867" s="11" t="s">
        <v>124</v>
      </c>
      <c r="E867" s="14" t="s">
        <v>52</v>
      </c>
      <c r="F867" s="11" t="s">
        <v>53</v>
      </c>
      <c r="G867" s="14" t="s">
        <v>54</v>
      </c>
      <c r="H867" s="11" t="s">
        <v>157</v>
      </c>
      <c r="I867" s="11" t="s">
        <v>226</v>
      </c>
      <c r="J867" s="11">
        <v>22.0</v>
      </c>
      <c r="K867" s="13">
        <v>39586.0</v>
      </c>
      <c r="L867" s="11">
        <f t="shared" si="90"/>
        <v>14</v>
      </c>
      <c r="M867" s="11">
        <v>453184.0</v>
      </c>
      <c r="N867" s="11">
        <v>4241.0</v>
      </c>
      <c r="P867" s="11">
        <v>99.0</v>
      </c>
      <c r="Q867" s="15">
        <v>222.333</v>
      </c>
      <c r="R867" s="11">
        <v>0.0</v>
      </c>
      <c r="S867">
        <f t="shared" si="1"/>
        <v>2007</v>
      </c>
      <c r="T867">
        <f t="shared" si="2"/>
        <v>4</v>
      </c>
      <c r="AF867" s="18"/>
      <c r="AG867" s="19"/>
      <c r="AL867" s="18"/>
      <c r="AM867" s="19"/>
    </row>
    <row r="868">
      <c r="A868" s="4" t="s">
        <v>2119</v>
      </c>
      <c r="B868" s="10">
        <v>39173.0</v>
      </c>
      <c r="C868" s="11" t="s">
        <v>142</v>
      </c>
      <c r="D868" s="11" t="s">
        <v>170</v>
      </c>
      <c r="E868" s="14" t="s">
        <v>52</v>
      </c>
      <c r="F868" s="11" t="s">
        <v>53</v>
      </c>
      <c r="G868" s="14" t="s">
        <v>54</v>
      </c>
      <c r="H868" s="11" t="s">
        <v>204</v>
      </c>
      <c r="I868" s="11" t="s">
        <v>477</v>
      </c>
      <c r="J868" s="11">
        <v>16.0</v>
      </c>
      <c r="K868" s="13">
        <v>41006.0</v>
      </c>
      <c r="L868" s="14"/>
      <c r="M868" s="11">
        <v>543563.0</v>
      </c>
      <c r="N868" s="11" t="s">
        <v>2120</v>
      </c>
      <c r="P868" s="11">
        <v>0.0</v>
      </c>
      <c r="Q868" s="15">
        <v>0.0</v>
      </c>
      <c r="R868" s="22">
        <v>1.0</v>
      </c>
      <c r="S868">
        <f t="shared" si="1"/>
        <v>2007</v>
      </c>
      <c r="T868">
        <f t="shared" si="2"/>
        <v>4</v>
      </c>
      <c r="AF868" s="18"/>
      <c r="AG868" s="19"/>
      <c r="AL868" s="18"/>
      <c r="AM868" s="19"/>
    </row>
    <row r="869">
      <c r="A869" s="4" t="s">
        <v>2121</v>
      </c>
      <c r="B869" s="10">
        <v>39172.0</v>
      </c>
      <c r="C869" s="11" t="s">
        <v>103</v>
      </c>
      <c r="D869" s="11" t="s">
        <v>51</v>
      </c>
      <c r="E869" s="14" t="s">
        <v>52</v>
      </c>
      <c r="F869" s="11" t="s">
        <v>76</v>
      </c>
      <c r="G869" s="14" t="s">
        <v>54</v>
      </c>
      <c r="H869" s="11" t="s">
        <v>157</v>
      </c>
      <c r="I869" s="11"/>
      <c r="J869" s="11">
        <v>37.0</v>
      </c>
      <c r="K869" s="13">
        <v>39553.0</v>
      </c>
      <c r="L869" s="11">
        <f t="shared" ref="L869:L872" si="91">ROUND(((K869-B869)/365)*12)</f>
        <v>13</v>
      </c>
      <c r="M869" s="11">
        <v>121125.0</v>
      </c>
      <c r="N869" s="11">
        <v>1097.0</v>
      </c>
      <c r="O869" s="4" t="s">
        <v>704</v>
      </c>
      <c r="P869" s="11">
        <v>247.0</v>
      </c>
      <c r="Q869" s="15">
        <v>176.667</v>
      </c>
      <c r="R869" s="22">
        <v>0.0</v>
      </c>
      <c r="S869">
        <f t="shared" si="1"/>
        <v>2007</v>
      </c>
      <c r="T869">
        <f t="shared" si="2"/>
        <v>3</v>
      </c>
      <c r="AF869" s="18"/>
      <c r="AG869" s="19"/>
      <c r="AL869" s="18"/>
      <c r="AM869" s="19"/>
    </row>
    <row r="870">
      <c r="A870" s="4" t="s">
        <v>2122</v>
      </c>
      <c r="B870" s="10">
        <v>39168.0</v>
      </c>
      <c r="C870" s="11" t="s">
        <v>350</v>
      </c>
      <c r="D870" s="11" t="s">
        <v>82</v>
      </c>
      <c r="E870" s="11" t="s">
        <v>52</v>
      </c>
      <c r="F870" s="11" t="s">
        <v>76</v>
      </c>
      <c r="G870" s="11" t="s">
        <v>83</v>
      </c>
      <c r="H870" s="11"/>
      <c r="I870" s="11"/>
      <c r="J870" s="11">
        <v>24.0</v>
      </c>
      <c r="K870" s="13">
        <v>39543.0</v>
      </c>
      <c r="L870" s="11">
        <f t="shared" si="91"/>
        <v>12</v>
      </c>
      <c r="M870" s="11">
        <v>462943.0</v>
      </c>
      <c r="N870" s="11" t="s">
        <v>2123</v>
      </c>
      <c r="O870" s="4" t="s">
        <v>59</v>
      </c>
      <c r="P870" s="11">
        <v>0.0</v>
      </c>
      <c r="Q870" s="15">
        <v>0.0</v>
      </c>
      <c r="R870" s="22">
        <v>0.0</v>
      </c>
      <c r="S870">
        <f t="shared" si="1"/>
        <v>2007</v>
      </c>
      <c r="T870">
        <f t="shared" si="2"/>
        <v>3</v>
      </c>
      <c r="AF870" s="18"/>
      <c r="AG870" s="19"/>
      <c r="AL870" s="18"/>
      <c r="AM870" s="19"/>
    </row>
    <row r="871">
      <c r="A871" s="4" t="s">
        <v>2124</v>
      </c>
      <c r="B871" s="10">
        <v>39159.0</v>
      </c>
      <c r="C871" s="11" t="s">
        <v>179</v>
      </c>
      <c r="D871" s="11" t="s">
        <v>82</v>
      </c>
      <c r="E871" s="14" t="s">
        <v>52</v>
      </c>
      <c r="F871" s="11" t="s">
        <v>53</v>
      </c>
      <c r="G871" s="14" t="s">
        <v>54</v>
      </c>
      <c r="H871" s="11" t="s">
        <v>126</v>
      </c>
      <c r="I871" s="11" t="s">
        <v>2126</v>
      </c>
      <c r="J871" s="11">
        <v>24.0</v>
      </c>
      <c r="K871" s="13">
        <v>39589.0</v>
      </c>
      <c r="L871" s="11">
        <f t="shared" si="91"/>
        <v>14</v>
      </c>
      <c r="M871" s="11">
        <v>435080.0</v>
      </c>
      <c r="N871" s="11">
        <v>8025.0</v>
      </c>
      <c r="P871" s="11">
        <v>16.0</v>
      </c>
      <c r="Q871" s="15">
        <v>29.0</v>
      </c>
      <c r="R871" s="22">
        <v>0.0</v>
      </c>
      <c r="S871">
        <f t="shared" si="1"/>
        <v>2007</v>
      </c>
      <c r="T871">
        <f t="shared" si="2"/>
        <v>3</v>
      </c>
      <c r="AF871" s="18"/>
      <c r="AG871" s="19"/>
      <c r="AL871" s="18"/>
      <c r="AM871" s="19"/>
    </row>
    <row r="872">
      <c r="A872" s="4" t="s">
        <v>2127</v>
      </c>
      <c r="B872" s="10">
        <v>39154.0</v>
      </c>
      <c r="C872" s="11" t="s">
        <v>156</v>
      </c>
      <c r="D872" s="11" t="s">
        <v>51</v>
      </c>
      <c r="E872" s="14" t="s">
        <v>52</v>
      </c>
      <c r="F872" s="11" t="s">
        <v>53</v>
      </c>
      <c r="G872" s="14" t="s">
        <v>54</v>
      </c>
      <c r="H872" s="11" t="s">
        <v>412</v>
      </c>
      <c r="I872" s="11" t="s">
        <v>2128</v>
      </c>
      <c r="J872" s="11">
        <v>28.0</v>
      </c>
      <c r="K872" s="13">
        <v>39684.0</v>
      </c>
      <c r="L872" s="11">
        <f t="shared" si="91"/>
        <v>17</v>
      </c>
      <c r="M872" s="11">
        <v>448337.0</v>
      </c>
      <c r="N872" s="11">
        <v>3638.0</v>
      </c>
      <c r="O872" s="4" t="s">
        <v>404</v>
      </c>
      <c r="P872" s="11">
        <v>72.0</v>
      </c>
      <c r="Q872" s="15">
        <v>72.0</v>
      </c>
      <c r="R872" s="22">
        <v>0.0</v>
      </c>
      <c r="S872">
        <f t="shared" si="1"/>
        <v>2007</v>
      </c>
      <c r="T872">
        <f t="shared" si="2"/>
        <v>3</v>
      </c>
      <c r="AF872" s="18"/>
      <c r="AG872" s="19"/>
      <c r="AL872" s="18"/>
      <c r="AM872" s="19"/>
    </row>
    <row r="873">
      <c r="A873" s="4" t="s">
        <v>2129</v>
      </c>
      <c r="B873" s="10">
        <v>39142.0</v>
      </c>
      <c r="C873" s="11" t="s">
        <v>229</v>
      </c>
      <c r="D873" s="11" t="s">
        <v>51</v>
      </c>
      <c r="E873" s="14" t="s">
        <v>52</v>
      </c>
      <c r="F873" s="11" t="s">
        <v>53</v>
      </c>
      <c r="G873" s="14" t="s">
        <v>54</v>
      </c>
      <c r="H873" s="11" t="s">
        <v>92</v>
      </c>
      <c r="I873" s="11" t="s">
        <v>2130</v>
      </c>
      <c r="J873" s="11">
        <v>30.0</v>
      </c>
      <c r="K873" s="14"/>
      <c r="L873" s="14"/>
      <c r="M873" s="11">
        <v>333293.0</v>
      </c>
      <c r="N873" s="11">
        <v>460.0</v>
      </c>
      <c r="O873" s="4" t="s">
        <v>59</v>
      </c>
      <c r="P873" s="11">
        <v>0.0</v>
      </c>
      <c r="Q873" s="32">
        <v>0.0</v>
      </c>
      <c r="R873" s="22">
        <v>0.0</v>
      </c>
      <c r="S873">
        <f t="shared" si="1"/>
        <v>2007</v>
      </c>
      <c r="T873">
        <f t="shared" si="2"/>
        <v>3</v>
      </c>
      <c r="AF873" s="18"/>
      <c r="AG873" s="19"/>
      <c r="AL873" s="18"/>
      <c r="AM873" s="19"/>
    </row>
    <row r="874">
      <c r="A874" s="4" t="s">
        <v>2131</v>
      </c>
      <c r="B874" s="10">
        <v>39142.0</v>
      </c>
      <c r="C874" s="11" t="s">
        <v>123</v>
      </c>
      <c r="D874" s="11" t="s">
        <v>151</v>
      </c>
      <c r="E874" s="14" t="s">
        <v>52</v>
      </c>
      <c r="F874" s="11" t="s">
        <v>53</v>
      </c>
      <c r="G874" s="14" t="s">
        <v>54</v>
      </c>
      <c r="H874" s="11" t="s">
        <v>260</v>
      </c>
      <c r="I874" s="11" t="s">
        <v>2106</v>
      </c>
      <c r="J874" s="11">
        <v>20.0</v>
      </c>
      <c r="K874" s="13">
        <v>39527.0</v>
      </c>
      <c r="L874" s="11">
        <f>ROUND(((K874-B874)/365)*12)</f>
        <v>13</v>
      </c>
      <c r="M874" s="11">
        <v>493555.0</v>
      </c>
      <c r="N874" s="11" t="s">
        <v>2132</v>
      </c>
      <c r="P874" s="11">
        <v>0.0</v>
      </c>
      <c r="Q874" s="15">
        <v>0.0</v>
      </c>
      <c r="R874" s="22">
        <v>0.0</v>
      </c>
      <c r="S874">
        <f t="shared" si="1"/>
        <v>2007</v>
      </c>
      <c r="T874">
        <f t="shared" si="2"/>
        <v>3</v>
      </c>
      <c r="AF874" s="18"/>
      <c r="AG874" s="19"/>
      <c r="AL874" s="18"/>
      <c r="AM874" s="19"/>
    </row>
    <row r="875">
      <c r="A875" s="4" t="s">
        <v>2133</v>
      </c>
      <c r="B875" s="10">
        <v>39083.0</v>
      </c>
      <c r="C875" s="11" t="s">
        <v>179</v>
      </c>
      <c r="D875" s="11" t="s">
        <v>51</v>
      </c>
      <c r="E875" s="14" t="s">
        <v>52</v>
      </c>
      <c r="F875" s="11" t="s">
        <v>76</v>
      </c>
      <c r="G875" s="22" t="s">
        <v>399</v>
      </c>
      <c r="H875" s="14"/>
      <c r="I875" s="14"/>
      <c r="J875" s="11">
        <v>30.0</v>
      </c>
      <c r="K875" s="13">
        <v>39991.0</v>
      </c>
      <c r="L875" s="14"/>
      <c r="M875" s="11">
        <v>136600.0</v>
      </c>
      <c r="N875" s="11">
        <v>769.0</v>
      </c>
      <c r="O875" s="4" t="s">
        <v>704</v>
      </c>
      <c r="P875" s="11">
        <v>158.0</v>
      </c>
      <c r="Q875" s="15">
        <v>725.0</v>
      </c>
      <c r="R875" s="22">
        <v>0.0</v>
      </c>
      <c r="S875">
        <f t="shared" si="1"/>
        <v>2007</v>
      </c>
      <c r="T875">
        <f t="shared" si="2"/>
        <v>1</v>
      </c>
      <c r="U875" s="4"/>
      <c r="V875" s="4"/>
      <c r="W875" s="4"/>
      <c r="X875" s="4"/>
      <c r="Y875" s="4"/>
      <c r="Z875" s="4"/>
      <c r="AA875" s="4"/>
      <c r="AB875" s="4"/>
      <c r="AC875" s="4"/>
      <c r="AD875" s="4">
        <v>5.0</v>
      </c>
      <c r="AE875" s="4">
        <v>0.0</v>
      </c>
      <c r="AF875" s="54">
        <v>10.0</v>
      </c>
      <c r="AG875" s="55">
        <v>0.022</v>
      </c>
      <c r="AH875" s="4">
        <v>155.0</v>
      </c>
      <c r="AI875" s="4">
        <v>166.0</v>
      </c>
      <c r="AJ875" s="4">
        <v>17.0</v>
      </c>
      <c r="AK875" s="4">
        <v>9.0</v>
      </c>
      <c r="AL875" s="54">
        <v>62.333</v>
      </c>
      <c r="AM875" s="55">
        <v>0.072</v>
      </c>
      <c r="AN875" s="4">
        <v>129.0</v>
      </c>
      <c r="AO875" s="4">
        <v>126.0</v>
      </c>
    </row>
    <row r="876">
      <c r="A876" s="4" t="s">
        <v>1072</v>
      </c>
      <c r="B876" s="10">
        <v>39083.0</v>
      </c>
      <c r="C876" s="11" t="s">
        <v>142</v>
      </c>
      <c r="D876" s="11" t="s">
        <v>82</v>
      </c>
      <c r="E876" s="14" t="s">
        <v>52</v>
      </c>
      <c r="F876" s="11" t="s">
        <v>53</v>
      </c>
      <c r="G876" s="14" t="s">
        <v>54</v>
      </c>
      <c r="H876" s="11" t="s">
        <v>260</v>
      </c>
      <c r="I876" s="11" t="s">
        <v>2134</v>
      </c>
      <c r="J876" s="11">
        <v>27.0</v>
      </c>
      <c r="K876" s="13">
        <v>39652.0</v>
      </c>
      <c r="L876" s="14"/>
      <c r="M876" s="11">
        <v>453450.0</v>
      </c>
      <c r="N876" s="11" t="s">
        <v>2135</v>
      </c>
      <c r="P876" s="11">
        <v>0.0</v>
      </c>
      <c r="Q876" s="15">
        <v>0.0</v>
      </c>
      <c r="R876" s="22">
        <v>0.0</v>
      </c>
      <c r="S876">
        <f t="shared" si="1"/>
        <v>2007</v>
      </c>
      <c r="T876">
        <f t="shared" si="2"/>
        <v>1</v>
      </c>
      <c r="AF876" s="18"/>
      <c r="AG876" s="19"/>
      <c r="AL876" s="18"/>
      <c r="AM876" s="19"/>
    </row>
    <row r="877">
      <c r="A877" s="4" t="s">
        <v>2136</v>
      </c>
      <c r="B877" s="10">
        <v>39083.0</v>
      </c>
      <c r="C877" s="11" t="s">
        <v>142</v>
      </c>
      <c r="D877" s="11" t="s">
        <v>110</v>
      </c>
      <c r="E877" s="14" t="s">
        <v>52</v>
      </c>
      <c r="F877" s="11" t="s">
        <v>76</v>
      </c>
      <c r="G877" s="14" t="s">
        <v>54</v>
      </c>
      <c r="H877" s="11" t="s">
        <v>99</v>
      </c>
      <c r="I877" s="11" t="s">
        <v>743</v>
      </c>
      <c r="J877" s="11">
        <v>22.0</v>
      </c>
      <c r="K877" s="13">
        <v>39650.0</v>
      </c>
      <c r="L877" s="14"/>
      <c r="M877" s="11">
        <v>453173.0</v>
      </c>
      <c r="N877" s="11" t="s">
        <v>2137</v>
      </c>
      <c r="P877" s="11">
        <v>0.0</v>
      </c>
      <c r="Q877" s="15">
        <v>0.0</v>
      </c>
      <c r="R877" s="22">
        <v>0.0</v>
      </c>
      <c r="S877">
        <f t="shared" si="1"/>
        <v>2007</v>
      </c>
      <c r="T877">
        <f t="shared" si="2"/>
        <v>1</v>
      </c>
      <c r="AF877" s="18"/>
      <c r="AG877" s="19"/>
      <c r="AL877" s="18"/>
      <c r="AM877" s="19"/>
    </row>
    <row r="878">
      <c r="A878" s="4" t="s">
        <v>2138</v>
      </c>
      <c r="B878" s="10">
        <v>39083.0</v>
      </c>
      <c r="C878" s="11" t="s">
        <v>133</v>
      </c>
      <c r="D878" s="11" t="s">
        <v>210</v>
      </c>
      <c r="E878" s="14" t="s">
        <v>52</v>
      </c>
      <c r="F878" s="11" t="s">
        <v>53</v>
      </c>
      <c r="G878" s="14" t="s">
        <v>54</v>
      </c>
      <c r="H878" s="11" t="s">
        <v>449</v>
      </c>
      <c r="I878" s="11"/>
      <c r="J878" s="11">
        <v>19.0</v>
      </c>
      <c r="K878" s="13">
        <v>39915.0</v>
      </c>
      <c r="L878" s="14"/>
      <c r="M878" s="11">
        <v>502175.0</v>
      </c>
      <c r="N878" s="11" t="s">
        <v>2139</v>
      </c>
      <c r="P878" s="11">
        <v>0.0</v>
      </c>
      <c r="Q878" s="15">
        <v>0.0</v>
      </c>
      <c r="R878" s="11">
        <v>0.0</v>
      </c>
      <c r="S878">
        <f t="shared" si="1"/>
        <v>2007</v>
      </c>
      <c r="T878">
        <f t="shared" si="2"/>
        <v>1</v>
      </c>
      <c r="AF878" s="18"/>
      <c r="AG878" s="19"/>
      <c r="AL878" s="18"/>
      <c r="AM878" s="19"/>
    </row>
    <row r="879">
      <c r="A879" s="4" t="s">
        <v>2140</v>
      </c>
      <c r="B879" s="10">
        <v>39083.0</v>
      </c>
      <c r="C879" s="11" t="s">
        <v>119</v>
      </c>
      <c r="D879" s="11" t="s">
        <v>151</v>
      </c>
      <c r="E879" s="11" t="s">
        <v>52</v>
      </c>
      <c r="F879" s="11" t="s">
        <v>53</v>
      </c>
      <c r="G879" s="11" t="s">
        <v>54</v>
      </c>
      <c r="H879" s="11" t="s">
        <v>260</v>
      </c>
      <c r="I879" s="11" t="s">
        <v>2141</v>
      </c>
      <c r="J879" s="11">
        <v>19.0</v>
      </c>
      <c r="K879" s="13">
        <v>40352.0</v>
      </c>
      <c r="L879" s="14"/>
      <c r="M879" s="11">
        <v>595001.0</v>
      </c>
      <c r="N879" s="11">
        <v>10946.0</v>
      </c>
      <c r="P879" s="11">
        <v>0.0</v>
      </c>
      <c r="Q879" s="15">
        <v>0.0</v>
      </c>
      <c r="R879" s="22">
        <v>0.0</v>
      </c>
      <c r="S879">
        <f t="shared" si="1"/>
        <v>2007</v>
      </c>
      <c r="T879">
        <f t="shared" si="2"/>
        <v>1</v>
      </c>
      <c r="AF879" s="18"/>
      <c r="AG879" s="19"/>
      <c r="AL879" s="18"/>
      <c r="AM879" s="19"/>
    </row>
    <row r="880">
      <c r="A880" s="4" t="s">
        <v>2142</v>
      </c>
      <c r="B880" s="10">
        <v>39083.0</v>
      </c>
      <c r="C880" s="11" t="s">
        <v>169</v>
      </c>
      <c r="D880" s="11" t="s">
        <v>151</v>
      </c>
      <c r="E880" s="11" t="s">
        <v>52</v>
      </c>
      <c r="F880" s="11" t="s">
        <v>53</v>
      </c>
      <c r="G880" s="11" t="s">
        <v>54</v>
      </c>
      <c r="H880" s="11" t="s">
        <v>341</v>
      </c>
      <c r="I880" s="11" t="s">
        <v>2143</v>
      </c>
      <c r="J880" s="11">
        <v>21.0</v>
      </c>
      <c r="K880" s="13">
        <v>39985.0</v>
      </c>
      <c r="L880" s="14"/>
      <c r="M880" s="11">
        <v>573188.0</v>
      </c>
      <c r="N880" s="11">
        <v>6780.0</v>
      </c>
      <c r="P880" s="11">
        <v>16.0</v>
      </c>
      <c r="Q880" s="15">
        <v>18.333</v>
      </c>
      <c r="R880" s="22">
        <v>1.0</v>
      </c>
      <c r="S880">
        <f t="shared" si="1"/>
        <v>2007</v>
      </c>
      <c r="T880">
        <f t="shared" si="2"/>
        <v>1</v>
      </c>
      <c r="AF880" s="18"/>
      <c r="AG880" s="19"/>
      <c r="AL880" s="18"/>
      <c r="AM880" s="19"/>
    </row>
    <row r="881">
      <c r="A881" s="4" t="s">
        <v>2145</v>
      </c>
      <c r="B881" s="10">
        <v>39083.0</v>
      </c>
      <c r="C881" s="11" t="s">
        <v>382</v>
      </c>
      <c r="D881" s="11" t="s">
        <v>124</v>
      </c>
      <c r="E881" s="14" t="s">
        <v>52</v>
      </c>
      <c r="F881" s="11" t="s">
        <v>53</v>
      </c>
      <c r="G881" s="14" t="s">
        <v>54</v>
      </c>
      <c r="H881" s="11" t="s">
        <v>92</v>
      </c>
      <c r="I881" s="11" t="s">
        <v>2146</v>
      </c>
      <c r="J881" s="11">
        <v>23.0</v>
      </c>
      <c r="K881" s="13">
        <v>39645.0</v>
      </c>
      <c r="L881" s="14"/>
      <c r="M881" s="11">
        <v>446363.0</v>
      </c>
      <c r="N881" s="11" t="s">
        <v>2147</v>
      </c>
      <c r="P881" s="11">
        <v>0.0</v>
      </c>
      <c r="Q881" s="15">
        <v>0.0</v>
      </c>
      <c r="R881" s="22">
        <v>0.0</v>
      </c>
      <c r="S881">
        <f t="shared" si="1"/>
        <v>2007</v>
      </c>
      <c r="T881">
        <f t="shared" si="2"/>
        <v>1</v>
      </c>
      <c r="AF881" s="18"/>
      <c r="AG881" s="19"/>
      <c r="AL881" s="18"/>
      <c r="AM881" s="19"/>
    </row>
    <row r="882">
      <c r="A882" s="4" t="s">
        <v>418</v>
      </c>
      <c r="B882" s="10">
        <v>39083.0</v>
      </c>
      <c r="C882" s="11" t="s">
        <v>382</v>
      </c>
      <c r="D882" s="11" t="s">
        <v>75</v>
      </c>
      <c r="E882" s="14" t="s">
        <v>52</v>
      </c>
      <c r="F882" s="11" t="s">
        <v>53</v>
      </c>
      <c r="G882" s="14" t="s">
        <v>54</v>
      </c>
      <c r="H882" s="11" t="s">
        <v>305</v>
      </c>
      <c r="I882" s="11" t="s">
        <v>2148</v>
      </c>
      <c r="J882" s="11">
        <v>32.0</v>
      </c>
      <c r="K882" s="13">
        <v>39544.0</v>
      </c>
      <c r="L882" s="14"/>
      <c r="M882" s="11">
        <v>150128.0</v>
      </c>
      <c r="N882" s="11">
        <v>452.0</v>
      </c>
      <c r="P882" s="11">
        <v>9.0</v>
      </c>
      <c r="Q882" s="15">
        <v>11.0</v>
      </c>
      <c r="R882" s="22">
        <v>0.0</v>
      </c>
      <c r="S882">
        <f t="shared" si="1"/>
        <v>2007</v>
      </c>
      <c r="T882">
        <f t="shared" si="2"/>
        <v>1</v>
      </c>
      <c r="AF882" s="18"/>
      <c r="AG882" s="19"/>
      <c r="AL882" s="18"/>
      <c r="AM882" s="19"/>
    </row>
    <row r="883">
      <c r="A883" s="4" t="s">
        <v>2149</v>
      </c>
      <c r="B883" s="10">
        <v>39083.0</v>
      </c>
      <c r="C883" s="11" t="s">
        <v>159</v>
      </c>
      <c r="D883" s="11" t="s">
        <v>82</v>
      </c>
      <c r="E883" s="14" t="s">
        <v>52</v>
      </c>
      <c r="F883" s="11" t="s">
        <v>53</v>
      </c>
      <c r="G883" s="14" t="s">
        <v>54</v>
      </c>
      <c r="H883" s="11" t="s">
        <v>344</v>
      </c>
      <c r="I883" s="11" t="s">
        <v>1797</v>
      </c>
      <c r="J883" s="11">
        <v>24.0</v>
      </c>
      <c r="K883" s="14"/>
      <c r="L883" s="14"/>
      <c r="M883" s="11">
        <v>458698.0</v>
      </c>
      <c r="N883" s="11" t="s">
        <v>2150</v>
      </c>
      <c r="P883" s="11">
        <v>0.0</v>
      </c>
      <c r="Q883" s="15">
        <v>0.0</v>
      </c>
      <c r="R883" s="22">
        <v>0.0</v>
      </c>
      <c r="S883">
        <f t="shared" si="1"/>
        <v>2007</v>
      </c>
      <c r="T883">
        <f t="shared" si="2"/>
        <v>1</v>
      </c>
      <c r="AF883" s="18"/>
      <c r="AG883" s="19"/>
      <c r="AL883" s="18"/>
      <c r="AM883" s="19"/>
    </row>
    <row r="884">
      <c r="A884" s="4" t="s">
        <v>2151</v>
      </c>
      <c r="B884" s="10">
        <v>39083.0</v>
      </c>
      <c r="C884" s="11" t="s">
        <v>239</v>
      </c>
      <c r="D884" s="11" t="s">
        <v>110</v>
      </c>
      <c r="E884" s="11" t="s">
        <v>160</v>
      </c>
      <c r="F884" s="11" t="s">
        <v>53</v>
      </c>
      <c r="G884" s="11" t="s">
        <v>54</v>
      </c>
      <c r="H884" s="11" t="s">
        <v>92</v>
      </c>
      <c r="I884" s="11" t="s">
        <v>204</v>
      </c>
      <c r="J884" s="11">
        <v>24.0</v>
      </c>
      <c r="K884" s="13">
        <v>39541.0</v>
      </c>
      <c r="L884" s="14"/>
      <c r="M884" s="11">
        <v>457524.0</v>
      </c>
      <c r="N884" s="11" t="s">
        <v>2152</v>
      </c>
      <c r="P884" s="11">
        <v>0.0</v>
      </c>
      <c r="Q884" s="15">
        <v>0.0</v>
      </c>
      <c r="R884" s="22">
        <v>0.0</v>
      </c>
      <c r="S884">
        <f t="shared" si="1"/>
        <v>2007</v>
      </c>
      <c r="T884">
        <f t="shared" si="2"/>
        <v>1</v>
      </c>
      <c r="AF884" s="18"/>
      <c r="AG884" s="19"/>
      <c r="AL884" s="18"/>
      <c r="AM884" s="19"/>
    </row>
    <row r="885">
      <c r="A885" s="4" t="s">
        <v>2153</v>
      </c>
      <c r="B885" s="10">
        <v>39083.0</v>
      </c>
      <c r="C885" s="11" t="s">
        <v>229</v>
      </c>
      <c r="D885" s="11" t="s">
        <v>170</v>
      </c>
      <c r="E885" s="11" t="s">
        <v>52</v>
      </c>
      <c r="F885" s="11" t="s">
        <v>53</v>
      </c>
      <c r="G885" s="11" t="s">
        <v>54</v>
      </c>
      <c r="H885" s="11" t="s">
        <v>204</v>
      </c>
      <c r="I885" s="11" t="s">
        <v>93</v>
      </c>
      <c r="J885" s="11">
        <v>18.0</v>
      </c>
      <c r="K885" s="13">
        <v>41080.0</v>
      </c>
      <c r="L885" s="14"/>
      <c r="M885" s="11">
        <v>592811.0</v>
      </c>
      <c r="N885" s="11">
        <v>13533.0</v>
      </c>
      <c r="P885" s="11">
        <v>24.0</v>
      </c>
      <c r="Q885" s="15">
        <v>56.333</v>
      </c>
      <c r="R885" s="22">
        <v>1.0</v>
      </c>
      <c r="S885">
        <f t="shared" si="1"/>
        <v>2007</v>
      </c>
      <c r="T885">
        <f t="shared" si="2"/>
        <v>1</v>
      </c>
      <c r="AF885" s="18"/>
      <c r="AG885" s="19"/>
      <c r="AL885" s="18"/>
      <c r="AM885" s="19"/>
    </row>
    <row r="886">
      <c r="A886" s="4" t="s">
        <v>2155</v>
      </c>
      <c r="B886" s="10">
        <v>39083.0</v>
      </c>
      <c r="C886" s="11" t="s">
        <v>81</v>
      </c>
      <c r="D886" s="11" t="s">
        <v>75</v>
      </c>
      <c r="E886" s="11" t="s">
        <v>52</v>
      </c>
      <c r="F886" s="11" t="s">
        <v>53</v>
      </c>
      <c r="G886" s="11" t="s">
        <v>54</v>
      </c>
      <c r="H886" s="11" t="s">
        <v>476</v>
      </c>
      <c r="I886" s="11" t="s">
        <v>2156</v>
      </c>
      <c r="J886" s="11">
        <v>25.0</v>
      </c>
      <c r="K886" s="13">
        <v>39619.0</v>
      </c>
      <c r="L886" s="14"/>
      <c r="M886" s="11">
        <v>454662.0</v>
      </c>
      <c r="N886" s="11" t="s">
        <v>2157</v>
      </c>
      <c r="P886" s="11">
        <v>0.0</v>
      </c>
      <c r="Q886" s="15">
        <v>0.0</v>
      </c>
      <c r="R886" s="22">
        <v>0.0</v>
      </c>
      <c r="S886">
        <f t="shared" si="1"/>
        <v>2007</v>
      </c>
      <c r="T886">
        <f t="shared" si="2"/>
        <v>1</v>
      </c>
      <c r="AF886" s="18"/>
      <c r="AG886" s="19"/>
      <c r="AL886" s="18"/>
      <c r="AM886" s="19"/>
    </row>
    <row r="887">
      <c r="A887" s="4" t="s">
        <v>2158</v>
      </c>
      <c r="B887" s="10">
        <v>39083.0</v>
      </c>
      <c r="C887" s="11" t="s">
        <v>81</v>
      </c>
      <c r="D887" s="11" t="s">
        <v>124</v>
      </c>
      <c r="E887" s="11" t="s">
        <v>52</v>
      </c>
      <c r="F887" s="11" t="s">
        <v>53</v>
      </c>
      <c r="G887" s="11" t="s">
        <v>83</v>
      </c>
      <c r="H887" s="11"/>
      <c r="I887" s="11"/>
      <c r="J887" s="11">
        <v>23.0</v>
      </c>
      <c r="K887" s="13">
        <v>39914.0</v>
      </c>
      <c r="L887" s="14"/>
      <c r="M887" s="11">
        <v>471822.0</v>
      </c>
      <c r="N887" s="11">
        <v>3397.0</v>
      </c>
      <c r="P887" s="11">
        <v>142.0</v>
      </c>
      <c r="Q887" s="15">
        <v>138.0</v>
      </c>
      <c r="R887" s="22">
        <v>1.0</v>
      </c>
      <c r="S887">
        <f t="shared" si="1"/>
        <v>2007</v>
      </c>
      <c r="T887">
        <f t="shared" si="2"/>
        <v>1</v>
      </c>
      <c r="AF887" s="18"/>
      <c r="AG887" s="19"/>
      <c r="AL887" s="18"/>
      <c r="AM887" s="19"/>
    </row>
    <row r="888">
      <c r="A888" s="4" t="s">
        <v>181</v>
      </c>
      <c r="B888" s="10">
        <v>39083.0</v>
      </c>
      <c r="C888" s="11" t="s">
        <v>81</v>
      </c>
      <c r="D888" s="11" t="s">
        <v>170</v>
      </c>
      <c r="E888" s="14" t="s">
        <v>52</v>
      </c>
      <c r="F888" s="11" t="s">
        <v>53</v>
      </c>
      <c r="G888" s="14" t="s">
        <v>54</v>
      </c>
      <c r="H888" s="11" t="s">
        <v>157</v>
      </c>
      <c r="I888" s="11"/>
      <c r="J888" s="11">
        <v>17.0</v>
      </c>
      <c r="K888" s="13">
        <v>39661.0</v>
      </c>
      <c r="L888" s="14"/>
      <c r="M888" s="11">
        <v>543135.0</v>
      </c>
      <c r="N888" s="11">
        <v>9132.0</v>
      </c>
      <c r="P888" s="11">
        <v>134.0</v>
      </c>
      <c r="Q888" s="15">
        <v>739.0</v>
      </c>
      <c r="R888" s="11">
        <v>0.0</v>
      </c>
      <c r="S888">
        <f t="shared" si="1"/>
        <v>2007</v>
      </c>
      <c r="T888">
        <f t="shared" si="2"/>
        <v>1</v>
      </c>
      <c r="AF888" s="18"/>
      <c r="AG888" s="19"/>
      <c r="AL888" s="18"/>
      <c r="AM888" s="19"/>
    </row>
    <row r="889">
      <c r="A889" s="4" t="s">
        <v>2159</v>
      </c>
      <c r="B889" s="10">
        <v>39083.0</v>
      </c>
      <c r="C889" s="11" t="s">
        <v>114</v>
      </c>
      <c r="D889" s="11" t="s">
        <v>91</v>
      </c>
      <c r="E889" s="14" t="s">
        <v>52</v>
      </c>
      <c r="F889" s="11" t="s">
        <v>53</v>
      </c>
      <c r="G889" s="22" t="s">
        <v>83</v>
      </c>
      <c r="H889" s="14"/>
      <c r="I889" s="14"/>
      <c r="J889" s="11">
        <v>18.0</v>
      </c>
      <c r="K889" s="13">
        <v>39617.0</v>
      </c>
      <c r="L889" s="14"/>
      <c r="M889" s="11">
        <v>503449.0</v>
      </c>
      <c r="N889" s="11">
        <v>7738.0</v>
      </c>
      <c r="P889" s="11">
        <v>113.0</v>
      </c>
      <c r="Q889" s="15">
        <v>647.333</v>
      </c>
      <c r="R889" s="22">
        <v>1.0</v>
      </c>
      <c r="S889">
        <f t="shared" si="1"/>
        <v>2007</v>
      </c>
      <c r="T889">
        <f t="shared" si="2"/>
        <v>1</v>
      </c>
      <c r="AF889" s="18"/>
      <c r="AG889" s="19"/>
      <c r="AL889" s="18"/>
      <c r="AM889" s="19"/>
    </row>
    <row r="890">
      <c r="A890" s="4" t="s">
        <v>2160</v>
      </c>
      <c r="B890" s="10">
        <v>39083.0</v>
      </c>
      <c r="C890" s="11" t="s">
        <v>109</v>
      </c>
      <c r="D890" s="11" t="s">
        <v>170</v>
      </c>
      <c r="E890" s="11" t="s">
        <v>52</v>
      </c>
      <c r="F890" s="11" t="s">
        <v>53</v>
      </c>
      <c r="G890" s="11" t="s">
        <v>54</v>
      </c>
      <c r="H890" s="11" t="s">
        <v>92</v>
      </c>
      <c r="I890" s="11" t="s">
        <v>546</v>
      </c>
      <c r="J890" s="11">
        <v>18.0</v>
      </c>
      <c r="K890" s="13">
        <v>40404.0</v>
      </c>
      <c r="L890" s="14"/>
      <c r="M890" s="11">
        <v>592340.0</v>
      </c>
      <c r="N890" s="11">
        <v>11712.0</v>
      </c>
      <c r="P890" s="11">
        <v>77.0</v>
      </c>
      <c r="Q890" s="15">
        <v>75.667</v>
      </c>
      <c r="R890" s="22">
        <v>1.0</v>
      </c>
      <c r="S890">
        <f t="shared" si="1"/>
        <v>2007</v>
      </c>
      <c r="T890">
        <f t="shared" si="2"/>
        <v>1</v>
      </c>
      <c r="AF890" s="18"/>
      <c r="AG890" s="19"/>
      <c r="AL890" s="18"/>
      <c r="AM890" s="19"/>
    </row>
    <row r="891">
      <c r="A891" s="4" t="s">
        <v>2161</v>
      </c>
      <c r="B891" s="10">
        <v>39083.0</v>
      </c>
      <c r="C891" s="11" t="s">
        <v>109</v>
      </c>
      <c r="D891" s="11" t="s">
        <v>151</v>
      </c>
      <c r="E891" s="14" t="s">
        <v>52</v>
      </c>
      <c r="F891" s="11" t="s">
        <v>53</v>
      </c>
      <c r="G891" s="22" t="s">
        <v>735</v>
      </c>
      <c r="H891" s="14"/>
      <c r="I891" s="14"/>
      <c r="J891" s="11">
        <v>28.0</v>
      </c>
      <c r="K891" s="13">
        <v>40276.0</v>
      </c>
      <c r="L891" s="14"/>
      <c r="M891" s="11">
        <v>579799.0</v>
      </c>
      <c r="N891" s="11">
        <v>10232.0</v>
      </c>
      <c r="P891" s="11">
        <v>83.0</v>
      </c>
      <c r="Q891" s="15">
        <v>73.0</v>
      </c>
      <c r="R891" s="22">
        <v>0.0</v>
      </c>
      <c r="S891">
        <f t="shared" si="1"/>
        <v>2007</v>
      </c>
      <c r="T891">
        <f t="shared" si="2"/>
        <v>1</v>
      </c>
      <c r="AF891" s="18"/>
      <c r="AG891" s="19"/>
      <c r="AL891" s="18"/>
      <c r="AM891" s="19"/>
    </row>
    <row r="892">
      <c r="A892" s="4" t="s">
        <v>2163</v>
      </c>
      <c r="B892" s="10">
        <v>39083.0</v>
      </c>
      <c r="C892" s="11" t="s">
        <v>138</v>
      </c>
      <c r="D892" s="11" t="s">
        <v>124</v>
      </c>
      <c r="E892" s="14" t="s">
        <v>52</v>
      </c>
      <c r="F892" s="11" t="s">
        <v>53</v>
      </c>
      <c r="G892" s="22" t="s">
        <v>83</v>
      </c>
      <c r="H892" s="14"/>
      <c r="I892" s="14"/>
      <c r="J892" s="11">
        <v>20.0</v>
      </c>
      <c r="K892" s="13">
        <v>39912.0</v>
      </c>
      <c r="L892" s="14"/>
      <c r="M892" s="11">
        <v>456051.0</v>
      </c>
      <c r="N892" s="11">
        <v>3292.0</v>
      </c>
      <c r="P892" s="11">
        <v>107.0</v>
      </c>
      <c r="Q892" s="15">
        <v>395.333</v>
      </c>
      <c r="R892" s="11">
        <v>0.0</v>
      </c>
      <c r="S892">
        <f t="shared" si="1"/>
        <v>2007</v>
      </c>
      <c r="T892">
        <f t="shared" si="2"/>
        <v>1</v>
      </c>
      <c r="AF892" s="18"/>
      <c r="AG892" s="19"/>
      <c r="AL892" s="18"/>
      <c r="AM892" s="19"/>
    </row>
    <row r="893">
      <c r="A893" s="4" t="s">
        <v>2164</v>
      </c>
      <c r="B893" s="10">
        <v>39083.0</v>
      </c>
      <c r="C893" s="11" t="s">
        <v>103</v>
      </c>
      <c r="D893" s="11" t="s">
        <v>75</v>
      </c>
      <c r="E893" s="11" t="s">
        <v>52</v>
      </c>
      <c r="F893" s="11" t="s">
        <v>76</v>
      </c>
      <c r="G893" s="11" t="s">
        <v>54</v>
      </c>
      <c r="H893" s="11" t="s">
        <v>77</v>
      </c>
      <c r="I893" s="11" t="s">
        <v>242</v>
      </c>
      <c r="J893" s="11">
        <v>28.0</v>
      </c>
      <c r="K893" s="13"/>
      <c r="L893" s="14"/>
      <c r="M893" s="11">
        <v>445224.0</v>
      </c>
      <c r="N893" s="11" t="s">
        <v>2165</v>
      </c>
      <c r="O893" s="4" t="s">
        <v>287</v>
      </c>
      <c r="P893" s="11">
        <v>0.0</v>
      </c>
      <c r="Q893" s="15">
        <v>0.0</v>
      </c>
      <c r="R893" s="22">
        <v>0.0</v>
      </c>
      <c r="S893">
        <f t="shared" si="1"/>
        <v>2007</v>
      </c>
      <c r="T893">
        <f t="shared" si="2"/>
        <v>1</v>
      </c>
      <c r="AF893" s="18"/>
      <c r="AG893" s="19"/>
      <c r="AL893" s="18"/>
      <c r="AM893" s="19"/>
    </row>
    <row r="894">
      <c r="A894" s="4" t="s">
        <v>2166</v>
      </c>
      <c r="B894" s="10">
        <v>39083.0</v>
      </c>
      <c r="C894" s="11" t="s">
        <v>125</v>
      </c>
      <c r="D894" s="11" t="s">
        <v>170</v>
      </c>
      <c r="E894" s="14" t="s">
        <v>52</v>
      </c>
      <c r="F894" s="11" t="s">
        <v>53</v>
      </c>
      <c r="G894" s="14" t="s">
        <v>54</v>
      </c>
      <c r="H894" s="11" t="s">
        <v>260</v>
      </c>
      <c r="I894" s="11"/>
      <c r="J894" s="11">
        <v>13.0</v>
      </c>
      <c r="K894" s="13">
        <v>41449.0</v>
      </c>
      <c r="L894" s="14"/>
      <c r="M894" s="11">
        <v>621152.0</v>
      </c>
      <c r="N894" s="11" t="s">
        <v>2167</v>
      </c>
      <c r="O894" s="4" t="s">
        <v>59</v>
      </c>
      <c r="P894" s="11">
        <v>0.0</v>
      </c>
      <c r="Q894" s="15">
        <v>0.0</v>
      </c>
      <c r="R894" s="22">
        <v>0.0</v>
      </c>
      <c r="S894">
        <f t="shared" si="1"/>
        <v>2007</v>
      </c>
      <c r="T894">
        <f t="shared" si="2"/>
        <v>1</v>
      </c>
      <c r="AF894" s="18"/>
      <c r="AG894" s="19"/>
      <c r="AL894" s="18"/>
      <c r="AM894" s="19"/>
    </row>
    <row r="895">
      <c r="A895" s="4" t="s">
        <v>2168</v>
      </c>
      <c r="B895" s="10">
        <v>39083.0</v>
      </c>
      <c r="C895" s="11" t="s">
        <v>49</v>
      </c>
      <c r="D895" s="11" t="s">
        <v>124</v>
      </c>
      <c r="E895" s="14" t="s">
        <v>52</v>
      </c>
      <c r="F895" s="11" t="s">
        <v>53</v>
      </c>
      <c r="G895" s="14" t="s">
        <v>54</v>
      </c>
      <c r="H895" s="11" t="s">
        <v>92</v>
      </c>
      <c r="I895" s="11"/>
      <c r="J895" s="11">
        <v>21.0</v>
      </c>
      <c r="K895" s="13">
        <v>40297.0</v>
      </c>
      <c r="L895" s="14"/>
      <c r="M895" s="11">
        <v>456713.0</v>
      </c>
      <c r="N895" s="11">
        <v>1246.0</v>
      </c>
      <c r="P895" s="11">
        <v>0.0</v>
      </c>
      <c r="Q895" s="15">
        <v>0.0</v>
      </c>
      <c r="R895" s="22">
        <v>0.0</v>
      </c>
      <c r="S895">
        <f t="shared" si="1"/>
        <v>2007</v>
      </c>
      <c r="T895">
        <f t="shared" si="2"/>
        <v>1</v>
      </c>
      <c r="AF895" s="18"/>
      <c r="AG895" s="19"/>
      <c r="AL895" s="18"/>
      <c r="AM895" s="19"/>
    </row>
    <row r="896">
      <c r="A896" s="4" t="s">
        <v>2169</v>
      </c>
      <c r="B896" s="10">
        <v>39083.0</v>
      </c>
      <c r="C896" s="11" t="s">
        <v>90</v>
      </c>
      <c r="D896" s="11" t="s">
        <v>151</v>
      </c>
      <c r="E896" s="14" t="s">
        <v>52</v>
      </c>
      <c r="F896" s="11" t="s">
        <v>53</v>
      </c>
      <c r="G896" s="14" t="s">
        <v>54</v>
      </c>
      <c r="H896" s="11" t="s">
        <v>157</v>
      </c>
      <c r="I896" s="11" t="s">
        <v>157</v>
      </c>
      <c r="J896" s="11">
        <v>21.0</v>
      </c>
      <c r="K896" s="13">
        <v>39620.0</v>
      </c>
      <c r="L896" s="14"/>
      <c r="M896" s="11">
        <v>459420.0</v>
      </c>
      <c r="N896" s="11" t="s">
        <v>2171</v>
      </c>
      <c r="P896" s="11">
        <v>0.0</v>
      </c>
      <c r="Q896" s="15">
        <v>0.0</v>
      </c>
      <c r="R896" s="11">
        <v>0.0</v>
      </c>
      <c r="S896">
        <f t="shared" si="1"/>
        <v>2007</v>
      </c>
      <c r="T896">
        <f t="shared" si="2"/>
        <v>1</v>
      </c>
      <c r="AF896" s="18"/>
      <c r="AG896" s="19"/>
      <c r="AL896" s="18"/>
      <c r="AM896" s="19"/>
    </row>
    <row r="897">
      <c r="A897" s="4" t="s">
        <v>2172</v>
      </c>
      <c r="B897" s="10">
        <v>39083.0</v>
      </c>
      <c r="C897" s="11" t="s">
        <v>156</v>
      </c>
      <c r="D897" s="11" t="s">
        <v>151</v>
      </c>
      <c r="E897" s="11" t="s">
        <v>834</v>
      </c>
      <c r="F897" s="11" t="s">
        <v>53</v>
      </c>
      <c r="G897" s="11" t="s">
        <v>54</v>
      </c>
      <c r="H897" s="11" t="s">
        <v>157</v>
      </c>
      <c r="I897" s="11" t="s">
        <v>868</v>
      </c>
      <c r="J897" s="11">
        <v>21.0</v>
      </c>
      <c r="K897" s="13">
        <v>39983.0</v>
      </c>
      <c r="L897" s="11"/>
      <c r="M897" s="11">
        <v>572761.0</v>
      </c>
      <c r="N897" s="11">
        <v>8090.0</v>
      </c>
      <c r="P897" s="11">
        <v>719.0</v>
      </c>
      <c r="Q897" s="15">
        <v>3016.0</v>
      </c>
      <c r="R897" s="22">
        <v>1.0</v>
      </c>
      <c r="S897">
        <f t="shared" si="1"/>
        <v>2007</v>
      </c>
      <c r="T897">
        <f t="shared" si="2"/>
        <v>1</v>
      </c>
      <c r="AF897" s="18"/>
      <c r="AG897" s="19"/>
      <c r="AL897" s="18"/>
      <c r="AM897" s="19"/>
    </row>
    <row r="898">
      <c r="A898" s="4" t="s">
        <v>2173</v>
      </c>
      <c r="B898" s="10">
        <v>39083.0</v>
      </c>
      <c r="C898" s="11" t="s">
        <v>179</v>
      </c>
      <c r="D898" s="11" t="s">
        <v>110</v>
      </c>
      <c r="E898" s="11" t="s">
        <v>52</v>
      </c>
      <c r="F898" s="11" t="s">
        <v>53</v>
      </c>
      <c r="G898" s="11" t="s">
        <v>54</v>
      </c>
      <c r="H898" s="11" t="s">
        <v>279</v>
      </c>
      <c r="I898" s="11"/>
      <c r="J898" s="11">
        <v>23.0</v>
      </c>
      <c r="K898" s="13">
        <v>39545.0</v>
      </c>
      <c r="L898" s="11"/>
      <c r="M898" s="11">
        <v>452673.0</v>
      </c>
      <c r="N898" s="11" t="s">
        <v>2174</v>
      </c>
      <c r="P898" s="11">
        <v>0.0</v>
      </c>
      <c r="Q898" s="15">
        <v>0.0</v>
      </c>
      <c r="R898" s="22">
        <v>0.0</v>
      </c>
      <c r="S898">
        <f t="shared" si="1"/>
        <v>2007</v>
      </c>
      <c r="T898">
        <f t="shared" si="2"/>
        <v>1</v>
      </c>
      <c r="AF898" s="18"/>
      <c r="AG898" s="19"/>
      <c r="AL898" s="18"/>
      <c r="AM898" s="19"/>
    </row>
    <row r="899">
      <c r="A899" s="4" t="s">
        <v>2175</v>
      </c>
      <c r="B899" s="10">
        <v>39052.0</v>
      </c>
      <c r="C899" s="11" t="s">
        <v>229</v>
      </c>
      <c r="D899" s="11" t="s">
        <v>124</v>
      </c>
      <c r="E899" s="14" t="s">
        <v>52</v>
      </c>
      <c r="F899" s="11" t="s">
        <v>53</v>
      </c>
      <c r="G899" s="14" t="s">
        <v>54</v>
      </c>
      <c r="H899" s="11" t="s">
        <v>291</v>
      </c>
      <c r="I899" s="11"/>
      <c r="J899" s="11">
        <v>20.0</v>
      </c>
      <c r="K899" s="13">
        <v>39637.0</v>
      </c>
      <c r="L899" s="11">
        <f t="shared" ref="L899:L912" si="92">ROUND(((K899-B899)/365)*12)</f>
        <v>19</v>
      </c>
      <c r="M899" s="11">
        <v>449170.0</v>
      </c>
      <c r="N899" s="11">
        <v>4086.0</v>
      </c>
      <c r="P899" s="11">
        <v>15.0</v>
      </c>
      <c r="Q899" s="15">
        <v>18.333</v>
      </c>
      <c r="R899" s="11">
        <v>0.0</v>
      </c>
      <c r="S899">
        <f t="shared" si="1"/>
        <v>2006</v>
      </c>
      <c r="T899">
        <f t="shared" si="2"/>
        <v>12</v>
      </c>
      <c r="AF899" s="18"/>
      <c r="AG899" s="19"/>
      <c r="AL899" s="18"/>
      <c r="AM899" s="19"/>
    </row>
    <row r="900">
      <c r="A900" s="4" t="s">
        <v>427</v>
      </c>
      <c r="B900" s="10">
        <v>39027.0</v>
      </c>
      <c r="C900" s="11" t="s">
        <v>123</v>
      </c>
      <c r="D900" s="11" t="s">
        <v>51</v>
      </c>
      <c r="E900" s="14" t="s">
        <v>52</v>
      </c>
      <c r="F900" s="11" t="s">
        <v>76</v>
      </c>
      <c r="G900" s="22" t="s">
        <v>83</v>
      </c>
      <c r="H900" s="14"/>
      <c r="I900" s="14"/>
      <c r="J900" s="11">
        <v>22.0</v>
      </c>
      <c r="K900" s="13">
        <v>39551.0</v>
      </c>
      <c r="L900" s="11">
        <f t="shared" si="92"/>
        <v>17</v>
      </c>
      <c r="M900" s="11">
        <v>434538.0</v>
      </c>
      <c r="N900" s="11">
        <v>3201.0</v>
      </c>
      <c r="O900" s="4" t="s">
        <v>704</v>
      </c>
      <c r="P900" s="11">
        <v>251.0</v>
      </c>
      <c r="Q900" s="15">
        <v>1368.333</v>
      </c>
      <c r="R900" s="22">
        <v>1.0</v>
      </c>
      <c r="S900">
        <f t="shared" si="1"/>
        <v>2006</v>
      </c>
      <c r="T900">
        <f t="shared" si="2"/>
        <v>11</v>
      </c>
      <c r="U900" s="4"/>
      <c r="V900" s="4"/>
      <c r="W900" s="4"/>
      <c r="X900" s="4"/>
      <c r="Y900" s="4"/>
      <c r="Z900" s="4"/>
      <c r="AA900" s="4"/>
      <c r="AB900" s="4"/>
      <c r="AC900" s="4"/>
      <c r="AD900" s="4">
        <v>28.0</v>
      </c>
      <c r="AE900" s="4">
        <v>16.0</v>
      </c>
      <c r="AF900" s="54">
        <v>121.0</v>
      </c>
      <c r="AG900" s="55">
        <v>0.237</v>
      </c>
      <c r="AH900" s="4">
        <v>48.0</v>
      </c>
      <c r="AI900" s="4">
        <v>57.0</v>
      </c>
      <c r="AJ900" s="4">
        <v>14.0</v>
      </c>
      <c r="AK900" s="4">
        <v>14.0</v>
      </c>
      <c r="AL900" s="54">
        <v>76.0</v>
      </c>
      <c r="AM900" s="55">
        <v>0.106</v>
      </c>
      <c r="AN900" s="4">
        <v>91.0</v>
      </c>
      <c r="AO900" s="4">
        <v>90.0</v>
      </c>
    </row>
    <row r="901">
      <c r="A901" s="4" t="s">
        <v>387</v>
      </c>
      <c r="B901" s="10">
        <v>39021.0</v>
      </c>
      <c r="C901" s="11" t="s">
        <v>138</v>
      </c>
      <c r="D901" s="11" t="s">
        <v>210</v>
      </c>
      <c r="E901" s="14" t="s">
        <v>52</v>
      </c>
      <c r="F901" s="11" t="s">
        <v>53</v>
      </c>
      <c r="G901" s="14" t="s">
        <v>54</v>
      </c>
      <c r="H901" s="11" t="s">
        <v>341</v>
      </c>
      <c r="I901" s="11" t="s">
        <v>279</v>
      </c>
      <c r="J901" s="11">
        <v>21.0</v>
      </c>
      <c r="K901" s="13">
        <v>39542.0</v>
      </c>
      <c r="L901" s="11">
        <f t="shared" si="92"/>
        <v>17</v>
      </c>
      <c r="M901" s="11">
        <v>453343.0</v>
      </c>
      <c r="N901" s="11">
        <v>4264.0</v>
      </c>
      <c r="P901" s="11">
        <v>444.0</v>
      </c>
      <c r="Q901" s="15">
        <v>447.0</v>
      </c>
      <c r="R901" s="22">
        <v>1.0</v>
      </c>
      <c r="S901">
        <f t="shared" si="1"/>
        <v>2006</v>
      </c>
      <c r="T901">
        <f t="shared" si="2"/>
        <v>10</v>
      </c>
      <c r="AF901" s="18"/>
      <c r="AG901" s="19"/>
      <c r="AL901" s="18"/>
      <c r="AM901" s="19"/>
    </row>
    <row r="902">
      <c r="A902" s="4" t="s">
        <v>733</v>
      </c>
      <c r="B902" s="10">
        <v>38989.0</v>
      </c>
      <c r="C902" s="11" t="s">
        <v>103</v>
      </c>
      <c r="D902" s="11" t="s">
        <v>51</v>
      </c>
      <c r="E902" s="14" t="s">
        <v>52</v>
      </c>
      <c r="F902" s="11" t="s">
        <v>53</v>
      </c>
      <c r="G902" s="22" t="s">
        <v>312</v>
      </c>
      <c r="H902" s="14"/>
      <c r="I902" s="14"/>
      <c r="J902" s="11">
        <v>22.0</v>
      </c>
      <c r="K902" s="13">
        <v>40347.0</v>
      </c>
      <c r="L902" s="11">
        <f t="shared" si="92"/>
        <v>45</v>
      </c>
      <c r="M902" s="11">
        <v>455949.0</v>
      </c>
      <c r="N902" s="11">
        <v>4771.0</v>
      </c>
      <c r="O902" s="4" t="s">
        <v>704</v>
      </c>
      <c r="P902" s="11">
        <v>0.0</v>
      </c>
      <c r="Q902" s="15">
        <v>0.0</v>
      </c>
      <c r="R902" s="22">
        <v>0.0</v>
      </c>
      <c r="S902">
        <f t="shared" si="1"/>
        <v>2006</v>
      </c>
      <c r="T902">
        <f t="shared" si="2"/>
        <v>9</v>
      </c>
      <c r="AF902" s="18"/>
      <c r="AG902" s="19"/>
      <c r="AL902" s="18"/>
      <c r="AM902" s="19"/>
    </row>
    <row r="903">
      <c r="A903" s="4" t="s">
        <v>2176</v>
      </c>
      <c r="B903" s="10">
        <v>38988.0</v>
      </c>
      <c r="C903" s="11" t="s">
        <v>81</v>
      </c>
      <c r="D903" s="11" t="s">
        <v>91</v>
      </c>
      <c r="E903" s="14" t="s">
        <v>52</v>
      </c>
      <c r="F903" s="11" t="s">
        <v>53</v>
      </c>
      <c r="G903" s="14" t="s">
        <v>54</v>
      </c>
      <c r="H903" s="11" t="s">
        <v>204</v>
      </c>
      <c r="I903" s="11" t="s">
        <v>2177</v>
      </c>
      <c r="J903" s="11">
        <v>19.0</v>
      </c>
      <c r="K903" s="13">
        <v>39542.0</v>
      </c>
      <c r="L903" s="11">
        <f t="shared" si="92"/>
        <v>18</v>
      </c>
      <c r="M903" s="11">
        <v>457768.0</v>
      </c>
      <c r="N903" s="11">
        <v>10234.0</v>
      </c>
      <c r="P903" s="11">
        <v>211.0</v>
      </c>
      <c r="Q903" s="15">
        <v>215.0</v>
      </c>
      <c r="R903" s="22">
        <v>1.0</v>
      </c>
      <c r="S903">
        <f t="shared" si="1"/>
        <v>2006</v>
      </c>
      <c r="T903">
        <f t="shared" si="2"/>
        <v>9</v>
      </c>
      <c r="AF903" s="18"/>
      <c r="AG903" s="19"/>
      <c r="AL903" s="18"/>
      <c r="AM903" s="19"/>
    </row>
    <row r="904">
      <c r="A904" s="4" t="s">
        <v>2178</v>
      </c>
      <c r="B904" s="10">
        <v>38987.0</v>
      </c>
      <c r="C904" s="11" t="s">
        <v>270</v>
      </c>
      <c r="D904" s="11" t="s">
        <v>75</v>
      </c>
      <c r="E904" s="14" t="s">
        <v>52</v>
      </c>
      <c r="F904" s="11" t="s">
        <v>53</v>
      </c>
      <c r="G904" s="22" t="s">
        <v>83</v>
      </c>
      <c r="H904" s="14"/>
      <c r="I904" s="14"/>
      <c r="J904" s="11">
        <v>24.0</v>
      </c>
      <c r="K904" s="13">
        <v>40282.0</v>
      </c>
      <c r="L904" s="11">
        <f t="shared" si="92"/>
        <v>43</v>
      </c>
      <c r="M904" s="11">
        <v>429723.0</v>
      </c>
      <c r="N904" s="11">
        <v>7019.0</v>
      </c>
      <c r="P904" s="11">
        <v>72.0</v>
      </c>
      <c r="Q904" s="15">
        <v>71.0</v>
      </c>
      <c r="R904" s="22">
        <v>0.0</v>
      </c>
      <c r="S904">
        <f t="shared" si="1"/>
        <v>2006</v>
      </c>
      <c r="T904">
        <f t="shared" si="2"/>
        <v>9</v>
      </c>
      <c r="AF904" s="18"/>
      <c r="AG904" s="19"/>
      <c r="AL904" s="18"/>
      <c r="AM904" s="19"/>
    </row>
    <row r="905">
      <c r="A905" s="4" t="s">
        <v>675</v>
      </c>
      <c r="B905" s="10">
        <v>38984.0</v>
      </c>
      <c r="C905" s="11" t="s">
        <v>156</v>
      </c>
      <c r="D905" s="11" t="s">
        <v>51</v>
      </c>
      <c r="E905" s="14" t="s">
        <v>52</v>
      </c>
      <c r="F905" s="11" t="s">
        <v>53</v>
      </c>
      <c r="G905" s="14" t="s">
        <v>54</v>
      </c>
      <c r="H905" s="11" t="s">
        <v>92</v>
      </c>
      <c r="I905" s="11" t="s">
        <v>2179</v>
      </c>
      <c r="J905" s="11">
        <v>31.0</v>
      </c>
      <c r="K905" s="13">
        <v>39541.0</v>
      </c>
      <c r="L905" s="11">
        <f t="shared" si="92"/>
        <v>18</v>
      </c>
      <c r="M905" s="11">
        <v>150221.0</v>
      </c>
      <c r="N905" s="11">
        <v>1457.0</v>
      </c>
      <c r="O905" s="4" t="s">
        <v>2180</v>
      </c>
      <c r="P905" s="11">
        <v>102.0</v>
      </c>
      <c r="Q905" s="32">
        <v>113.0</v>
      </c>
      <c r="R905" s="22">
        <v>0.0</v>
      </c>
      <c r="S905">
        <f t="shared" si="1"/>
        <v>2006</v>
      </c>
      <c r="T905">
        <f t="shared" si="2"/>
        <v>9</v>
      </c>
      <c r="AF905" s="18"/>
      <c r="AG905" s="19"/>
      <c r="AL905" s="18"/>
      <c r="AM905" s="19"/>
    </row>
    <row r="906">
      <c r="A906" s="4" t="s">
        <v>2181</v>
      </c>
      <c r="B906" s="10">
        <v>38968.0</v>
      </c>
      <c r="C906" s="11" t="s">
        <v>90</v>
      </c>
      <c r="D906" s="11" t="s">
        <v>51</v>
      </c>
      <c r="E906" s="14" t="s">
        <v>52</v>
      </c>
      <c r="F906" s="11" t="s">
        <v>76</v>
      </c>
      <c r="G906" s="14" t="s">
        <v>54</v>
      </c>
      <c r="H906" s="11" t="s">
        <v>92</v>
      </c>
      <c r="I906" s="11" t="s">
        <v>425</v>
      </c>
      <c r="J906" s="11">
        <v>35.0</v>
      </c>
      <c r="K906" s="13">
        <v>39303.0</v>
      </c>
      <c r="L906" s="11">
        <f t="shared" si="92"/>
        <v>11</v>
      </c>
      <c r="M906" s="11">
        <v>115216.0</v>
      </c>
      <c r="N906" s="11">
        <v>727.0</v>
      </c>
      <c r="O906" s="4" t="s">
        <v>704</v>
      </c>
      <c r="P906" s="11">
        <v>127.0</v>
      </c>
      <c r="Q906" s="32">
        <v>108.33299999999998</v>
      </c>
      <c r="R906" s="22">
        <v>0.0</v>
      </c>
      <c r="S906">
        <f t="shared" si="1"/>
        <v>2006</v>
      </c>
      <c r="T906">
        <f t="shared" si="2"/>
        <v>9</v>
      </c>
      <c r="AF906" s="18"/>
      <c r="AG906" s="19"/>
      <c r="AL906" s="18"/>
      <c r="AM906" s="19"/>
    </row>
    <row r="907">
      <c r="A907" s="4" t="s">
        <v>2182</v>
      </c>
      <c r="B907" s="10">
        <v>38967.0</v>
      </c>
      <c r="C907" s="11" t="s">
        <v>239</v>
      </c>
      <c r="D907" s="11" t="s">
        <v>51</v>
      </c>
      <c r="E907" s="14" t="s">
        <v>52</v>
      </c>
      <c r="F907" s="11" t="s">
        <v>53</v>
      </c>
      <c r="G907" s="14" t="s">
        <v>54</v>
      </c>
      <c r="H907" s="11" t="s">
        <v>157</v>
      </c>
      <c r="I907" s="11" t="s">
        <v>2183</v>
      </c>
      <c r="J907" s="11">
        <v>28.0</v>
      </c>
      <c r="K907" s="13">
        <v>39329.0</v>
      </c>
      <c r="L907" s="11">
        <f t="shared" si="92"/>
        <v>12</v>
      </c>
      <c r="M907" s="11">
        <v>407840.0</v>
      </c>
      <c r="N907" s="11">
        <v>1529.0</v>
      </c>
      <c r="O907" s="4" t="s">
        <v>59</v>
      </c>
      <c r="P907" s="11">
        <v>41.0</v>
      </c>
      <c r="Q907" s="32">
        <v>208.33299999999997</v>
      </c>
      <c r="R907" s="22">
        <v>0.0</v>
      </c>
      <c r="S907">
        <f t="shared" si="1"/>
        <v>2006</v>
      </c>
      <c r="T907">
        <f t="shared" si="2"/>
        <v>9</v>
      </c>
      <c r="U907" s="4"/>
      <c r="V907" s="4"/>
      <c r="W907" s="4"/>
      <c r="X907" s="4"/>
      <c r="Y907" s="4"/>
      <c r="Z907" s="4"/>
      <c r="AA907" s="4"/>
      <c r="AB907" s="4"/>
      <c r="AC907" s="4"/>
      <c r="AD907" s="4">
        <v>8.0</v>
      </c>
      <c r="AE907" s="4">
        <v>8.0</v>
      </c>
      <c r="AF907" s="54">
        <v>43.0</v>
      </c>
      <c r="AG907" s="55">
        <v>0.005</v>
      </c>
      <c r="AH907" s="4">
        <v>84.0</v>
      </c>
      <c r="AI907" s="4">
        <v>108.0</v>
      </c>
      <c r="AJ907" s="4">
        <v>5.0</v>
      </c>
      <c r="AK907" s="4">
        <v>5.0</v>
      </c>
      <c r="AL907" s="54">
        <v>28.667</v>
      </c>
      <c r="AM907" s="55">
        <v>0.0</v>
      </c>
      <c r="AN907" s="4">
        <v>86.0</v>
      </c>
      <c r="AO907" s="4">
        <v>125.0</v>
      </c>
    </row>
    <row r="908">
      <c r="A908" s="4" t="s">
        <v>2184</v>
      </c>
      <c r="B908" s="10">
        <v>38961.0</v>
      </c>
      <c r="C908" s="11" t="s">
        <v>229</v>
      </c>
      <c r="D908" s="11" t="s">
        <v>91</v>
      </c>
      <c r="E908" s="11" t="s">
        <v>52</v>
      </c>
      <c r="F908" s="11" t="s">
        <v>53</v>
      </c>
      <c r="G908" s="11" t="s">
        <v>54</v>
      </c>
      <c r="H908" s="11" t="s">
        <v>549</v>
      </c>
      <c r="I908" s="11"/>
      <c r="J908" s="11">
        <v>19.0</v>
      </c>
      <c r="K908" s="13">
        <v>39619.0</v>
      </c>
      <c r="L908" s="11">
        <f t="shared" si="92"/>
        <v>22</v>
      </c>
      <c r="M908" s="11">
        <v>489224.0</v>
      </c>
      <c r="N908" s="11" t="s">
        <v>2185</v>
      </c>
      <c r="O908" s="4"/>
      <c r="P908" s="11">
        <v>0.0</v>
      </c>
      <c r="Q908" s="15">
        <v>0.0</v>
      </c>
      <c r="R908" s="22">
        <v>0.0</v>
      </c>
      <c r="S908">
        <f t="shared" si="1"/>
        <v>2006</v>
      </c>
      <c r="T908">
        <f t="shared" si="2"/>
        <v>9</v>
      </c>
      <c r="AF908" s="18"/>
      <c r="AG908" s="19"/>
      <c r="AL908" s="18"/>
      <c r="AM908" s="19"/>
    </row>
    <row r="909">
      <c r="A909" s="4" t="s">
        <v>2186</v>
      </c>
      <c r="B909" s="10">
        <v>38960.0</v>
      </c>
      <c r="C909" s="11" t="s">
        <v>331</v>
      </c>
      <c r="D909" s="11" t="s">
        <v>51</v>
      </c>
      <c r="E909" s="14" t="s">
        <v>52</v>
      </c>
      <c r="F909" s="11" t="s">
        <v>53</v>
      </c>
      <c r="G909" s="14" t="s">
        <v>54</v>
      </c>
      <c r="H909" s="11" t="s">
        <v>157</v>
      </c>
      <c r="I909" s="11" t="s">
        <v>724</v>
      </c>
      <c r="J909" s="11">
        <v>23.0</v>
      </c>
      <c r="K909" s="13">
        <v>39327.0</v>
      </c>
      <c r="L909" s="11">
        <f t="shared" si="92"/>
        <v>12</v>
      </c>
      <c r="M909" s="11">
        <v>434137.0</v>
      </c>
      <c r="N909" s="11">
        <v>6166.0</v>
      </c>
      <c r="O909" s="4" t="s">
        <v>59</v>
      </c>
      <c r="P909" s="11">
        <v>90.0</v>
      </c>
      <c r="Q909" s="15">
        <v>104.667</v>
      </c>
      <c r="R909" s="22">
        <v>0.0</v>
      </c>
      <c r="S909">
        <f t="shared" si="1"/>
        <v>2006</v>
      </c>
      <c r="T909">
        <f t="shared" si="2"/>
        <v>8</v>
      </c>
      <c r="AF909" s="18"/>
      <c r="AG909" s="19"/>
      <c r="AL909" s="18"/>
      <c r="AM909" s="19"/>
    </row>
    <row r="910">
      <c r="A910" s="4" t="s">
        <v>2187</v>
      </c>
      <c r="B910" s="10">
        <v>38941.0</v>
      </c>
      <c r="C910" s="11" t="s">
        <v>142</v>
      </c>
      <c r="D910" s="11" t="s">
        <v>110</v>
      </c>
      <c r="E910" s="14" t="s">
        <v>52</v>
      </c>
      <c r="F910" s="11" t="s">
        <v>53</v>
      </c>
      <c r="G910" s="22" t="s">
        <v>172</v>
      </c>
      <c r="H910" s="14"/>
      <c r="I910" s="14"/>
      <c r="J910" s="11">
        <v>21.0</v>
      </c>
      <c r="K910" s="13">
        <v>39600.0</v>
      </c>
      <c r="L910" s="11">
        <f t="shared" si="92"/>
        <v>22</v>
      </c>
      <c r="M910" s="11">
        <v>457447.0</v>
      </c>
      <c r="N910" s="11">
        <v>3802.0</v>
      </c>
      <c r="P910" s="11">
        <v>16.0</v>
      </c>
      <c r="Q910" s="15">
        <v>85.667</v>
      </c>
      <c r="R910" s="22">
        <v>0.0</v>
      </c>
      <c r="S910">
        <f t="shared" si="1"/>
        <v>2006</v>
      </c>
      <c r="T910">
        <f t="shared" si="2"/>
        <v>8</v>
      </c>
      <c r="AF910" s="18"/>
      <c r="AG910" s="19"/>
      <c r="AL910" s="18"/>
      <c r="AM910" s="19"/>
    </row>
    <row r="911">
      <c r="A911" s="4" t="s">
        <v>2188</v>
      </c>
      <c r="B911" s="10">
        <v>38923.0</v>
      </c>
      <c r="C911" s="11" t="s">
        <v>74</v>
      </c>
      <c r="D911" s="11" t="s">
        <v>51</v>
      </c>
      <c r="E911" s="22" t="s">
        <v>160</v>
      </c>
      <c r="F911" s="11" t="s">
        <v>53</v>
      </c>
      <c r="G911" s="11" t="s">
        <v>83</v>
      </c>
      <c r="H911" s="14"/>
      <c r="I911" s="14"/>
      <c r="J911" s="11">
        <v>30.0</v>
      </c>
      <c r="K911" s="13">
        <v>39174.0</v>
      </c>
      <c r="L911" s="11">
        <f t="shared" si="92"/>
        <v>8</v>
      </c>
      <c r="M911" s="11">
        <v>115229.0</v>
      </c>
      <c r="N911" s="11">
        <v>57.0</v>
      </c>
      <c r="O911" s="4" t="s">
        <v>59</v>
      </c>
      <c r="P911" s="11">
        <v>535.0</v>
      </c>
      <c r="Q911" s="32">
        <v>2181.0</v>
      </c>
      <c r="R911" s="22">
        <v>0.0</v>
      </c>
      <c r="S911">
        <f t="shared" si="1"/>
        <v>2006</v>
      </c>
      <c r="T911">
        <f t="shared" si="2"/>
        <v>7</v>
      </c>
      <c r="AF911" s="18"/>
      <c r="AG911" s="19"/>
      <c r="AL911" s="18"/>
      <c r="AM911" s="19"/>
    </row>
    <row r="912">
      <c r="A912" s="4" t="s">
        <v>2189</v>
      </c>
      <c r="B912" s="10">
        <v>38919.0</v>
      </c>
      <c r="C912" s="11" t="s">
        <v>169</v>
      </c>
      <c r="D912" s="11" t="s">
        <v>151</v>
      </c>
      <c r="E912" s="14" t="s">
        <v>52</v>
      </c>
      <c r="F912" s="11" t="s">
        <v>53</v>
      </c>
      <c r="G912" s="14" t="s">
        <v>54</v>
      </c>
      <c r="H912" s="11" t="s">
        <v>92</v>
      </c>
      <c r="I912" s="11" t="s">
        <v>590</v>
      </c>
      <c r="J912" s="11">
        <v>21.0</v>
      </c>
      <c r="K912" s="13">
        <v>39253.0</v>
      </c>
      <c r="L912" s="11">
        <f t="shared" si="92"/>
        <v>11</v>
      </c>
      <c r="M912" s="11">
        <v>502260.0</v>
      </c>
      <c r="N912" s="11">
        <v>4782.0</v>
      </c>
      <c r="O912" s="4" t="s">
        <v>704</v>
      </c>
      <c r="P912" s="11">
        <v>223.0</v>
      </c>
      <c r="Q912" s="15">
        <v>202.667</v>
      </c>
      <c r="R912" s="22">
        <v>1.0</v>
      </c>
      <c r="S912">
        <f t="shared" si="1"/>
        <v>2006</v>
      </c>
      <c r="T912">
        <f t="shared" si="2"/>
        <v>7</v>
      </c>
      <c r="AF912" s="18"/>
      <c r="AG912" s="19"/>
      <c r="AL912" s="18"/>
      <c r="AM912" s="19"/>
    </row>
    <row r="913">
      <c r="A913" s="4" t="s">
        <v>236</v>
      </c>
      <c r="B913" s="10">
        <v>38912.0</v>
      </c>
      <c r="C913" s="11" t="s">
        <v>229</v>
      </c>
      <c r="D913" s="11" t="s">
        <v>51</v>
      </c>
      <c r="E913" s="14" t="s">
        <v>52</v>
      </c>
      <c r="F913" s="11" t="s">
        <v>76</v>
      </c>
      <c r="G913" s="14" t="s">
        <v>54</v>
      </c>
      <c r="H913" s="11" t="s">
        <v>305</v>
      </c>
      <c r="I913" s="11" t="s">
        <v>746</v>
      </c>
      <c r="J913" s="11">
        <v>34.0</v>
      </c>
      <c r="K913" s="14"/>
      <c r="L913" s="14"/>
      <c r="M913" s="11">
        <v>110230.0</v>
      </c>
      <c r="N913" s="11">
        <v>6144.0</v>
      </c>
      <c r="O913" s="4" t="s">
        <v>224</v>
      </c>
      <c r="P913" s="11">
        <v>0.0</v>
      </c>
      <c r="Q913" s="32">
        <v>0.0</v>
      </c>
      <c r="R913" s="22">
        <v>0.0</v>
      </c>
      <c r="S913">
        <f t="shared" si="1"/>
        <v>2006</v>
      </c>
      <c r="T913">
        <f t="shared" si="2"/>
        <v>7</v>
      </c>
      <c r="AF913" s="18"/>
      <c r="AG913" s="19"/>
      <c r="AL913" s="18"/>
      <c r="AM913" s="19"/>
    </row>
    <row r="914">
      <c r="A914" s="4" t="s">
        <v>2190</v>
      </c>
      <c r="B914" s="10">
        <v>38904.0</v>
      </c>
      <c r="C914" s="11" t="s">
        <v>331</v>
      </c>
      <c r="D914" s="11" t="s">
        <v>51</v>
      </c>
      <c r="E914" s="14" t="s">
        <v>52</v>
      </c>
      <c r="F914" s="11" t="s">
        <v>53</v>
      </c>
      <c r="G914" s="22" t="s">
        <v>83</v>
      </c>
      <c r="H914" s="14"/>
      <c r="I914" s="14"/>
      <c r="J914" s="11">
        <v>24.0</v>
      </c>
      <c r="K914" s="13">
        <v>39297.0</v>
      </c>
      <c r="L914" s="11">
        <f t="shared" ref="L914:L915" si="93">ROUND(((K914-B914)/365)*12)</f>
        <v>13</v>
      </c>
      <c r="M914" s="11">
        <v>465593.0</v>
      </c>
      <c r="N914" s="11">
        <v>3167.0</v>
      </c>
      <c r="O914" s="4" t="s">
        <v>59</v>
      </c>
      <c r="P914" s="11">
        <v>4.0</v>
      </c>
      <c r="Q914" s="32">
        <v>5.0</v>
      </c>
      <c r="R914" s="22">
        <v>0.0</v>
      </c>
      <c r="S914">
        <f t="shared" si="1"/>
        <v>2006</v>
      </c>
      <c r="T914">
        <f t="shared" si="2"/>
        <v>7</v>
      </c>
      <c r="AF914" s="18"/>
      <c r="AG914" s="19"/>
      <c r="AL914" s="18"/>
      <c r="AM914" s="19"/>
    </row>
    <row r="915">
      <c r="A915" s="4" t="s">
        <v>2191</v>
      </c>
      <c r="B915" s="10">
        <v>38904.0</v>
      </c>
      <c r="C915" s="11" t="s">
        <v>130</v>
      </c>
      <c r="D915" s="11" t="s">
        <v>51</v>
      </c>
      <c r="E915" s="14" t="s">
        <v>52</v>
      </c>
      <c r="F915" s="11" t="s">
        <v>53</v>
      </c>
      <c r="G915" s="14" t="s">
        <v>54</v>
      </c>
      <c r="H915" s="11" t="s">
        <v>92</v>
      </c>
      <c r="I915" s="11" t="s">
        <v>139</v>
      </c>
      <c r="J915" s="11">
        <v>30.0</v>
      </c>
      <c r="K915" s="13">
        <v>39323.0</v>
      </c>
      <c r="L915" s="11">
        <f t="shared" si="93"/>
        <v>14</v>
      </c>
      <c r="M915" s="11">
        <v>400104.0</v>
      </c>
      <c r="N915" s="11">
        <v>901.0</v>
      </c>
      <c r="O915" s="4" t="s">
        <v>59</v>
      </c>
      <c r="P915" s="11">
        <v>136.0</v>
      </c>
      <c r="Q915" s="32">
        <v>138.33299999999997</v>
      </c>
      <c r="R915" s="22">
        <v>0.0</v>
      </c>
      <c r="S915">
        <f t="shared" si="1"/>
        <v>2006</v>
      </c>
      <c r="T915">
        <f t="shared" si="2"/>
        <v>7</v>
      </c>
      <c r="AF915" s="18"/>
      <c r="AG915" s="19"/>
      <c r="AL915" s="18"/>
      <c r="AM915" s="19"/>
    </row>
    <row r="916">
      <c r="A916" s="4" t="s">
        <v>262</v>
      </c>
      <c r="B916" s="10">
        <v>38899.0</v>
      </c>
      <c r="C916" s="11" t="s">
        <v>142</v>
      </c>
      <c r="D916" s="11" t="s">
        <v>75</v>
      </c>
      <c r="E916" s="14" t="s">
        <v>52</v>
      </c>
      <c r="F916" s="11" t="s">
        <v>53</v>
      </c>
      <c r="G916" s="22" t="s">
        <v>83</v>
      </c>
      <c r="H916" s="14"/>
      <c r="I916" s="14"/>
      <c r="J916" s="11">
        <v>32.0</v>
      </c>
      <c r="K916" s="14"/>
      <c r="L916" s="14"/>
      <c r="M916" s="11">
        <v>110179.0</v>
      </c>
      <c r="N916" s="11">
        <v>308.0</v>
      </c>
      <c r="P916" s="11">
        <v>0.0</v>
      </c>
      <c r="Q916" s="15">
        <v>0.0</v>
      </c>
      <c r="R916" s="22">
        <v>0.0</v>
      </c>
      <c r="S916">
        <f t="shared" si="1"/>
        <v>2006</v>
      </c>
      <c r="T916">
        <f t="shared" si="2"/>
        <v>7</v>
      </c>
      <c r="AF916" s="18"/>
      <c r="AG916" s="19"/>
      <c r="AL916" s="18"/>
      <c r="AM916" s="19"/>
    </row>
    <row r="917">
      <c r="A917" s="4" t="s">
        <v>2192</v>
      </c>
      <c r="B917" s="10">
        <v>38899.0</v>
      </c>
      <c r="C917" s="11" t="s">
        <v>209</v>
      </c>
      <c r="D917" s="11" t="s">
        <v>151</v>
      </c>
      <c r="E917" s="11" t="s">
        <v>264</v>
      </c>
      <c r="F917" s="11" t="s">
        <v>53</v>
      </c>
      <c r="G917" s="11" t="s">
        <v>54</v>
      </c>
      <c r="H917" s="11" t="s">
        <v>92</v>
      </c>
      <c r="I917" s="11" t="s">
        <v>1996</v>
      </c>
      <c r="J917" s="11">
        <v>21.0</v>
      </c>
      <c r="K917" s="13">
        <v>39983.0</v>
      </c>
      <c r="L917" s="11"/>
      <c r="M917" s="11">
        <v>503424.0</v>
      </c>
      <c r="N917" s="11" t="s">
        <v>2193</v>
      </c>
      <c r="P917" s="11">
        <v>0.0</v>
      </c>
      <c r="Q917" s="15">
        <v>0.0</v>
      </c>
      <c r="R917" s="11">
        <v>0.0</v>
      </c>
      <c r="S917">
        <f t="shared" si="1"/>
        <v>2006</v>
      </c>
      <c r="T917">
        <f t="shared" si="2"/>
        <v>7</v>
      </c>
      <c r="AF917" s="18"/>
      <c r="AG917" s="19"/>
      <c r="AL917" s="18"/>
      <c r="AM917" s="19"/>
    </row>
    <row r="918">
      <c r="A918" s="4" t="s">
        <v>2194</v>
      </c>
      <c r="B918" s="10">
        <v>38899.0</v>
      </c>
      <c r="C918" s="11" t="s">
        <v>169</v>
      </c>
      <c r="D918" s="11" t="s">
        <v>151</v>
      </c>
      <c r="E918" s="14" t="s">
        <v>52</v>
      </c>
      <c r="F918" s="11" t="s">
        <v>76</v>
      </c>
      <c r="G918" s="14" t="s">
        <v>54</v>
      </c>
      <c r="H918" s="11" t="s">
        <v>211</v>
      </c>
      <c r="I918" s="11" t="s">
        <v>279</v>
      </c>
      <c r="J918" s="11">
        <v>20.0</v>
      </c>
      <c r="K918" s="13">
        <v>39632.0</v>
      </c>
      <c r="L918" s="11"/>
      <c r="M918" s="11">
        <v>446354.0</v>
      </c>
      <c r="N918" s="11" t="s">
        <v>2195</v>
      </c>
      <c r="P918" s="11">
        <v>0.0</v>
      </c>
      <c r="Q918" s="15">
        <v>0.0</v>
      </c>
      <c r="R918" s="11">
        <v>0.0</v>
      </c>
      <c r="S918">
        <f t="shared" si="1"/>
        <v>2006</v>
      </c>
      <c r="T918">
        <f t="shared" si="2"/>
        <v>7</v>
      </c>
      <c r="AF918" s="18"/>
      <c r="AG918" s="19"/>
      <c r="AL918" s="18"/>
      <c r="AM918" s="19"/>
    </row>
    <row r="919">
      <c r="A919" s="4" t="s">
        <v>2196</v>
      </c>
      <c r="B919" s="10">
        <v>38896.0</v>
      </c>
      <c r="C919" s="11" t="s">
        <v>103</v>
      </c>
      <c r="D919" s="11" t="s">
        <v>51</v>
      </c>
      <c r="E919" s="14" t="s">
        <v>52</v>
      </c>
      <c r="F919" s="11" t="s">
        <v>53</v>
      </c>
      <c r="G919" s="22" t="s">
        <v>83</v>
      </c>
      <c r="H919" s="14"/>
      <c r="I919" s="14"/>
      <c r="J919" s="11">
        <v>33.0</v>
      </c>
      <c r="K919" s="14"/>
      <c r="L919" s="14"/>
      <c r="M919" s="11">
        <v>121690.0</v>
      </c>
      <c r="N919" s="11" t="s">
        <v>2197</v>
      </c>
      <c r="O919" s="4" t="s">
        <v>704</v>
      </c>
      <c r="P919" s="11">
        <v>0.0</v>
      </c>
      <c r="Q919" s="32">
        <v>0.0</v>
      </c>
      <c r="R919" s="22">
        <v>0.0</v>
      </c>
      <c r="S919">
        <f t="shared" si="1"/>
        <v>2006</v>
      </c>
      <c r="T919">
        <f t="shared" si="2"/>
        <v>6</v>
      </c>
      <c r="AF919" s="18"/>
      <c r="AG919" s="19"/>
      <c r="AL919" s="18"/>
      <c r="AM919" s="19"/>
    </row>
    <row r="920">
      <c r="A920" s="4" t="s">
        <v>2198</v>
      </c>
      <c r="B920" s="10">
        <v>38875.0</v>
      </c>
      <c r="C920" s="11" t="s">
        <v>49</v>
      </c>
      <c r="D920" s="11" t="s">
        <v>51</v>
      </c>
      <c r="E920" s="14" t="s">
        <v>52</v>
      </c>
      <c r="F920" s="11" t="s">
        <v>76</v>
      </c>
      <c r="G920" s="14" t="s">
        <v>54</v>
      </c>
      <c r="H920" s="11" t="s">
        <v>77</v>
      </c>
      <c r="I920" s="11"/>
      <c r="J920" s="11">
        <v>33.0</v>
      </c>
      <c r="K920" s="13">
        <v>39576.0</v>
      </c>
      <c r="L920" s="11">
        <f>ROUND(((K920-B920)/365)*12)</f>
        <v>23</v>
      </c>
      <c r="M920" s="11">
        <v>113915.0</v>
      </c>
      <c r="N920" s="11">
        <v>873.0</v>
      </c>
      <c r="O920" s="4" t="s">
        <v>704</v>
      </c>
      <c r="P920" s="11">
        <v>9.0</v>
      </c>
      <c r="Q920" s="15">
        <v>43.667</v>
      </c>
      <c r="R920" s="22">
        <v>0.0</v>
      </c>
      <c r="S920">
        <f t="shared" si="1"/>
        <v>2006</v>
      </c>
      <c r="T920">
        <f t="shared" si="2"/>
        <v>6</v>
      </c>
      <c r="U920" s="4"/>
      <c r="V920" s="4"/>
      <c r="W920" s="4"/>
      <c r="X920" s="4"/>
      <c r="Y920" s="4"/>
      <c r="Z920" s="4"/>
      <c r="AA920" s="4"/>
      <c r="AB920" s="4"/>
      <c r="AC920" s="4"/>
      <c r="AD920" s="4">
        <v>1.0</v>
      </c>
      <c r="AE920" s="4">
        <v>1.0</v>
      </c>
      <c r="AF920" s="54">
        <v>6.0</v>
      </c>
      <c r="AG920" s="55">
        <v>0.037</v>
      </c>
      <c r="AH920" s="4">
        <v>109.0</v>
      </c>
      <c r="AI920" s="4">
        <v>88.0</v>
      </c>
      <c r="AJ920" s="4">
        <v>9.0</v>
      </c>
      <c r="AK920" s="4">
        <v>8.0</v>
      </c>
      <c r="AL920" s="54">
        <v>43.667</v>
      </c>
      <c r="AM920" s="55">
        <v>0.005</v>
      </c>
      <c r="AN920" s="4">
        <v>120.0</v>
      </c>
      <c r="AO920" s="4">
        <v>130.0</v>
      </c>
    </row>
    <row r="921">
      <c r="A921" s="4" t="s">
        <v>2199</v>
      </c>
      <c r="B921" s="10">
        <v>38870.0</v>
      </c>
      <c r="C921" s="11" t="s">
        <v>142</v>
      </c>
      <c r="D921" s="11" t="s">
        <v>51</v>
      </c>
      <c r="E921" s="11" t="s">
        <v>52</v>
      </c>
      <c r="F921" s="11" t="s">
        <v>76</v>
      </c>
      <c r="G921" s="11" t="s">
        <v>54</v>
      </c>
      <c r="H921" s="11" t="s">
        <v>92</v>
      </c>
      <c r="I921" s="11" t="s">
        <v>2200</v>
      </c>
      <c r="J921" s="11">
        <v>28.0</v>
      </c>
      <c r="K921" s="13"/>
      <c r="L921" s="11"/>
      <c r="M921" s="11">
        <v>407796.0</v>
      </c>
      <c r="N921" s="11">
        <v>86.0</v>
      </c>
      <c r="O921" s="4"/>
      <c r="P921" s="11">
        <v>0.0</v>
      </c>
      <c r="Q921" s="15">
        <v>0.0</v>
      </c>
      <c r="R921" s="22">
        <v>0.0</v>
      </c>
      <c r="S921">
        <f t="shared" si="1"/>
        <v>2006</v>
      </c>
      <c r="T921">
        <f t="shared" si="2"/>
        <v>6</v>
      </c>
      <c r="AF921" s="18"/>
      <c r="AG921" s="19"/>
      <c r="AL921" s="18"/>
      <c r="AM921" s="19"/>
    </row>
    <row r="922">
      <c r="A922" s="4" t="s">
        <v>2201</v>
      </c>
      <c r="B922" s="10">
        <v>38869.0</v>
      </c>
      <c r="C922" s="11" t="s">
        <v>142</v>
      </c>
      <c r="D922" s="11" t="s">
        <v>51</v>
      </c>
      <c r="E922" s="22" t="s">
        <v>315</v>
      </c>
      <c r="F922" s="11" t="s">
        <v>53</v>
      </c>
      <c r="G922" s="14" t="s">
        <v>54</v>
      </c>
      <c r="H922" s="11" t="s">
        <v>157</v>
      </c>
      <c r="I922" s="11"/>
      <c r="J922" s="11">
        <v>24.0</v>
      </c>
      <c r="K922" s="13">
        <v>39174.0</v>
      </c>
      <c r="L922" s="11">
        <f t="shared" ref="L922:L924" si="94">ROUND(((K922-B922)/365)*12)</f>
        <v>10</v>
      </c>
      <c r="M922" s="11">
        <v>430637.0</v>
      </c>
      <c r="N922" s="11">
        <v>2234.0</v>
      </c>
      <c r="O922" s="4" t="s">
        <v>59</v>
      </c>
      <c r="P922" s="11">
        <v>1250.0</v>
      </c>
      <c r="Q922" s="15">
        <v>4608.0</v>
      </c>
      <c r="R922" s="22">
        <v>1.0</v>
      </c>
      <c r="S922">
        <f t="shared" si="1"/>
        <v>2006</v>
      </c>
      <c r="T922">
        <f t="shared" si="2"/>
        <v>6</v>
      </c>
      <c r="AF922" s="18"/>
      <c r="AG922" s="19"/>
      <c r="AL922" s="18"/>
      <c r="AM922" s="19"/>
    </row>
    <row r="923">
      <c r="A923" s="4" t="s">
        <v>900</v>
      </c>
      <c r="B923" s="10">
        <v>38852.0</v>
      </c>
      <c r="C923" s="11" t="s">
        <v>109</v>
      </c>
      <c r="D923" s="11" t="s">
        <v>51</v>
      </c>
      <c r="E923" s="14" t="s">
        <v>52</v>
      </c>
      <c r="F923" s="11" t="s">
        <v>53</v>
      </c>
      <c r="G923" s="22" t="s">
        <v>265</v>
      </c>
      <c r="H923" s="14"/>
      <c r="I923" s="14"/>
      <c r="J923" s="11">
        <v>30.0</v>
      </c>
      <c r="K923" s="13">
        <v>39176.0</v>
      </c>
      <c r="L923" s="11">
        <f t="shared" si="94"/>
        <v>11</v>
      </c>
      <c r="M923" s="11">
        <v>406913.0</v>
      </c>
      <c r="N923" s="11">
        <v>1237.0</v>
      </c>
      <c r="O923" s="4" t="s">
        <v>287</v>
      </c>
      <c r="P923" s="11">
        <v>13.0</v>
      </c>
      <c r="Q923" s="32">
        <v>23.0</v>
      </c>
      <c r="R923" s="22">
        <v>0.0</v>
      </c>
      <c r="S923">
        <f t="shared" si="1"/>
        <v>2006</v>
      </c>
      <c r="T923">
        <f t="shared" si="2"/>
        <v>5</v>
      </c>
      <c r="U923" s="4"/>
      <c r="V923" s="4"/>
      <c r="W923" s="4"/>
      <c r="X923" s="4"/>
      <c r="Y923" s="4"/>
      <c r="Z923" s="4"/>
      <c r="AA923" s="4"/>
      <c r="AB923" s="4"/>
      <c r="AC923" s="4"/>
      <c r="AD923" s="4">
        <v>5.0</v>
      </c>
      <c r="AE923" s="4">
        <v>5.0</v>
      </c>
      <c r="AF923" s="54">
        <v>21.333</v>
      </c>
      <c r="AG923" s="55">
        <v>0.041</v>
      </c>
      <c r="AH923" s="4">
        <v>154.0</v>
      </c>
      <c r="AI923" s="4">
        <v>142.0</v>
      </c>
      <c r="AJ923" s="4">
        <v>13.0</v>
      </c>
      <c r="AK923" s="4">
        <v>4.0</v>
      </c>
      <c r="AL923" s="54">
        <v>23.0</v>
      </c>
      <c r="AM923" s="55">
        <v>-0.048</v>
      </c>
      <c r="AN923" s="4">
        <v>225.0</v>
      </c>
      <c r="AO923" s="4">
        <v>192.0</v>
      </c>
    </row>
    <row r="924">
      <c r="A924" s="4" t="s">
        <v>2203</v>
      </c>
      <c r="B924" s="10">
        <v>38849.0</v>
      </c>
      <c r="C924" s="11" t="s">
        <v>156</v>
      </c>
      <c r="D924" s="11" t="s">
        <v>51</v>
      </c>
      <c r="E924" s="14" t="s">
        <v>52</v>
      </c>
      <c r="F924" s="11" t="s">
        <v>76</v>
      </c>
      <c r="G924" s="22" t="s">
        <v>582</v>
      </c>
      <c r="H924" s="14"/>
      <c r="I924" s="14"/>
      <c r="J924" s="11">
        <v>36.0</v>
      </c>
      <c r="K924" s="13">
        <v>39696.0</v>
      </c>
      <c r="L924" s="11">
        <f t="shared" si="94"/>
        <v>28</v>
      </c>
      <c r="M924" s="11">
        <v>121215.0</v>
      </c>
      <c r="N924" s="11">
        <v>401.0</v>
      </c>
      <c r="O924" s="4" t="s">
        <v>404</v>
      </c>
      <c r="P924" s="11">
        <v>8.0</v>
      </c>
      <c r="Q924" s="32">
        <v>4.0</v>
      </c>
      <c r="R924" s="22">
        <v>0.0</v>
      </c>
      <c r="S924">
        <f t="shared" si="1"/>
        <v>2006</v>
      </c>
      <c r="T924">
        <f t="shared" si="2"/>
        <v>5</v>
      </c>
      <c r="AF924" s="18"/>
      <c r="AG924" s="19"/>
      <c r="AL924" s="18"/>
      <c r="AM924" s="19"/>
    </row>
    <row r="925">
      <c r="A925" s="4" t="s">
        <v>2204</v>
      </c>
      <c r="B925" s="10">
        <v>38840.0</v>
      </c>
      <c r="C925" s="11" t="s">
        <v>229</v>
      </c>
      <c r="D925" s="11" t="s">
        <v>51</v>
      </c>
      <c r="E925" s="11" t="s">
        <v>52</v>
      </c>
      <c r="F925" s="11" t="s">
        <v>53</v>
      </c>
      <c r="G925" s="11" t="s">
        <v>54</v>
      </c>
      <c r="H925" s="11" t="s">
        <v>322</v>
      </c>
      <c r="I925" s="11" t="s">
        <v>2205</v>
      </c>
      <c r="J925" s="11">
        <v>29.0</v>
      </c>
      <c r="K925" s="13"/>
      <c r="L925" s="11"/>
      <c r="M925" s="11">
        <v>435318.0</v>
      </c>
      <c r="N925" s="11">
        <v>2518.0</v>
      </c>
      <c r="O925" s="4"/>
      <c r="P925" s="11">
        <v>0.0</v>
      </c>
      <c r="Q925" s="15">
        <v>0.0</v>
      </c>
      <c r="R925" s="22">
        <v>0.0</v>
      </c>
      <c r="S925">
        <f t="shared" si="1"/>
        <v>2006</v>
      </c>
      <c r="T925">
        <f t="shared" si="2"/>
        <v>5</v>
      </c>
      <c r="AF925" s="18"/>
      <c r="AG925" s="19"/>
      <c r="AL925" s="18"/>
      <c r="AM925" s="19"/>
    </row>
    <row r="926">
      <c r="A926" s="4" t="s">
        <v>2206</v>
      </c>
      <c r="B926" s="10">
        <v>38838.0</v>
      </c>
      <c r="C926" s="11" t="s">
        <v>209</v>
      </c>
      <c r="D926" s="11" t="s">
        <v>151</v>
      </c>
      <c r="E926" s="11" t="s">
        <v>52</v>
      </c>
      <c r="F926" s="11" t="s">
        <v>53</v>
      </c>
      <c r="G926" s="11" t="s">
        <v>54</v>
      </c>
      <c r="H926" s="11" t="s">
        <v>92</v>
      </c>
      <c r="I926" s="11" t="s">
        <v>2207</v>
      </c>
      <c r="J926" s="11">
        <v>21.0</v>
      </c>
      <c r="K926" s="13">
        <v>39618.0</v>
      </c>
      <c r="L926" s="11"/>
      <c r="M926" s="11">
        <v>543195.0</v>
      </c>
      <c r="N926" s="11">
        <v>6911.0</v>
      </c>
      <c r="O926" s="4"/>
      <c r="P926" s="11">
        <v>7.0</v>
      </c>
      <c r="Q926" s="15">
        <v>13.333</v>
      </c>
      <c r="R926" s="22">
        <v>1.0</v>
      </c>
      <c r="S926">
        <f t="shared" si="1"/>
        <v>2006</v>
      </c>
      <c r="T926">
        <f t="shared" si="2"/>
        <v>5</v>
      </c>
      <c r="AF926" s="18"/>
      <c r="AG926" s="19"/>
      <c r="AL926" s="18"/>
      <c r="AM926" s="19"/>
    </row>
    <row r="927">
      <c r="A927" s="4" t="s">
        <v>2208</v>
      </c>
      <c r="B927" s="10">
        <v>38826.0</v>
      </c>
      <c r="C927" s="11" t="s">
        <v>81</v>
      </c>
      <c r="D927" s="11" t="s">
        <v>51</v>
      </c>
      <c r="E927" s="14" t="s">
        <v>52</v>
      </c>
      <c r="F927" s="11" t="s">
        <v>53</v>
      </c>
      <c r="G927" s="22" t="s">
        <v>83</v>
      </c>
      <c r="H927" s="14"/>
      <c r="I927" s="14"/>
      <c r="J927" s="11">
        <v>26.0</v>
      </c>
      <c r="K927" s="13">
        <v>39225.0</v>
      </c>
      <c r="L927" s="11">
        <f t="shared" ref="L927:L928" si="95">ROUND(((K927-B927)/365)*12)</f>
        <v>13</v>
      </c>
      <c r="M927" s="11">
        <v>430674.0</v>
      </c>
      <c r="N927" s="11">
        <v>2150.0</v>
      </c>
      <c r="O927" s="4" t="s">
        <v>704</v>
      </c>
      <c r="P927" s="11">
        <v>12.0</v>
      </c>
      <c r="Q927" s="15">
        <v>10.667</v>
      </c>
      <c r="R927" s="22">
        <v>0.0</v>
      </c>
      <c r="S927">
        <f t="shared" si="1"/>
        <v>2006</v>
      </c>
      <c r="T927">
        <f t="shared" si="2"/>
        <v>4</v>
      </c>
      <c r="AF927" s="18"/>
      <c r="AG927" s="19"/>
      <c r="AL927" s="18"/>
      <c r="AM927" s="19"/>
    </row>
    <row r="928">
      <c r="A928" s="4" t="s">
        <v>2209</v>
      </c>
      <c r="B928" s="10">
        <v>38806.0</v>
      </c>
      <c r="C928" s="11" t="s">
        <v>74</v>
      </c>
      <c r="D928" s="11" t="s">
        <v>51</v>
      </c>
      <c r="E928" s="14" t="s">
        <v>52</v>
      </c>
      <c r="F928" s="11" t="s">
        <v>53</v>
      </c>
      <c r="G928" s="22" t="s">
        <v>582</v>
      </c>
      <c r="H928" s="14"/>
      <c r="I928" s="14"/>
      <c r="J928" s="11">
        <v>28.0</v>
      </c>
      <c r="K928" s="13">
        <v>39255.0</v>
      </c>
      <c r="L928" s="11">
        <f t="shared" si="95"/>
        <v>15</v>
      </c>
      <c r="M928" s="11">
        <v>425646.0</v>
      </c>
      <c r="N928" s="11">
        <v>1650.0</v>
      </c>
      <c r="O928" s="4" t="s">
        <v>704</v>
      </c>
      <c r="P928" s="11">
        <v>320.0</v>
      </c>
      <c r="Q928" s="32">
        <v>322.0</v>
      </c>
      <c r="R928" s="22">
        <v>0.0</v>
      </c>
      <c r="S928">
        <f t="shared" si="1"/>
        <v>2006</v>
      </c>
      <c r="T928">
        <f t="shared" si="2"/>
        <v>3</v>
      </c>
      <c r="AF928" s="18"/>
      <c r="AG928" s="19"/>
      <c r="AL928" s="18"/>
      <c r="AM928" s="19"/>
    </row>
    <row r="929">
      <c r="A929" s="4" t="s">
        <v>2211</v>
      </c>
      <c r="B929" s="10">
        <v>38790.0</v>
      </c>
      <c r="C929" s="11" t="s">
        <v>109</v>
      </c>
      <c r="D929" s="11" t="s">
        <v>51</v>
      </c>
      <c r="E929" s="14" t="s">
        <v>52</v>
      </c>
      <c r="F929" s="11" t="s">
        <v>53</v>
      </c>
      <c r="G929" s="22" t="s">
        <v>172</v>
      </c>
      <c r="H929" s="14"/>
      <c r="I929" s="14"/>
      <c r="J929" s="11">
        <v>29.0</v>
      </c>
      <c r="K929" s="14"/>
      <c r="L929" s="14"/>
      <c r="M929" s="11">
        <v>433677.0</v>
      </c>
      <c r="N929" s="11">
        <v>2532.0</v>
      </c>
      <c r="O929" s="4" t="s">
        <v>287</v>
      </c>
      <c r="P929" s="11">
        <v>0.0</v>
      </c>
      <c r="Q929" s="32">
        <v>0.0</v>
      </c>
      <c r="R929" s="22">
        <v>0.0</v>
      </c>
      <c r="S929">
        <f t="shared" si="1"/>
        <v>2006</v>
      </c>
      <c r="T929">
        <f t="shared" si="2"/>
        <v>3</v>
      </c>
      <c r="AF929" s="18"/>
      <c r="AG929" s="19"/>
      <c r="AL929" s="18"/>
      <c r="AM929" s="19"/>
    </row>
    <row r="930">
      <c r="A930" s="4" t="s">
        <v>1819</v>
      </c>
      <c r="B930" s="10">
        <v>38777.0</v>
      </c>
      <c r="C930" s="11" t="s">
        <v>81</v>
      </c>
      <c r="D930" s="11" t="s">
        <v>170</v>
      </c>
      <c r="E930" s="11" t="s">
        <v>52</v>
      </c>
      <c r="F930" s="11" t="s">
        <v>53</v>
      </c>
      <c r="G930" s="11" t="s">
        <v>54</v>
      </c>
      <c r="H930" s="11" t="s">
        <v>157</v>
      </c>
      <c r="I930" s="11" t="s">
        <v>1350</v>
      </c>
      <c r="J930" s="11">
        <v>18.0</v>
      </c>
      <c r="K930" s="13">
        <v>40353.0</v>
      </c>
      <c r="L930" s="14"/>
      <c r="M930" s="11">
        <v>474521.0</v>
      </c>
      <c r="N930" s="11">
        <v>10481.0</v>
      </c>
      <c r="P930" s="11">
        <v>215.0</v>
      </c>
      <c r="Q930" s="15">
        <v>218.0</v>
      </c>
      <c r="R930" s="22">
        <v>1.0</v>
      </c>
      <c r="S930">
        <f t="shared" si="1"/>
        <v>2006</v>
      </c>
      <c r="T930">
        <f t="shared" si="2"/>
        <v>3</v>
      </c>
      <c r="AF930" s="18"/>
      <c r="AG930" s="19"/>
      <c r="AL930" s="18"/>
      <c r="AM930" s="19"/>
    </row>
    <row r="931">
      <c r="A931" s="4" t="s">
        <v>2212</v>
      </c>
      <c r="B931" s="10">
        <v>38777.0</v>
      </c>
      <c r="C931" s="11" t="s">
        <v>270</v>
      </c>
      <c r="D931" s="11" t="s">
        <v>82</v>
      </c>
      <c r="E931" s="22" t="s">
        <v>264</v>
      </c>
      <c r="F931" s="11" t="s">
        <v>53</v>
      </c>
      <c r="G931" s="14" t="s">
        <v>54</v>
      </c>
      <c r="H931" s="11" t="s">
        <v>157</v>
      </c>
      <c r="I931" s="11" t="s">
        <v>2213</v>
      </c>
      <c r="J931" s="11">
        <v>27.0</v>
      </c>
      <c r="K931" s="14"/>
      <c r="L931" s="14"/>
      <c r="M931" s="11">
        <v>408064.0</v>
      </c>
      <c r="N931" s="11">
        <v>1614.0</v>
      </c>
      <c r="P931" s="11">
        <v>0.0</v>
      </c>
      <c r="Q931" s="15">
        <v>0.0</v>
      </c>
      <c r="R931" s="22">
        <v>0.0</v>
      </c>
      <c r="S931">
        <f t="shared" si="1"/>
        <v>2006</v>
      </c>
      <c r="T931">
        <f t="shared" si="2"/>
        <v>3</v>
      </c>
      <c r="AF931" s="18"/>
      <c r="AG931" s="19"/>
      <c r="AL931" s="18"/>
      <c r="AM931" s="19"/>
    </row>
    <row r="932">
      <c r="A932" s="4" t="s">
        <v>2214</v>
      </c>
      <c r="B932" s="10">
        <v>38718.0</v>
      </c>
      <c r="C932" s="11" t="s">
        <v>96</v>
      </c>
      <c r="D932" s="11" t="s">
        <v>151</v>
      </c>
      <c r="E932" s="14" t="s">
        <v>52</v>
      </c>
      <c r="F932" s="11" t="s">
        <v>76</v>
      </c>
      <c r="G932" s="14" t="s">
        <v>54</v>
      </c>
      <c r="H932" s="11" t="s">
        <v>341</v>
      </c>
      <c r="I932" s="11" t="s">
        <v>2215</v>
      </c>
      <c r="J932" s="11">
        <v>20.0</v>
      </c>
      <c r="K932" s="13">
        <v>39663.0</v>
      </c>
      <c r="L932" s="14"/>
      <c r="M932" s="11">
        <v>519259.0</v>
      </c>
      <c r="N932" s="11">
        <v>8739.0</v>
      </c>
      <c r="P932" s="11">
        <v>94.0</v>
      </c>
      <c r="Q932" s="15">
        <v>93.0</v>
      </c>
      <c r="R932" s="22">
        <v>0.0</v>
      </c>
      <c r="S932">
        <f t="shared" si="1"/>
        <v>2006</v>
      </c>
      <c r="T932">
        <f t="shared" si="2"/>
        <v>1</v>
      </c>
      <c r="AF932" s="18"/>
      <c r="AG932" s="19"/>
      <c r="AL932" s="18"/>
      <c r="AM932" s="19"/>
    </row>
    <row r="933">
      <c r="A933" s="4" t="s">
        <v>2217</v>
      </c>
      <c r="B933" s="10">
        <v>38718.0</v>
      </c>
      <c r="C933" s="11" t="s">
        <v>209</v>
      </c>
      <c r="D933" s="11" t="s">
        <v>151</v>
      </c>
      <c r="E933" s="11" t="s">
        <v>52</v>
      </c>
      <c r="F933" s="11" t="s">
        <v>76</v>
      </c>
      <c r="G933" s="11" t="s">
        <v>436</v>
      </c>
      <c r="H933" s="14"/>
      <c r="I933" s="14"/>
      <c r="J933" s="11">
        <v>20.0</v>
      </c>
      <c r="K933" s="13">
        <v>41009.0</v>
      </c>
      <c r="L933" s="14"/>
      <c r="M933" s="11">
        <v>612672.0</v>
      </c>
      <c r="N933" s="11">
        <v>13071.0</v>
      </c>
      <c r="P933" s="11">
        <v>139.0</v>
      </c>
      <c r="Q933" s="15">
        <v>830.0</v>
      </c>
      <c r="R933" s="22">
        <v>1.0</v>
      </c>
      <c r="S933">
        <f t="shared" si="1"/>
        <v>2006</v>
      </c>
      <c r="T933">
        <f t="shared" si="2"/>
        <v>1</v>
      </c>
      <c r="AF933" s="18"/>
      <c r="AG933" s="19"/>
      <c r="AL933" s="18"/>
      <c r="AM933" s="19"/>
    </row>
    <row r="934">
      <c r="A934" s="4" t="s">
        <v>2218</v>
      </c>
      <c r="B934" s="10">
        <v>38718.0</v>
      </c>
      <c r="C934" s="11" t="s">
        <v>133</v>
      </c>
      <c r="D934" s="11" t="s">
        <v>75</v>
      </c>
      <c r="E934" s="14" t="s">
        <v>52</v>
      </c>
      <c r="F934" s="11" t="s">
        <v>53</v>
      </c>
      <c r="G934" s="22" t="s">
        <v>1454</v>
      </c>
      <c r="H934" s="14"/>
      <c r="I934" s="14"/>
      <c r="J934" s="11">
        <v>30.0</v>
      </c>
      <c r="K934" s="14"/>
      <c r="L934" s="14"/>
      <c r="M934" s="11">
        <v>135380.0</v>
      </c>
      <c r="N934" s="11">
        <v>1002203.0</v>
      </c>
      <c r="P934" s="11">
        <v>0.0</v>
      </c>
      <c r="Q934" s="15">
        <v>0.0</v>
      </c>
      <c r="R934" s="22">
        <v>0.0</v>
      </c>
      <c r="S934">
        <f t="shared" si="1"/>
        <v>2006</v>
      </c>
      <c r="T934">
        <f t="shared" si="2"/>
        <v>1</v>
      </c>
      <c r="AF934" s="18"/>
      <c r="AG934" s="19"/>
      <c r="AL934" s="18"/>
      <c r="AM934" s="19"/>
    </row>
    <row r="935">
      <c r="A935" s="4" t="s">
        <v>2219</v>
      </c>
      <c r="B935" s="10">
        <v>38718.0</v>
      </c>
      <c r="C935" s="11" t="s">
        <v>133</v>
      </c>
      <c r="D935" s="11" t="s">
        <v>151</v>
      </c>
      <c r="E935" s="11" t="s">
        <v>52</v>
      </c>
      <c r="F935" s="11" t="s">
        <v>53</v>
      </c>
      <c r="G935" s="11" t="s">
        <v>54</v>
      </c>
      <c r="H935" s="11" t="s">
        <v>1312</v>
      </c>
      <c r="I935" s="11" t="s">
        <v>1737</v>
      </c>
      <c r="J935" s="11">
        <v>19.0</v>
      </c>
      <c r="K935" s="13">
        <v>39996.0</v>
      </c>
      <c r="L935" s="14"/>
      <c r="M935" s="11">
        <v>489446.0</v>
      </c>
      <c r="N935" s="11">
        <v>9073.0</v>
      </c>
      <c r="P935" s="11">
        <v>98.0</v>
      </c>
      <c r="Q935" s="15">
        <v>97.667</v>
      </c>
      <c r="R935" s="22">
        <v>1.0</v>
      </c>
      <c r="S935">
        <f t="shared" si="1"/>
        <v>2006</v>
      </c>
      <c r="T935">
        <f t="shared" si="2"/>
        <v>1</v>
      </c>
      <c r="AF935" s="18"/>
      <c r="AG935" s="19"/>
      <c r="AL935" s="18"/>
      <c r="AM935" s="19"/>
    </row>
    <row r="936">
      <c r="A936" s="4" t="s">
        <v>647</v>
      </c>
      <c r="B936" s="10">
        <v>38718.0</v>
      </c>
      <c r="C936" s="11" t="s">
        <v>133</v>
      </c>
      <c r="D936" s="11" t="s">
        <v>170</v>
      </c>
      <c r="E936" s="14" t="s">
        <v>52</v>
      </c>
      <c r="F936" s="11" t="s">
        <v>53</v>
      </c>
      <c r="G936" s="22" t="s">
        <v>265</v>
      </c>
      <c r="H936" s="14"/>
      <c r="I936" s="14"/>
      <c r="J936" s="11">
        <v>17.0</v>
      </c>
      <c r="K936" s="13">
        <v>39308.0</v>
      </c>
      <c r="L936" s="14"/>
      <c r="M936" s="11">
        <v>501595.0</v>
      </c>
      <c r="N936" s="11" t="s">
        <v>1804</v>
      </c>
      <c r="P936" s="11">
        <v>0.0</v>
      </c>
      <c r="Q936" s="15">
        <v>0.0</v>
      </c>
      <c r="R936" s="22">
        <v>0.0</v>
      </c>
      <c r="S936">
        <f t="shared" si="1"/>
        <v>2006</v>
      </c>
      <c r="T936">
        <f t="shared" si="2"/>
        <v>1</v>
      </c>
      <c r="AF936" s="18"/>
      <c r="AG936" s="19"/>
      <c r="AL936" s="18"/>
      <c r="AM936" s="19"/>
    </row>
    <row r="937">
      <c r="A937" s="4" t="s">
        <v>2220</v>
      </c>
      <c r="B937" s="10">
        <v>38718.0</v>
      </c>
      <c r="C937" s="11" t="s">
        <v>259</v>
      </c>
      <c r="D937" s="11" t="s">
        <v>82</v>
      </c>
      <c r="E937" s="14" t="s">
        <v>52</v>
      </c>
      <c r="F937" s="11" t="s">
        <v>53</v>
      </c>
      <c r="G937" s="14" t="s">
        <v>54</v>
      </c>
      <c r="H937" s="11" t="s">
        <v>344</v>
      </c>
      <c r="I937" s="11"/>
      <c r="J937" s="11">
        <v>23.0</v>
      </c>
      <c r="K937" s="13">
        <v>39083.0</v>
      </c>
      <c r="L937" s="14"/>
      <c r="M937" s="11">
        <v>425841.0</v>
      </c>
      <c r="N937" s="11" t="s">
        <v>2221</v>
      </c>
      <c r="P937" s="11">
        <v>0.0</v>
      </c>
      <c r="Q937" s="15">
        <v>0.0</v>
      </c>
      <c r="R937" s="22">
        <v>0.0</v>
      </c>
      <c r="S937">
        <f t="shared" si="1"/>
        <v>2006</v>
      </c>
      <c r="T937">
        <f t="shared" si="2"/>
        <v>1</v>
      </c>
      <c r="AF937" s="18"/>
      <c r="AG937" s="19"/>
      <c r="AL937" s="18"/>
      <c r="AM937" s="19"/>
    </row>
    <row r="938">
      <c r="A938" s="4" t="s">
        <v>2222</v>
      </c>
      <c r="B938" s="10">
        <v>38718.0</v>
      </c>
      <c r="C938" s="11" t="s">
        <v>259</v>
      </c>
      <c r="D938" s="11" t="s">
        <v>91</v>
      </c>
      <c r="E938" s="14" t="s">
        <v>52</v>
      </c>
      <c r="F938" s="11" t="s">
        <v>53</v>
      </c>
      <c r="G938" s="14" t="s">
        <v>54</v>
      </c>
      <c r="H938" s="11" t="s">
        <v>260</v>
      </c>
      <c r="I938" s="11" t="s">
        <v>930</v>
      </c>
      <c r="J938" s="11">
        <v>22.0</v>
      </c>
      <c r="K938" s="13">
        <v>39247.0</v>
      </c>
      <c r="L938" s="14"/>
      <c r="M938" s="11">
        <v>446595.0</v>
      </c>
      <c r="N938" s="11" t="s">
        <v>2223</v>
      </c>
      <c r="P938" s="11">
        <v>0.0</v>
      </c>
      <c r="Q938" s="15">
        <v>0.0</v>
      </c>
      <c r="R938" s="22">
        <v>0.0</v>
      </c>
      <c r="S938">
        <f t="shared" si="1"/>
        <v>2006</v>
      </c>
      <c r="T938">
        <f t="shared" si="2"/>
        <v>1</v>
      </c>
      <c r="AF938" s="18"/>
      <c r="AG938" s="19"/>
      <c r="AL938" s="18"/>
      <c r="AM938" s="19"/>
    </row>
    <row r="939">
      <c r="A939" s="4" t="s">
        <v>418</v>
      </c>
      <c r="B939" s="10">
        <v>38718.0</v>
      </c>
      <c r="C939" s="11" t="s">
        <v>382</v>
      </c>
      <c r="D939" s="11" t="s">
        <v>75</v>
      </c>
      <c r="E939" s="14" t="s">
        <v>52</v>
      </c>
      <c r="F939" s="11" t="s">
        <v>53</v>
      </c>
      <c r="G939" s="14" t="s">
        <v>54</v>
      </c>
      <c r="H939" s="11" t="s">
        <v>305</v>
      </c>
      <c r="I939" s="11" t="s">
        <v>2148</v>
      </c>
      <c r="J939" s="11">
        <v>31.0</v>
      </c>
      <c r="K939" s="13">
        <v>39544.0</v>
      </c>
      <c r="L939" s="14"/>
      <c r="M939" s="11">
        <v>150128.0</v>
      </c>
      <c r="N939" s="11">
        <v>452.0</v>
      </c>
      <c r="P939" s="11">
        <v>0.0</v>
      </c>
      <c r="Q939" s="15">
        <v>0.0</v>
      </c>
      <c r="R939" s="22">
        <v>0.0</v>
      </c>
      <c r="S939">
        <f t="shared" si="1"/>
        <v>2006</v>
      </c>
      <c r="T939">
        <f t="shared" si="2"/>
        <v>1</v>
      </c>
      <c r="AF939" s="18"/>
      <c r="AG939" s="19"/>
      <c r="AL939" s="18"/>
      <c r="AM939" s="19"/>
    </row>
    <row r="940">
      <c r="A940" s="4" t="s">
        <v>2225</v>
      </c>
      <c r="B940" s="10">
        <v>38718.0</v>
      </c>
      <c r="C940" s="11" t="s">
        <v>229</v>
      </c>
      <c r="D940" s="11" t="s">
        <v>170</v>
      </c>
      <c r="E940" s="14" t="s">
        <v>52</v>
      </c>
      <c r="F940" s="11" t="s">
        <v>53</v>
      </c>
      <c r="G940" s="14" t="s">
        <v>54</v>
      </c>
      <c r="H940" s="11" t="s">
        <v>341</v>
      </c>
      <c r="I940" s="11"/>
      <c r="J940" s="11">
        <v>17.0</v>
      </c>
      <c r="K940" s="13">
        <v>39624.0</v>
      </c>
      <c r="L940" s="14"/>
      <c r="M940" s="11">
        <v>543741.0</v>
      </c>
      <c r="N940" s="11" t="s">
        <v>2226</v>
      </c>
      <c r="P940" s="11">
        <v>0.0</v>
      </c>
      <c r="Q940" s="15">
        <v>0.0</v>
      </c>
      <c r="R940" s="11">
        <v>0.0</v>
      </c>
      <c r="S940">
        <f t="shared" si="1"/>
        <v>2006</v>
      </c>
      <c r="T940">
        <f t="shared" si="2"/>
        <v>1</v>
      </c>
      <c r="AF940" s="18"/>
      <c r="AG940" s="19"/>
      <c r="AL940" s="18"/>
      <c r="AM940" s="19"/>
    </row>
    <row r="941">
      <c r="A941" s="4" t="s">
        <v>852</v>
      </c>
      <c r="B941" s="10">
        <v>38718.0</v>
      </c>
      <c r="C941" s="11" t="s">
        <v>108</v>
      </c>
      <c r="D941" s="11" t="s">
        <v>170</v>
      </c>
      <c r="E941" s="14" t="s">
        <v>52</v>
      </c>
      <c r="F941" s="11" t="s">
        <v>53</v>
      </c>
      <c r="G941" s="14" t="s">
        <v>54</v>
      </c>
      <c r="H941" s="11" t="s">
        <v>92</v>
      </c>
      <c r="I941" s="11"/>
      <c r="J941" s="11">
        <v>16.0</v>
      </c>
      <c r="K941" s="13">
        <v>39637.0</v>
      </c>
      <c r="L941" s="14"/>
      <c r="M941" s="11">
        <v>543022.0</v>
      </c>
      <c r="N941" s="11">
        <v>4338.0</v>
      </c>
      <c r="P941" s="11">
        <v>70.0</v>
      </c>
      <c r="Q941" s="15">
        <v>342.0</v>
      </c>
      <c r="R941" s="22">
        <v>0.0</v>
      </c>
      <c r="S941">
        <f t="shared" si="1"/>
        <v>2006</v>
      </c>
      <c r="T941">
        <f t="shared" si="2"/>
        <v>1</v>
      </c>
      <c r="AF941" s="18"/>
      <c r="AG941" s="19"/>
      <c r="AL941" s="18"/>
      <c r="AM941" s="19"/>
    </row>
    <row r="942">
      <c r="A942" s="4" t="s">
        <v>2227</v>
      </c>
      <c r="B942" s="10">
        <v>38718.0</v>
      </c>
      <c r="C942" s="11" t="s">
        <v>331</v>
      </c>
      <c r="D942" s="11" t="s">
        <v>91</v>
      </c>
      <c r="E942" s="14" t="s">
        <v>52</v>
      </c>
      <c r="F942" s="11" t="s">
        <v>53</v>
      </c>
      <c r="G942" s="22" t="s">
        <v>172</v>
      </c>
      <c r="H942" s="14"/>
      <c r="I942" s="14"/>
      <c r="J942" s="11">
        <v>19.0</v>
      </c>
      <c r="K942" s="13">
        <v>39542.0</v>
      </c>
      <c r="L942" s="14"/>
      <c r="M942" s="11">
        <v>488880.0</v>
      </c>
      <c r="N942" s="11" t="s">
        <v>2228</v>
      </c>
      <c r="P942" s="11">
        <v>0.0</v>
      </c>
      <c r="Q942" s="15">
        <v>0.0</v>
      </c>
      <c r="R942" s="11">
        <v>0.0</v>
      </c>
      <c r="S942">
        <f t="shared" si="1"/>
        <v>2006</v>
      </c>
      <c r="T942">
        <f t="shared" si="2"/>
        <v>1</v>
      </c>
      <c r="AF942" s="18"/>
      <c r="AG942" s="19"/>
      <c r="AL942" s="18"/>
      <c r="AM942" s="19"/>
    </row>
    <row r="943">
      <c r="A943" s="4" t="s">
        <v>2229</v>
      </c>
      <c r="B943" s="10">
        <v>38718.0</v>
      </c>
      <c r="C943" s="11" t="s">
        <v>114</v>
      </c>
      <c r="D943" s="11" t="s">
        <v>75</v>
      </c>
      <c r="E943" s="14" t="s">
        <v>52</v>
      </c>
      <c r="F943" s="11" t="s">
        <v>53</v>
      </c>
      <c r="G943" s="14" t="s">
        <v>54</v>
      </c>
      <c r="H943" s="11" t="s">
        <v>204</v>
      </c>
      <c r="I943" s="11"/>
      <c r="J943" s="11">
        <v>26.0</v>
      </c>
      <c r="K943" s="13">
        <v>39194.0</v>
      </c>
      <c r="L943" s="14"/>
      <c r="M943" s="11">
        <v>430831.0</v>
      </c>
      <c r="N943" s="11">
        <v>1903.0</v>
      </c>
      <c r="P943" s="11">
        <v>119.0</v>
      </c>
      <c r="Q943" s="15">
        <v>157.0</v>
      </c>
      <c r="R943" s="22">
        <v>0.0</v>
      </c>
      <c r="S943">
        <f t="shared" si="1"/>
        <v>2006</v>
      </c>
      <c r="T943">
        <f t="shared" si="2"/>
        <v>1</v>
      </c>
      <c r="AF943" s="18"/>
      <c r="AG943" s="19"/>
      <c r="AL943" s="18"/>
      <c r="AM943" s="19"/>
    </row>
    <row r="944">
      <c r="A944" s="4" t="s">
        <v>335</v>
      </c>
      <c r="B944" s="10">
        <v>38718.0</v>
      </c>
      <c r="C944" s="11" t="s">
        <v>138</v>
      </c>
      <c r="D944" s="11" t="s">
        <v>124</v>
      </c>
      <c r="E944" s="14" t="s">
        <v>52</v>
      </c>
      <c r="F944" s="11" t="s">
        <v>53</v>
      </c>
      <c r="G944" s="14" t="s">
        <v>54</v>
      </c>
      <c r="H944" s="11" t="s">
        <v>260</v>
      </c>
      <c r="I944" s="11"/>
      <c r="J944" s="11">
        <v>20.0</v>
      </c>
      <c r="K944" s="13">
        <v>39585.0</v>
      </c>
      <c r="L944" s="14"/>
      <c r="M944" s="11">
        <v>451600.0</v>
      </c>
      <c r="N944" s="11">
        <v>4067.0</v>
      </c>
      <c r="P944" s="11">
        <v>0.0</v>
      </c>
      <c r="Q944" s="15">
        <v>0.0</v>
      </c>
      <c r="R944" s="22">
        <v>0.0</v>
      </c>
      <c r="S944">
        <f t="shared" si="1"/>
        <v>2006</v>
      </c>
      <c r="T944">
        <f t="shared" si="2"/>
        <v>1</v>
      </c>
      <c r="AF944" s="18"/>
      <c r="AG944" s="19"/>
      <c r="AL944" s="18"/>
      <c r="AM944" s="19"/>
    </row>
    <row r="945">
      <c r="A945" s="4" t="s">
        <v>489</v>
      </c>
      <c r="B945" s="10">
        <v>38718.0</v>
      </c>
      <c r="C945" s="11" t="s">
        <v>97</v>
      </c>
      <c r="D945" s="11" t="s">
        <v>124</v>
      </c>
      <c r="E945" s="11" t="s">
        <v>160</v>
      </c>
      <c r="F945" s="11" t="s">
        <v>53</v>
      </c>
      <c r="G945" s="11" t="s">
        <v>265</v>
      </c>
      <c r="H945" s="11"/>
      <c r="I945" s="11"/>
      <c r="J945" s="11">
        <v>21.0</v>
      </c>
      <c r="K945" s="13">
        <v>39177.0</v>
      </c>
      <c r="L945" s="14"/>
      <c r="M945" s="11">
        <v>464268.0</v>
      </c>
      <c r="N945" s="11" t="s">
        <v>1185</v>
      </c>
      <c r="P945" s="11">
        <v>0.0</v>
      </c>
      <c r="Q945" s="15">
        <v>0.0</v>
      </c>
      <c r="R945" s="22">
        <v>1.0</v>
      </c>
      <c r="S945">
        <f t="shared" si="1"/>
        <v>2006</v>
      </c>
      <c r="T945">
        <f t="shared" si="2"/>
        <v>1</v>
      </c>
      <c r="AF945" s="18"/>
      <c r="AG945" s="19"/>
      <c r="AL945" s="18"/>
      <c r="AM945" s="19"/>
    </row>
    <row r="946">
      <c r="A946" s="4" t="s">
        <v>2231</v>
      </c>
      <c r="B946" s="10">
        <v>38718.0</v>
      </c>
      <c r="C946" s="11" t="s">
        <v>156</v>
      </c>
      <c r="D946" s="11" t="s">
        <v>170</v>
      </c>
      <c r="E946" s="14" t="s">
        <v>52</v>
      </c>
      <c r="F946" s="11" t="s">
        <v>76</v>
      </c>
      <c r="G946" s="14" t="s">
        <v>54</v>
      </c>
      <c r="H946" s="11" t="s">
        <v>260</v>
      </c>
      <c r="I946" s="11" t="s">
        <v>2232</v>
      </c>
      <c r="J946" s="11">
        <v>17.0</v>
      </c>
      <c r="K946" s="13">
        <v>40343.0</v>
      </c>
      <c r="L946" s="14"/>
      <c r="M946" s="11">
        <v>518713.0</v>
      </c>
      <c r="N946" s="11">
        <v>11133.0</v>
      </c>
      <c r="P946" s="11">
        <v>3.0</v>
      </c>
      <c r="Q946" s="15">
        <v>12.333</v>
      </c>
      <c r="R946" s="11">
        <v>0.0</v>
      </c>
      <c r="S946">
        <f t="shared" si="1"/>
        <v>2006</v>
      </c>
      <c r="T946">
        <f t="shared" si="2"/>
        <v>1</v>
      </c>
      <c r="AF946" s="18"/>
      <c r="AG946" s="19"/>
      <c r="AL946" s="18"/>
      <c r="AM946" s="19"/>
    </row>
    <row r="947">
      <c r="A947" s="4" t="s">
        <v>2233</v>
      </c>
      <c r="B947" s="10">
        <v>38718.0</v>
      </c>
      <c r="C947" s="11" t="s">
        <v>130</v>
      </c>
      <c r="D947" s="11" t="s">
        <v>124</v>
      </c>
      <c r="E947" s="14" t="s">
        <v>52</v>
      </c>
      <c r="F947" s="11" t="s">
        <v>76</v>
      </c>
      <c r="G947" s="14" t="s">
        <v>54</v>
      </c>
      <c r="H947" s="11" t="s">
        <v>154</v>
      </c>
      <c r="I947" s="11" t="s">
        <v>2234</v>
      </c>
      <c r="J947" s="11">
        <v>23.0</v>
      </c>
      <c r="K947" s="14"/>
      <c r="L947" s="14"/>
      <c r="M947" s="11">
        <v>456522.0</v>
      </c>
      <c r="N947" s="11" t="s">
        <v>2235</v>
      </c>
      <c r="P947" s="11">
        <v>0.0</v>
      </c>
      <c r="Q947" s="15">
        <v>0.0</v>
      </c>
      <c r="R947" s="22">
        <v>0.0</v>
      </c>
      <c r="S947">
        <f t="shared" si="1"/>
        <v>2006</v>
      </c>
      <c r="T947">
        <f t="shared" si="2"/>
        <v>1</v>
      </c>
      <c r="AF947" s="18"/>
      <c r="AG947" s="19"/>
      <c r="AL947" s="18"/>
      <c r="AM947" s="19"/>
    </row>
    <row r="948">
      <c r="A948" s="4" t="s">
        <v>2236</v>
      </c>
      <c r="B948" s="10">
        <v>38718.0</v>
      </c>
      <c r="C948" s="11" t="s">
        <v>130</v>
      </c>
      <c r="D948" s="11" t="s">
        <v>210</v>
      </c>
      <c r="E948" s="14" t="s">
        <v>52</v>
      </c>
      <c r="F948" s="11" t="s">
        <v>53</v>
      </c>
      <c r="G948" s="14" t="s">
        <v>54</v>
      </c>
      <c r="H948" s="11" t="s">
        <v>157</v>
      </c>
      <c r="I948" s="11" t="s">
        <v>1122</v>
      </c>
      <c r="J948" s="11">
        <v>22.0</v>
      </c>
      <c r="K948" s="13">
        <v>39543.0</v>
      </c>
      <c r="L948" s="14"/>
      <c r="M948" s="11">
        <v>459983.0</v>
      </c>
      <c r="N948" s="11">
        <v>4214.0</v>
      </c>
      <c r="P948" s="11">
        <v>15.0</v>
      </c>
      <c r="Q948" s="15">
        <v>18.667</v>
      </c>
      <c r="R948" s="22">
        <v>0.0</v>
      </c>
      <c r="S948">
        <f t="shared" si="1"/>
        <v>2006</v>
      </c>
      <c r="T948">
        <f t="shared" si="2"/>
        <v>1</v>
      </c>
      <c r="AF948" s="18"/>
      <c r="AG948" s="19"/>
      <c r="AL948" s="18"/>
      <c r="AM948" s="19"/>
    </row>
    <row r="949">
      <c r="A949" s="4" t="s">
        <v>2237</v>
      </c>
      <c r="B949" s="10">
        <v>38718.0</v>
      </c>
      <c r="C949" s="11" t="s">
        <v>179</v>
      </c>
      <c r="D949" s="11" t="s">
        <v>170</v>
      </c>
      <c r="E949" s="11" t="s">
        <v>52</v>
      </c>
      <c r="F949" s="11" t="s">
        <v>53</v>
      </c>
      <c r="G949" s="11" t="s">
        <v>54</v>
      </c>
      <c r="H949" s="11" t="s">
        <v>260</v>
      </c>
      <c r="I949" s="11" t="s">
        <v>2238</v>
      </c>
      <c r="J949" s="11">
        <v>14.0</v>
      </c>
      <c r="K949" s="13">
        <v>41077.0</v>
      </c>
      <c r="L949" s="14"/>
      <c r="M949" s="11">
        <v>594742.0</v>
      </c>
      <c r="N949" s="11">
        <v>13560.0</v>
      </c>
      <c r="P949" s="11">
        <v>12.0</v>
      </c>
      <c r="Q949" s="15">
        <v>56.667</v>
      </c>
      <c r="R949" s="22">
        <v>1.0</v>
      </c>
      <c r="S949">
        <f t="shared" si="1"/>
        <v>2006</v>
      </c>
      <c r="T949">
        <f t="shared" si="2"/>
        <v>1</v>
      </c>
      <c r="AF949" s="18"/>
      <c r="AG949" s="19"/>
      <c r="AL949" s="18"/>
      <c r="AM949" s="19"/>
    </row>
    <row r="950">
      <c r="A950" s="4" t="s">
        <v>2239</v>
      </c>
      <c r="B950" s="10">
        <v>38718.0</v>
      </c>
      <c r="C950" s="11" t="s">
        <v>179</v>
      </c>
      <c r="D950" s="11" t="s">
        <v>91</v>
      </c>
      <c r="E950" s="11" t="s">
        <v>52</v>
      </c>
      <c r="F950" s="11" t="s">
        <v>53</v>
      </c>
      <c r="G950" s="11" t="s">
        <v>54</v>
      </c>
      <c r="H950" s="11" t="s">
        <v>92</v>
      </c>
      <c r="I950" s="11"/>
      <c r="J950" s="11">
        <v>19.0</v>
      </c>
      <c r="K950" s="13">
        <v>39617.0</v>
      </c>
      <c r="L950" s="14"/>
      <c r="M950" s="11">
        <v>457764.0</v>
      </c>
      <c r="N950" s="11" t="s">
        <v>2240</v>
      </c>
      <c r="P950" s="11">
        <v>0.0</v>
      </c>
      <c r="Q950" s="15">
        <v>0.0</v>
      </c>
      <c r="R950" s="22">
        <v>0.0</v>
      </c>
      <c r="S950">
        <f t="shared" si="1"/>
        <v>2006</v>
      </c>
      <c r="T950">
        <f t="shared" si="2"/>
        <v>1</v>
      </c>
      <c r="AF950" s="18"/>
      <c r="AG950" s="19"/>
      <c r="AL950" s="18"/>
      <c r="AM950" s="19"/>
    </row>
    <row r="951">
      <c r="A951" s="4" t="s">
        <v>2241</v>
      </c>
      <c r="B951" s="10">
        <v>38718.0</v>
      </c>
      <c r="C951" s="11" t="s">
        <v>179</v>
      </c>
      <c r="D951" s="11" t="s">
        <v>170</v>
      </c>
      <c r="E951" s="22" t="s">
        <v>160</v>
      </c>
      <c r="F951" s="11" t="s">
        <v>53</v>
      </c>
      <c r="G951" s="11" t="s">
        <v>83</v>
      </c>
      <c r="H951" s="14"/>
      <c r="I951" s="14"/>
      <c r="J951" s="11">
        <v>17.0</v>
      </c>
      <c r="K951" s="13">
        <v>39083.0</v>
      </c>
      <c r="L951" s="14"/>
      <c r="M951" s="11">
        <v>468175.0</v>
      </c>
      <c r="N951" s="11" t="s">
        <v>2242</v>
      </c>
      <c r="P951" s="11">
        <v>0.0</v>
      </c>
      <c r="Q951" s="15">
        <v>0.0</v>
      </c>
      <c r="R951" s="22">
        <v>0.0</v>
      </c>
      <c r="S951">
        <f t="shared" si="1"/>
        <v>2006</v>
      </c>
      <c r="T951">
        <f t="shared" si="2"/>
        <v>1</v>
      </c>
      <c r="AF951" s="18"/>
      <c r="AG951" s="19"/>
      <c r="AL951" s="18"/>
      <c r="AM951" s="19"/>
    </row>
    <row r="952">
      <c r="A952" s="4" t="s">
        <v>2244</v>
      </c>
      <c r="B952" s="10">
        <v>38718.0</v>
      </c>
      <c r="C952" s="11" t="s">
        <v>711</v>
      </c>
      <c r="D952" s="11" t="s">
        <v>82</v>
      </c>
      <c r="E952" s="14" t="s">
        <v>52</v>
      </c>
      <c r="F952" s="11" t="s">
        <v>53</v>
      </c>
      <c r="G952" s="22" t="s">
        <v>312</v>
      </c>
      <c r="H952" s="14"/>
      <c r="I952" s="14"/>
      <c r="J952" s="11">
        <v>24.0</v>
      </c>
      <c r="K952" s="13">
        <v>39277.0</v>
      </c>
      <c r="L952" s="14"/>
      <c r="M952" s="11">
        <v>434594.0</v>
      </c>
      <c r="N952" s="11" t="s">
        <v>2245</v>
      </c>
      <c r="P952" s="11">
        <v>0.0</v>
      </c>
      <c r="Q952" s="15">
        <v>0.0</v>
      </c>
      <c r="R952" s="22">
        <v>0.0</v>
      </c>
      <c r="S952">
        <f t="shared" si="1"/>
        <v>2006</v>
      </c>
      <c r="T952">
        <f t="shared" si="2"/>
        <v>1</v>
      </c>
      <c r="AF952" s="18"/>
      <c r="AG952" s="19"/>
      <c r="AL952" s="18"/>
      <c r="AM952" s="19"/>
    </row>
    <row r="953">
      <c r="A953" s="4" t="s">
        <v>2246</v>
      </c>
      <c r="B953" s="10">
        <v>38687.0</v>
      </c>
      <c r="C953" s="11" t="s">
        <v>229</v>
      </c>
      <c r="D953" s="11" t="s">
        <v>110</v>
      </c>
      <c r="E953" s="11" t="s">
        <v>52</v>
      </c>
      <c r="F953" s="11" t="s">
        <v>53</v>
      </c>
      <c r="G953" s="11" t="s">
        <v>54</v>
      </c>
      <c r="H953" s="11" t="s">
        <v>197</v>
      </c>
      <c r="I953" s="11" t="s">
        <v>2247</v>
      </c>
      <c r="J953" s="11">
        <v>23.0</v>
      </c>
      <c r="K953" s="13">
        <v>39181.0</v>
      </c>
      <c r="L953" s="11">
        <f t="shared" ref="L953:L954" si="96">ROUND(((K953-B953)/365)*12)</f>
        <v>16</v>
      </c>
      <c r="M953" s="11">
        <v>458250.0</v>
      </c>
      <c r="N953" s="11">
        <v>6164.0</v>
      </c>
      <c r="P953" s="11">
        <v>80.0</v>
      </c>
      <c r="Q953" s="15">
        <v>83.0</v>
      </c>
      <c r="R953" s="22">
        <v>0.0</v>
      </c>
      <c r="S953">
        <f t="shared" si="1"/>
        <v>2005</v>
      </c>
      <c r="T953">
        <f t="shared" si="2"/>
        <v>12</v>
      </c>
      <c r="AF953" s="18"/>
      <c r="AG953" s="19"/>
      <c r="AL953" s="18"/>
      <c r="AM953" s="19"/>
    </row>
    <row r="954">
      <c r="A954" s="4" t="s">
        <v>2248</v>
      </c>
      <c r="B954" s="10">
        <v>38685.0</v>
      </c>
      <c r="C954" s="11" t="s">
        <v>179</v>
      </c>
      <c r="D954" s="11" t="s">
        <v>210</v>
      </c>
      <c r="E954" s="22" t="s">
        <v>264</v>
      </c>
      <c r="F954" s="11" t="s">
        <v>53</v>
      </c>
      <c r="G954" s="14" t="s">
        <v>54</v>
      </c>
      <c r="H954" s="14"/>
      <c r="I954" s="11" t="s">
        <v>157</v>
      </c>
      <c r="J954" s="11">
        <v>21.0</v>
      </c>
      <c r="K954" s="13">
        <v>39177.0</v>
      </c>
      <c r="L954" s="11">
        <f t="shared" si="96"/>
        <v>16</v>
      </c>
      <c r="M954" s="11">
        <v>460003.0</v>
      </c>
      <c r="N954" s="11">
        <v>5199.0</v>
      </c>
      <c r="P954" s="11">
        <v>180.0</v>
      </c>
      <c r="Q954" s="15">
        <v>563.0</v>
      </c>
      <c r="R954" s="11">
        <v>0.0</v>
      </c>
      <c r="S954">
        <f t="shared" si="1"/>
        <v>2005</v>
      </c>
      <c r="T954">
        <f t="shared" si="2"/>
        <v>11</v>
      </c>
      <c r="AF954" s="18"/>
      <c r="AG954" s="19"/>
      <c r="AL954" s="18"/>
      <c r="AM954" s="19"/>
    </row>
    <row r="955">
      <c r="A955" s="4" t="s">
        <v>190</v>
      </c>
      <c r="B955" s="10">
        <v>38643.0</v>
      </c>
      <c r="C955" s="11" t="s">
        <v>156</v>
      </c>
      <c r="D955" s="11" t="s">
        <v>51</v>
      </c>
      <c r="E955" s="14" t="s">
        <v>52</v>
      </c>
      <c r="F955" s="11" t="s">
        <v>53</v>
      </c>
      <c r="G955" s="22" t="s">
        <v>83</v>
      </c>
      <c r="H955" s="14"/>
      <c r="I955" s="14"/>
      <c r="J955" s="11">
        <v>35.0</v>
      </c>
      <c r="K955" s="13">
        <v>39177.0</v>
      </c>
      <c r="L955" s="14"/>
      <c r="M955" s="11">
        <v>121099.0</v>
      </c>
      <c r="N955" s="11">
        <v>1005.0</v>
      </c>
      <c r="O955" s="4" t="s">
        <v>404</v>
      </c>
      <c r="P955" s="11">
        <v>87.0</v>
      </c>
      <c r="Q955" s="32">
        <v>83.33299999999998</v>
      </c>
      <c r="R955" s="22">
        <v>0.0</v>
      </c>
      <c r="S955">
        <f t="shared" si="1"/>
        <v>2005</v>
      </c>
      <c r="T955">
        <f t="shared" si="2"/>
        <v>10</v>
      </c>
      <c r="AF955" s="18"/>
      <c r="AG955" s="19"/>
      <c r="AL955" s="18"/>
      <c r="AM955" s="19"/>
    </row>
    <row r="956">
      <c r="A956" s="4" t="s">
        <v>2249</v>
      </c>
      <c r="B956" s="10">
        <v>38621.0</v>
      </c>
      <c r="C956" s="11" t="s">
        <v>142</v>
      </c>
      <c r="D956" s="11" t="s">
        <v>51</v>
      </c>
      <c r="E956" s="14" t="s">
        <v>52</v>
      </c>
      <c r="F956" s="11" t="s">
        <v>76</v>
      </c>
      <c r="G956" s="14" t="s">
        <v>54</v>
      </c>
      <c r="H956" s="11" t="s">
        <v>260</v>
      </c>
      <c r="I956" s="11"/>
      <c r="J956" s="11">
        <v>32.0</v>
      </c>
      <c r="K956" s="13">
        <v>39655.0</v>
      </c>
      <c r="L956" s="11">
        <f t="shared" ref="L956:L958" si="97">ROUND(((K956-B956)/365)*12)</f>
        <v>34</v>
      </c>
      <c r="M956" s="11">
        <v>115399.0</v>
      </c>
      <c r="N956" s="11">
        <v>430.0</v>
      </c>
      <c r="O956" s="4" t="s">
        <v>287</v>
      </c>
      <c r="P956" s="11">
        <v>44.0</v>
      </c>
      <c r="Q956" s="32">
        <v>194.33299999999997</v>
      </c>
      <c r="R956" s="22">
        <v>0.0</v>
      </c>
      <c r="S956">
        <f t="shared" si="1"/>
        <v>2005</v>
      </c>
      <c r="T956">
        <f t="shared" si="2"/>
        <v>9</v>
      </c>
      <c r="U956" s="4"/>
      <c r="V956" s="4"/>
      <c r="W956" s="4"/>
      <c r="X956" s="4"/>
      <c r="Y956" s="4"/>
      <c r="Z956" s="4"/>
      <c r="AA956" s="4"/>
      <c r="AB956" s="4"/>
      <c r="AC956" s="4"/>
      <c r="AD956" s="4">
        <v>12.0</v>
      </c>
      <c r="AE956" s="4">
        <v>12.0</v>
      </c>
      <c r="AF956" s="54">
        <v>69.333</v>
      </c>
      <c r="AG956" s="55">
        <v>0.032</v>
      </c>
      <c r="AH956" s="4">
        <v>84.0</v>
      </c>
      <c r="AI956" s="4">
        <v>94.0</v>
      </c>
      <c r="AJ956" s="4">
        <v>13.0</v>
      </c>
      <c r="AK956" s="4">
        <v>13.0</v>
      </c>
      <c r="AL956" s="54">
        <v>78.0</v>
      </c>
      <c r="AM956" s="55">
        <v>0.03</v>
      </c>
      <c r="AN956" s="4">
        <v>115.0</v>
      </c>
      <c r="AO956" s="4">
        <v>115.0</v>
      </c>
    </row>
    <row r="957">
      <c r="A957" s="4" t="s">
        <v>2251</v>
      </c>
      <c r="B957" s="10">
        <v>38611.0</v>
      </c>
      <c r="C957" s="11" t="s">
        <v>81</v>
      </c>
      <c r="D957" s="11" t="s">
        <v>51</v>
      </c>
      <c r="E957" s="22" t="s">
        <v>392</v>
      </c>
      <c r="F957" s="11" t="s">
        <v>53</v>
      </c>
      <c r="G957" s="11" t="s">
        <v>265</v>
      </c>
      <c r="H957" s="14"/>
      <c r="I957" s="14"/>
      <c r="J957" s="11">
        <v>25.0</v>
      </c>
      <c r="K957" s="13">
        <v>38888.0</v>
      </c>
      <c r="L957" s="11">
        <f t="shared" si="97"/>
        <v>9</v>
      </c>
      <c r="M957" s="11">
        <v>285131.0</v>
      </c>
      <c r="N957" s="11">
        <v>656.0</v>
      </c>
      <c r="O957" s="4" t="s">
        <v>2252</v>
      </c>
      <c r="P957" s="11">
        <v>706.0</v>
      </c>
      <c r="Q957" s="32">
        <v>2272.0</v>
      </c>
      <c r="R957" s="22">
        <v>0.0</v>
      </c>
      <c r="S957">
        <f t="shared" si="1"/>
        <v>2005</v>
      </c>
      <c r="T957">
        <f t="shared" si="2"/>
        <v>9</v>
      </c>
      <c r="AF957" s="18"/>
      <c r="AG957" s="19"/>
      <c r="AL957" s="18"/>
      <c r="AM957" s="19"/>
    </row>
    <row r="958">
      <c r="A958" s="4" t="s">
        <v>2253</v>
      </c>
      <c r="B958" s="10">
        <v>38587.0</v>
      </c>
      <c r="C958" s="11" t="s">
        <v>90</v>
      </c>
      <c r="D958" s="11" t="s">
        <v>51</v>
      </c>
      <c r="E958" s="14" t="s">
        <v>52</v>
      </c>
      <c r="F958" s="11" t="s">
        <v>53</v>
      </c>
      <c r="G958" s="22" t="s">
        <v>582</v>
      </c>
      <c r="H958" s="14"/>
      <c r="I958" s="14"/>
      <c r="J958" s="11">
        <v>26.0</v>
      </c>
      <c r="K958" s="13">
        <v>38986.0</v>
      </c>
      <c r="L958" s="11">
        <f t="shared" si="97"/>
        <v>13</v>
      </c>
      <c r="M958" s="11">
        <v>435658.0</v>
      </c>
      <c r="N958" s="11">
        <v>8686.0</v>
      </c>
      <c r="O958" s="4" t="s">
        <v>704</v>
      </c>
      <c r="P958" s="11">
        <v>50.0</v>
      </c>
      <c r="Q958" s="15">
        <v>178.667</v>
      </c>
      <c r="R958" s="22">
        <v>0.0</v>
      </c>
      <c r="S958">
        <f t="shared" si="1"/>
        <v>2005</v>
      </c>
      <c r="T958">
        <f t="shared" si="2"/>
        <v>8</v>
      </c>
      <c r="U958" s="4"/>
      <c r="V958" s="4"/>
      <c r="W958" s="4"/>
      <c r="X958" s="4"/>
      <c r="Y958" s="4"/>
      <c r="Z958" s="4"/>
      <c r="AA958" s="4"/>
      <c r="AB958" s="4"/>
      <c r="AC958" s="4"/>
      <c r="AD958" s="4">
        <v>2.0</v>
      </c>
      <c r="AE958" s="4">
        <v>1.0</v>
      </c>
      <c r="AF958" s="54">
        <v>2.0</v>
      </c>
      <c r="AG958" s="55">
        <v>0.0</v>
      </c>
      <c r="AH958" s="4">
        <v>0.0</v>
      </c>
      <c r="AI958" s="4">
        <v>83.0</v>
      </c>
      <c r="AJ958" s="4">
        <v>1.0</v>
      </c>
      <c r="AK958" s="4">
        <v>0.0</v>
      </c>
      <c r="AL958" s="54">
        <v>2.333</v>
      </c>
      <c r="AM958" s="55">
        <v>0.091</v>
      </c>
      <c r="AN958" s="4">
        <v>351.0</v>
      </c>
      <c r="AO958" s="4">
        <v>52.0</v>
      </c>
    </row>
    <row r="959">
      <c r="A959" s="4" t="s">
        <v>847</v>
      </c>
      <c r="B959" s="10">
        <v>38565.0</v>
      </c>
      <c r="C959" s="11" t="s">
        <v>331</v>
      </c>
      <c r="D959" s="11" t="s">
        <v>51</v>
      </c>
      <c r="E959" s="14" t="s">
        <v>52</v>
      </c>
      <c r="F959" s="11" t="s">
        <v>53</v>
      </c>
      <c r="G959" s="14" t="s">
        <v>54</v>
      </c>
      <c r="H959" s="11" t="s">
        <v>260</v>
      </c>
      <c r="I959" s="11" t="s">
        <v>261</v>
      </c>
      <c r="J959" s="11">
        <v>25.0</v>
      </c>
      <c r="K959" s="14"/>
      <c r="L959" s="14"/>
      <c r="M959" s="11">
        <v>407486.0</v>
      </c>
      <c r="N959" s="11">
        <v>1484.0</v>
      </c>
      <c r="O959" s="4" t="s">
        <v>59</v>
      </c>
      <c r="P959" s="11">
        <v>0.0</v>
      </c>
      <c r="Q959" s="32">
        <v>0.0</v>
      </c>
      <c r="R959" s="22">
        <v>0.0</v>
      </c>
      <c r="S959">
        <f t="shared" si="1"/>
        <v>2005</v>
      </c>
      <c r="T959">
        <f t="shared" si="2"/>
        <v>8</v>
      </c>
      <c r="U959" s="4"/>
      <c r="V959" s="4"/>
      <c r="W959" s="4"/>
      <c r="X959" s="4"/>
      <c r="Y959" s="4"/>
      <c r="Z959" s="4"/>
      <c r="AA959" s="4"/>
      <c r="AB959" s="4"/>
      <c r="AC959" s="4"/>
      <c r="AD959" s="4">
        <v>33.0</v>
      </c>
      <c r="AE959" s="4">
        <v>0.0</v>
      </c>
      <c r="AF959" s="54">
        <v>42.0</v>
      </c>
      <c r="AG959" s="55">
        <v>0.132</v>
      </c>
      <c r="AH959" s="4">
        <v>99.0</v>
      </c>
      <c r="AI959" s="4">
        <v>62.0</v>
      </c>
      <c r="AJ959" s="4">
        <v>0.0</v>
      </c>
      <c r="AK959" s="4">
        <v>0.0</v>
      </c>
      <c r="AL959" s="54">
        <v>0.0</v>
      </c>
      <c r="AM959" s="55">
        <v>0.0</v>
      </c>
      <c r="AN959" s="4">
        <v>0.0</v>
      </c>
      <c r="AO959" s="4">
        <v>0.0</v>
      </c>
    </row>
    <row r="960">
      <c r="A960" s="4" t="s">
        <v>2255</v>
      </c>
      <c r="B960" s="10">
        <v>38555.0</v>
      </c>
      <c r="C960" s="11" t="s">
        <v>97</v>
      </c>
      <c r="D960" s="11" t="s">
        <v>51</v>
      </c>
      <c r="E960" s="22" t="s">
        <v>872</v>
      </c>
      <c r="F960" s="11" t="s">
        <v>76</v>
      </c>
      <c r="G960" s="11" t="s">
        <v>582</v>
      </c>
      <c r="H960" s="14"/>
      <c r="I960" s="14"/>
      <c r="J960" s="11">
        <v>31.0</v>
      </c>
      <c r="K960" s="14"/>
      <c r="L960" s="14"/>
      <c r="M960" s="11">
        <v>220194.0</v>
      </c>
      <c r="N960" s="11">
        <v>1413.0</v>
      </c>
      <c r="O960" s="4" t="s">
        <v>704</v>
      </c>
      <c r="P960" s="11">
        <v>0.0</v>
      </c>
      <c r="Q960" s="32">
        <v>0.0</v>
      </c>
      <c r="R960" s="22">
        <v>0.0</v>
      </c>
      <c r="S960">
        <f t="shared" si="1"/>
        <v>2005</v>
      </c>
      <c r="T960">
        <f t="shared" si="2"/>
        <v>7</v>
      </c>
      <c r="AF960" s="18"/>
      <c r="AG960" s="19"/>
      <c r="AL960" s="18"/>
      <c r="AM960" s="19"/>
    </row>
    <row r="961">
      <c r="A961" s="4" t="s">
        <v>2256</v>
      </c>
      <c r="B961" s="10">
        <v>38555.0</v>
      </c>
      <c r="C961" s="11" t="s">
        <v>156</v>
      </c>
      <c r="D961" s="11" t="s">
        <v>124</v>
      </c>
      <c r="E961" s="14" t="s">
        <v>52</v>
      </c>
      <c r="F961" s="11" t="s">
        <v>53</v>
      </c>
      <c r="G961" s="14" t="s">
        <v>54</v>
      </c>
      <c r="H961" s="11" t="s">
        <v>244</v>
      </c>
      <c r="I961" s="11"/>
      <c r="J961" s="11">
        <v>21.0</v>
      </c>
      <c r="K961" s="13">
        <v>39255.0</v>
      </c>
      <c r="L961" s="11">
        <f>ROUND(((K961-B961)/365)*12)</f>
        <v>23</v>
      </c>
      <c r="M961" s="11">
        <v>449072.0</v>
      </c>
      <c r="N961" s="11">
        <v>4845.0</v>
      </c>
      <c r="O961" s="4" t="s">
        <v>404</v>
      </c>
      <c r="P961" s="11">
        <v>268.0</v>
      </c>
      <c r="Q961" s="15">
        <v>387.333</v>
      </c>
      <c r="R961" s="22">
        <v>0.0</v>
      </c>
      <c r="S961">
        <f t="shared" si="1"/>
        <v>2005</v>
      </c>
      <c r="T961">
        <f t="shared" si="2"/>
        <v>7</v>
      </c>
      <c r="AF961" s="18"/>
      <c r="AG961" s="19"/>
      <c r="AL961" s="18"/>
      <c r="AM961" s="19"/>
    </row>
    <row r="962">
      <c r="A962" s="4" t="s">
        <v>236</v>
      </c>
      <c r="B962" s="10">
        <v>38554.0</v>
      </c>
      <c r="C962" s="11" t="s">
        <v>229</v>
      </c>
      <c r="D962" s="11" t="s">
        <v>51</v>
      </c>
      <c r="E962" s="14" t="s">
        <v>52</v>
      </c>
      <c r="F962" s="11" t="s">
        <v>76</v>
      </c>
      <c r="G962" s="14" t="s">
        <v>54</v>
      </c>
      <c r="H962" s="11" t="s">
        <v>305</v>
      </c>
      <c r="I962" s="11" t="s">
        <v>746</v>
      </c>
      <c r="J962" s="11">
        <v>33.0</v>
      </c>
      <c r="K962" s="14"/>
      <c r="L962" s="14"/>
      <c r="M962" s="11">
        <v>110230.0</v>
      </c>
      <c r="N962" s="11">
        <v>6144.0</v>
      </c>
      <c r="O962" s="4" t="s">
        <v>224</v>
      </c>
      <c r="P962" s="11">
        <v>0.0</v>
      </c>
      <c r="Q962" s="32">
        <v>0.0</v>
      </c>
      <c r="R962" s="22">
        <v>0.0</v>
      </c>
      <c r="S962">
        <f t="shared" si="1"/>
        <v>2005</v>
      </c>
      <c r="T962">
        <f t="shared" si="2"/>
        <v>7</v>
      </c>
      <c r="U962" s="4"/>
      <c r="V962" s="4"/>
      <c r="W962" s="4"/>
      <c r="X962" s="4"/>
      <c r="Y962" s="4"/>
      <c r="Z962" s="4"/>
      <c r="AA962" s="4"/>
      <c r="AB962" s="4"/>
      <c r="AC962" s="4"/>
      <c r="AD962" s="4">
        <v>6.0</v>
      </c>
      <c r="AE962" s="4">
        <v>6.0</v>
      </c>
      <c r="AF962" s="54">
        <v>30.667</v>
      </c>
      <c r="AG962" s="55">
        <v>0.098</v>
      </c>
      <c r="AH962" s="4">
        <v>151.0</v>
      </c>
      <c r="AI962" s="4">
        <v>123.0</v>
      </c>
      <c r="AJ962" s="4">
        <v>0.0</v>
      </c>
      <c r="AK962" s="4">
        <v>0.0</v>
      </c>
      <c r="AL962" s="54">
        <v>0.0</v>
      </c>
      <c r="AM962" s="55">
        <v>0.0</v>
      </c>
      <c r="AN962" s="4">
        <v>0.0</v>
      </c>
      <c r="AO962" s="4">
        <v>0.0</v>
      </c>
    </row>
    <row r="963">
      <c r="A963" s="4" t="s">
        <v>2257</v>
      </c>
      <c r="B963" s="10">
        <v>38553.0</v>
      </c>
      <c r="C963" s="11" t="s">
        <v>109</v>
      </c>
      <c r="D963" s="11" t="s">
        <v>82</v>
      </c>
      <c r="E963" s="14" t="s">
        <v>52</v>
      </c>
      <c r="F963" s="11" t="s">
        <v>53</v>
      </c>
      <c r="G963" s="14" t="s">
        <v>54</v>
      </c>
      <c r="H963" s="11" t="s">
        <v>157</v>
      </c>
      <c r="I963" s="11" t="s">
        <v>1122</v>
      </c>
      <c r="J963" s="11">
        <v>22.0</v>
      </c>
      <c r="K963" s="13">
        <v>38933.0</v>
      </c>
      <c r="L963" s="11">
        <f t="shared" ref="L963:L965" si="98">ROUND(((K963-B963)/365)*12)</f>
        <v>12</v>
      </c>
      <c r="M963" s="11">
        <v>458950.0</v>
      </c>
      <c r="N963" s="11">
        <v>8586.0</v>
      </c>
      <c r="P963" s="11">
        <v>97.0</v>
      </c>
      <c r="Q963" s="15">
        <v>371.0</v>
      </c>
      <c r="R963" s="22">
        <v>0.0</v>
      </c>
      <c r="S963">
        <f t="shared" si="1"/>
        <v>2005</v>
      </c>
      <c r="T963">
        <f t="shared" si="2"/>
        <v>7</v>
      </c>
      <c r="AF963" s="18"/>
      <c r="AG963" s="19"/>
      <c r="AL963" s="18"/>
      <c r="AM963" s="19"/>
    </row>
    <row r="964">
      <c r="A964" s="4" t="s">
        <v>2259</v>
      </c>
      <c r="B964" s="10">
        <v>38551.0</v>
      </c>
      <c r="C964" s="11" t="s">
        <v>169</v>
      </c>
      <c r="D964" s="11" t="s">
        <v>82</v>
      </c>
      <c r="E964" s="14" t="s">
        <v>52</v>
      </c>
      <c r="F964" s="11" t="s">
        <v>53</v>
      </c>
      <c r="G964" s="14" t="s">
        <v>54</v>
      </c>
      <c r="H964" s="11" t="s">
        <v>92</v>
      </c>
      <c r="I964" s="11"/>
      <c r="J964" s="11">
        <v>22.0</v>
      </c>
      <c r="K964" s="13">
        <v>39182.0</v>
      </c>
      <c r="L964" s="11">
        <f t="shared" si="98"/>
        <v>21</v>
      </c>
      <c r="M964" s="11">
        <v>455605.0</v>
      </c>
      <c r="N964" s="11">
        <v>3685.0</v>
      </c>
      <c r="P964" s="11">
        <v>24.0</v>
      </c>
      <c r="Q964" s="15">
        <v>125.0</v>
      </c>
      <c r="R964" s="22">
        <v>0.0</v>
      </c>
      <c r="S964">
        <f t="shared" si="1"/>
        <v>2005</v>
      </c>
      <c r="T964">
        <f t="shared" si="2"/>
        <v>7</v>
      </c>
      <c r="AF964" s="18"/>
      <c r="AG964" s="19"/>
      <c r="AL964" s="18"/>
      <c r="AM964" s="19"/>
    </row>
    <row r="965">
      <c r="A965" s="4" t="s">
        <v>2260</v>
      </c>
      <c r="B965" s="10">
        <v>38548.0</v>
      </c>
      <c r="C965" s="11" t="s">
        <v>209</v>
      </c>
      <c r="D965" s="11" t="s">
        <v>82</v>
      </c>
      <c r="E965" s="14" t="s">
        <v>52</v>
      </c>
      <c r="F965" s="11" t="s">
        <v>76</v>
      </c>
      <c r="G965" s="14" t="s">
        <v>54</v>
      </c>
      <c r="H965" s="11" t="s">
        <v>412</v>
      </c>
      <c r="I965" s="11"/>
      <c r="J965" s="11">
        <v>27.0</v>
      </c>
      <c r="K965" s="13">
        <v>39318.0</v>
      </c>
      <c r="L965" s="11">
        <f t="shared" si="98"/>
        <v>25</v>
      </c>
      <c r="M965" s="11">
        <v>332292.0</v>
      </c>
      <c r="N965" s="11">
        <v>160.0</v>
      </c>
      <c r="P965" s="11">
        <v>75.0</v>
      </c>
      <c r="Q965" s="15">
        <v>100.333</v>
      </c>
      <c r="R965" s="22">
        <v>0.0</v>
      </c>
      <c r="S965">
        <f t="shared" si="1"/>
        <v>2005</v>
      </c>
      <c r="T965">
        <f t="shared" si="2"/>
        <v>7</v>
      </c>
      <c r="AF965" s="18"/>
      <c r="AG965" s="19"/>
      <c r="AL965" s="18"/>
      <c r="AM965" s="19"/>
    </row>
    <row r="966">
      <c r="A966" s="4" t="s">
        <v>421</v>
      </c>
      <c r="B966" s="10">
        <v>38534.0</v>
      </c>
      <c r="C966" s="11" t="s">
        <v>81</v>
      </c>
      <c r="D966" s="11" t="s">
        <v>51</v>
      </c>
      <c r="E966" s="14" t="s">
        <v>52</v>
      </c>
      <c r="F966" s="11" t="s">
        <v>76</v>
      </c>
      <c r="G966" s="14" t="s">
        <v>54</v>
      </c>
      <c r="H966" s="11" t="s">
        <v>260</v>
      </c>
      <c r="I966" s="11"/>
      <c r="J966" s="11">
        <v>24.0</v>
      </c>
      <c r="K966" s="14"/>
      <c r="L966" s="14"/>
      <c r="M966" s="11">
        <v>425663.0</v>
      </c>
      <c r="N966" s="11">
        <v>2126.0</v>
      </c>
      <c r="O966" s="4" t="s">
        <v>2252</v>
      </c>
      <c r="P966" s="11">
        <v>0.0</v>
      </c>
      <c r="Q966" s="32">
        <v>0.0</v>
      </c>
      <c r="R966" s="22">
        <v>0.0</v>
      </c>
      <c r="S966">
        <f t="shared" si="1"/>
        <v>2005</v>
      </c>
      <c r="T966">
        <f t="shared" si="2"/>
        <v>7</v>
      </c>
      <c r="U966" s="4"/>
      <c r="V966" s="4"/>
      <c r="W966" s="4"/>
      <c r="X966" s="4"/>
      <c r="Y966" s="4"/>
      <c r="Z966" s="4"/>
      <c r="AA966" s="4"/>
      <c r="AB966" s="4"/>
      <c r="AC966" s="4"/>
      <c r="AD966" s="4">
        <v>4.0</v>
      </c>
      <c r="AE966" s="4">
        <v>3.0</v>
      </c>
      <c r="AF966" s="54">
        <v>18.0</v>
      </c>
      <c r="AG966" s="55">
        <v>0.041</v>
      </c>
      <c r="AH966" s="4">
        <v>84.0</v>
      </c>
      <c r="AI966" s="4">
        <v>77.0</v>
      </c>
      <c r="AJ966" s="4">
        <v>0.0</v>
      </c>
      <c r="AK966" s="4">
        <v>0.0</v>
      </c>
      <c r="AL966" s="54">
        <v>0.0</v>
      </c>
      <c r="AM966" s="55">
        <v>0.0</v>
      </c>
      <c r="AN966" s="4">
        <v>0.0</v>
      </c>
      <c r="AO966" s="4">
        <v>0.0</v>
      </c>
    </row>
    <row r="967">
      <c r="A967" s="4" t="s">
        <v>716</v>
      </c>
      <c r="B967" s="10">
        <v>38534.0</v>
      </c>
      <c r="C967" s="11" t="s">
        <v>103</v>
      </c>
      <c r="D967" s="11" t="s">
        <v>51</v>
      </c>
      <c r="E967" s="14" t="s">
        <v>52</v>
      </c>
      <c r="F967" s="11" t="s">
        <v>76</v>
      </c>
      <c r="G967" s="14" t="s">
        <v>54</v>
      </c>
      <c r="H967" s="11" t="s">
        <v>92</v>
      </c>
      <c r="I967" s="11" t="s">
        <v>223</v>
      </c>
      <c r="J967" s="11">
        <v>28.0</v>
      </c>
      <c r="K967" s="13">
        <v>38928.0</v>
      </c>
      <c r="L967" s="11">
        <f t="shared" ref="L967:L969" si="99">ROUND(((K967-B967)/365)*12)</f>
        <v>13</v>
      </c>
      <c r="M967" s="11">
        <v>150116.0</v>
      </c>
      <c r="N967" s="11">
        <v>976.0</v>
      </c>
      <c r="O967" s="4" t="s">
        <v>704</v>
      </c>
      <c r="P967" s="11">
        <v>194.0</v>
      </c>
      <c r="Q967" s="15">
        <v>1149.667</v>
      </c>
      <c r="R967" s="22">
        <v>0.0</v>
      </c>
      <c r="S967">
        <f t="shared" si="1"/>
        <v>2005</v>
      </c>
      <c r="T967">
        <f t="shared" si="2"/>
        <v>7</v>
      </c>
      <c r="U967" s="4"/>
      <c r="V967" s="4"/>
      <c r="W967" s="4"/>
      <c r="X967" s="4"/>
      <c r="Y967" s="4"/>
      <c r="Z967" s="4"/>
      <c r="AA967" s="4"/>
      <c r="AB967" s="4"/>
      <c r="AC967" s="4"/>
      <c r="AD967" s="4">
        <v>13.0</v>
      </c>
      <c r="AE967" s="4">
        <v>13.0</v>
      </c>
      <c r="AF967" s="54">
        <v>80.0</v>
      </c>
      <c r="AG967" s="55">
        <v>0.101</v>
      </c>
      <c r="AH967" s="4">
        <v>101.0</v>
      </c>
      <c r="AI967" s="4">
        <v>114.0</v>
      </c>
      <c r="AJ967" s="4">
        <v>12.0</v>
      </c>
      <c r="AK967" s="4">
        <v>12.0</v>
      </c>
      <c r="AL967" s="54">
        <v>56.667</v>
      </c>
      <c r="AM967" s="55">
        <v>0.042</v>
      </c>
      <c r="AN967" s="4">
        <v>121.0</v>
      </c>
      <c r="AO967" s="4">
        <v>139.0</v>
      </c>
    </row>
    <row r="968">
      <c r="A968" s="4" t="s">
        <v>666</v>
      </c>
      <c r="B968" s="10">
        <v>38534.0</v>
      </c>
      <c r="C968" s="11" t="s">
        <v>179</v>
      </c>
      <c r="D968" s="11" t="s">
        <v>91</v>
      </c>
      <c r="E968" s="14" t="s">
        <v>52</v>
      </c>
      <c r="F968" s="11" t="s">
        <v>76</v>
      </c>
      <c r="G968" s="14" t="s">
        <v>54</v>
      </c>
      <c r="H968" s="11" t="s">
        <v>92</v>
      </c>
      <c r="I968" s="11" t="s">
        <v>1870</v>
      </c>
      <c r="J968" s="11">
        <v>25.0</v>
      </c>
      <c r="K968" s="13">
        <v>39180.0</v>
      </c>
      <c r="L968" s="11">
        <f t="shared" si="99"/>
        <v>21</v>
      </c>
      <c r="M968" s="11">
        <v>235494.0</v>
      </c>
      <c r="N968" s="11">
        <v>164.0</v>
      </c>
      <c r="P968" s="11">
        <v>0.0</v>
      </c>
      <c r="Q968" s="15">
        <v>0.0</v>
      </c>
      <c r="R968" s="22">
        <v>0.0</v>
      </c>
      <c r="S968">
        <f t="shared" si="1"/>
        <v>2005</v>
      </c>
      <c r="T968">
        <f t="shared" si="2"/>
        <v>7</v>
      </c>
      <c r="AF968" s="18"/>
      <c r="AG968" s="19"/>
      <c r="AL968" s="18"/>
      <c r="AM968" s="19"/>
    </row>
    <row r="969">
      <c r="A969" s="4" t="s">
        <v>2262</v>
      </c>
      <c r="B969" s="10">
        <v>38531.0</v>
      </c>
      <c r="C969" s="11" t="s">
        <v>259</v>
      </c>
      <c r="D969" s="11" t="s">
        <v>75</v>
      </c>
      <c r="E969" s="22" t="s">
        <v>264</v>
      </c>
      <c r="F969" s="11" t="s">
        <v>53</v>
      </c>
      <c r="G969" s="14" t="s">
        <v>54</v>
      </c>
      <c r="H969" s="11" t="s">
        <v>412</v>
      </c>
      <c r="I969" s="11"/>
      <c r="J969" s="11">
        <v>28.0</v>
      </c>
      <c r="K969" s="13">
        <v>38875.0</v>
      </c>
      <c r="L969" s="11">
        <f t="shared" si="99"/>
        <v>11</v>
      </c>
      <c r="M969" s="11">
        <v>150433.0</v>
      </c>
      <c r="N969" s="11">
        <v>1074.0</v>
      </c>
      <c r="P969" s="11">
        <v>0.0</v>
      </c>
      <c r="Q969" s="15">
        <v>0.0</v>
      </c>
      <c r="R969" s="22">
        <v>0.0</v>
      </c>
      <c r="S969">
        <f t="shared" si="1"/>
        <v>2005</v>
      </c>
      <c r="T969">
        <f t="shared" si="2"/>
        <v>6</v>
      </c>
      <c r="AF969" s="18"/>
      <c r="AG969" s="19"/>
      <c r="AL969" s="18"/>
      <c r="AM969" s="19"/>
    </row>
    <row r="970">
      <c r="A970" s="4" t="s">
        <v>2263</v>
      </c>
      <c r="B970" s="10">
        <v>38531.0</v>
      </c>
      <c r="C970" s="11" t="s">
        <v>74</v>
      </c>
      <c r="D970" s="11" t="s">
        <v>51</v>
      </c>
      <c r="E970" s="11" t="s">
        <v>52</v>
      </c>
      <c r="F970" s="11" t="s">
        <v>53</v>
      </c>
      <c r="G970" s="11" t="s">
        <v>54</v>
      </c>
      <c r="H970" s="11" t="s">
        <v>260</v>
      </c>
      <c r="I970" s="11"/>
      <c r="J970" s="11">
        <v>26.0</v>
      </c>
      <c r="K970" s="13"/>
      <c r="L970" s="11"/>
      <c r="M970" s="11">
        <v>324892.0</v>
      </c>
      <c r="N970" s="11">
        <v>800.0</v>
      </c>
      <c r="P970" s="11">
        <v>0.0</v>
      </c>
      <c r="Q970" s="15">
        <v>0.0</v>
      </c>
      <c r="R970" s="22">
        <v>0.0</v>
      </c>
      <c r="S970">
        <f t="shared" si="1"/>
        <v>2005</v>
      </c>
      <c r="T970">
        <f t="shared" si="2"/>
        <v>6</v>
      </c>
      <c r="AF970" s="18"/>
      <c r="AG970" s="19"/>
      <c r="AL970" s="18"/>
      <c r="AM970" s="19"/>
    </row>
    <row r="971">
      <c r="A971" s="4" t="s">
        <v>2264</v>
      </c>
      <c r="B971" s="10">
        <v>38530.0</v>
      </c>
      <c r="C971" s="11" t="s">
        <v>90</v>
      </c>
      <c r="D971" s="11" t="s">
        <v>151</v>
      </c>
      <c r="E971" s="14" t="s">
        <v>52</v>
      </c>
      <c r="F971" s="11" t="s">
        <v>53</v>
      </c>
      <c r="G971" s="14" t="s">
        <v>54</v>
      </c>
      <c r="H971" s="11" t="s">
        <v>153</v>
      </c>
      <c r="I971" s="11" t="s">
        <v>2265</v>
      </c>
      <c r="J971" s="11">
        <v>20.0</v>
      </c>
      <c r="K971" s="13">
        <v>38893.0</v>
      </c>
      <c r="L971" s="11">
        <f>ROUND(((K971-B971)/365)*12)</f>
        <v>12</v>
      </c>
      <c r="M971" s="11">
        <v>460008.0</v>
      </c>
      <c r="N971" s="11">
        <v>2385.0</v>
      </c>
      <c r="P971" s="11">
        <v>166.0</v>
      </c>
      <c r="Q971" s="15">
        <v>183.667</v>
      </c>
      <c r="R971" s="22">
        <v>1.0</v>
      </c>
      <c r="S971">
        <f t="shared" si="1"/>
        <v>2005</v>
      </c>
      <c r="T971">
        <f t="shared" si="2"/>
        <v>6</v>
      </c>
      <c r="AF971" s="18"/>
      <c r="AG971" s="19"/>
      <c r="AL971" s="18"/>
      <c r="AM971" s="19"/>
    </row>
    <row r="972">
      <c r="A972" s="4" t="s">
        <v>2266</v>
      </c>
      <c r="B972" s="10">
        <v>38512.0</v>
      </c>
      <c r="C972" s="11" t="s">
        <v>159</v>
      </c>
      <c r="D972" s="11" t="s">
        <v>82</v>
      </c>
      <c r="E972" s="14" t="s">
        <v>52</v>
      </c>
      <c r="F972" s="11" t="s">
        <v>53</v>
      </c>
      <c r="G972" s="14" t="s">
        <v>54</v>
      </c>
      <c r="H972" s="11" t="s">
        <v>341</v>
      </c>
      <c r="I972" s="11" t="s">
        <v>991</v>
      </c>
      <c r="J972" s="11">
        <v>23.0</v>
      </c>
      <c r="K972" s="13">
        <v>39083.0</v>
      </c>
      <c r="L972" s="11"/>
      <c r="M972" s="11">
        <v>433580.0</v>
      </c>
      <c r="N972" s="11" t="s">
        <v>2267</v>
      </c>
      <c r="P972" s="11">
        <v>0.0</v>
      </c>
      <c r="Q972" s="15">
        <v>0.0</v>
      </c>
      <c r="R972" s="22">
        <v>0.0</v>
      </c>
      <c r="S972">
        <f t="shared" si="1"/>
        <v>2005</v>
      </c>
      <c r="T972">
        <f t="shared" si="2"/>
        <v>6</v>
      </c>
      <c r="AF972" s="18"/>
      <c r="AG972" s="19"/>
      <c r="AL972" s="18"/>
      <c r="AM972" s="19"/>
    </row>
    <row r="973">
      <c r="A973" s="4" t="s">
        <v>2268</v>
      </c>
      <c r="B973" s="10">
        <v>38509.0</v>
      </c>
      <c r="C973" s="11" t="s">
        <v>97</v>
      </c>
      <c r="D973" s="11" t="s">
        <v>51</v>
      </c>
      <c r="E973" s="14" t="s">
        <v>52</v>
      </c>
      <c r="F973" s="11" t="s">
        <v>53</v>
      </c>
      <c r="G973" s="22" t="s">
        <v>83</v>
      </c>
      <c r="H973" s="14"/>
      <c r="I973" s="14"/>
      <c r="J973" s="11">
        <v>31.0</v>
      </c>
      <c r="K973" s="13">
        <v>38945.0</v>
      </c>
      <c r="L973" s="11">
        <f t="shared" ref="L973:L976" si="100">ROUND(((K973-B973)/365)*12)</f>
        <v>14</v>
      </c>
      <c r="M973" s="11">
        <v>136734.0</v>
      </c>
      <c r="N973" s="11">
        <v>555.0</v>
      </c>
      <c r="O973" s="4" t="s">
        <v>59</v>
      </c>
      <c r="P973" s="11">
        <v>377.0</v>
      </c>
      <c r="Q973" s="15">
        <v>350.667</v>
      </c>
      <c r="R973" s="22">
        <v>0.0</v>
      </c>
      <c r="S973">
        <f t="shared" si="1"/>
        <v>2005</v>
      </c>
      <c r="T973">
        <f t="shared" si="2"/>
        <v>6</v>
      </c>
      <c r="U973" s="4"/>
      <c r="V973" s="4"/>
      <c r="W973" s="4"/>
      <c r="X973" s="4"/>
      <c r="Y973" s="4"/>
      <c r="Z973" s="4"/>
      <c r="AA973" s="4"/>
      <c r="AB973" s="4"/>
      <c r="AC973" s="4"/>
      <c r="AD973" s="4">
        <v>15.0</v>
      </c>
      <c r="AE973" s="4">
        <v>0.0</v>
      </c>
      <c r="AF973" s="54">
        <v>15.333</v>
      </c>
      <c r="AG973" s="55">
        <v>0.077</v>
      </c>
      <c r="AH973" s="4">
        <v>83.0</v>
      </c>
      <c r="AI973" s="4">
        <v>112.0</v>
      </c>
      <c r="AJ973" s="4">
        <v>14.0</v>
      </c>
      <c r="AK973" s="4">
        <v>0.0</v>
      </c>
      <c r="AL973" s="54">
        <v>10.0</v>
      </c>
      <c r="AM973" s="55">
        <v>-0.068</v>
      </c>
      <c r="AN973" s="4">
        <v>237.0</v>
      </c>
      <c r="AO973" s="4">
        <v>169.0</v>
      </c>
    </row>
    <row r="974">
      <c r="A974" s="4" t="s">
        <v>2270</v>
      </c>
      <c r="B974" s="10">
        <v>38508.0</v>
      </c>
      <c r="C974" s="11" t="s">
        <v>711</v>
      </c>
      <c r="D974" s="11" t="s">
        <v>82</v>
      </c>
      <c r="E974" s="14" t="s">
        <v>52</v>
      </c>
      <c r="F974" s="11" t="s">
        <v>53</v>
      </c>
      <c r="G974" s="14" t="s">
        <v>54</v>
      </c>
      <c r="H974" s="11" t="s">
        <v>597</v>
      </c>
      <c r="I974" s="11" t="s">
        <v>2271</v>
      </c>
      <c r="J974" s="11">
        <v>25.0</v>
      </c>
      <c r="K974" s="13">
        <v>38816.0</v>
      </c>
      <c r="L974" s="11">
        <f t="shared" si="100"/>
        <v>10</v>
      </c>
      <c r="M974" s="11">
        <v>445090.0</v>
      </c>
      <c r="N974" s="11">
        <v>4608.0</v>
      </c>
      <c r="P974" s="11">
        <v>24.0</v>
      </c>
      <c r="Q974" s="15">
        <v>28.0</v>
      </c>
      <c r="R974" s="22">
        <v>1.0</v>
      </c>
      <c r="S974">
        <f t="shared" si="1"/>
        <v>2005</v>
      </c>
      <c r="T974">
        <f t="shared" si="2"/>
        <v>6</v>
      </c>
      <c r="AF974" s="18"/>
      <c r="AG974" s="19"/>
      <c r="AL974" s="18"/>
      <c r="AM974" s="19"/>
    </row>
    <row r="975">
      <c r="A975" s="4" t="s">
        <v>2272</v>
      </c>
      <c r="B975" s="10">
        <v>38488.0</v>
      </c>
      <c r="C975" s="11" t="s">
        <v>179</v>
      </c>
      <c r="D975" s="11" t="s">
        <v>51</v>
      </c>
      <c r="E975" s="14" t="s">
        <v>52</v>
      </c>
      <c r="F975" s="11" t="s">
        <v>53</v>
      </c>
      <c r="G975" s="14" t="s">
        <v>54</v>
      </c>
      <c r="H975" s="11" t="s">
        <v>197</v>
      </c>
      <c r="I975" s="11" t="s">
        <v>2273</v>
      </c>
      <c r="J975" s="11">
        <v>27.0</v>
      </c>
      <c r="K975" s="13">
        <v>39238.0</v>
      </c>
      <c r="L975" s="11">
        <f t="shared" si="100"/>
        <v>25</v>
      </c>
      <c r="M975" s="11">
        <v>424426.0</v>
      </c>
      <c r="N975" s="11">
        <v>1531.0</v>
      </c>
      <c r="P975" s="11">
        <v>49.0</v>
      </c>
      <c r="Q975" s="32">
        <v>41.0</v>
      </c>
      <c r="R975" s="22">
        <v>0.0</v>
      </c>
      <c r="S975">
        <f t="shared" si="1"/>
        <v>2005</v>
      </c>
      <c r="T975">
        <f t="shared" si="2"/>
        <v>5</v>
      </c>
      <c r="U975" s="4"/>
      <c r="V975" s="4"/>
      <c r="W975" s="4"/>
      <c r="X975" s="4"/>
      <c r="Y975" s="4"/>
      <c r="Z975" s="4"/>
      <c r="AA975" s="4"/>
      <c r="AB975" s="4"/>
      <c r="AC975" s="4"/>
      <c r="AD975" s="4">
        <v>4.0</v>
      </c>
      <c r="AE975" s="4">
        <v>0.0</v>
      </c>
      <c r="AF975" s="54">
        <v>4.0</v>
      </c>
      <c r="AG975" s="55">
        <v>-0.105</v>
      </c>
      <c r="AH975" s="4">
        <v>247.0</v>
      </c>
      <c r="AI975" s="4">
        <v>125.0</v>
      </c>
      <c r="AJ975" s="4">
        <v>45.0</v>
      </c>
      <c r="AK975" s="4">
        <v>0.0</v>
      </c>
      <c r="AL975" s="54">
        <v>35.667</v>
      </c>
      <c r="AM975" s="55">
        <v>-0.035</v>
      </c>
      <c r="AN975" s="4">
        <v>108.0</v>
      </c>
      <c r="AO975" s="4">
        <v>138.0</v>
      </c>
    </row>
    <row r="976">
      <c r="A976" s="4" t="s">
        <v>2274</v>
      </c>
      <c r="B976" s="10">
        <v>38485.0</v>
      </c>
      <c r="C976" s="11" t="s">
        <v>123</v>
      </c>
      <c r="D976" s="11" t="s">
        <v>51</v>
      </c>
      <c r="E976" s="14" t="s">
        <v>52</v>
      </c>
      <c r="F976" s="11" t="s">
        <v>53</v>
      </c>
      <c r="G976" s="22" t="s">
        <v>672</v>
      </c>
      <c r="H976" s="14"/>
      <c r="I976" s="14"/>
      <c r="J976" s="11">
        <v>27.0</v>
      </c>
      <c r="K976" s="13">
        <v>39281.0</v>
      </c>
      <c r="L976" s="11">
        <f t="shared" si="100"/>
        <v>26</v>
      </c>
      <c r="M976" s="11">
        <v>346797.0</v>
      </c>
      <c r="N976" s="11">
        <v>718.0</v>
      </c>
      <c r="O976" s="4" t="s">
        <v>224</v>
      </c>
      <c r="P976" s="11">
        <v>479.0</v>
      </c>
      <c r="Q976" s="15">
        <v>471.667</v>
      </c>
      <c r="R976" s="11">
        <v>0.0</v>
      </c>
      <c r="S976">
        <f t="shared" si="1"/>
        <v>2005</v>
      </c>
      <c r="T976">
        <f t="shared" si="2"/>
        <v>5</v>
      </c>
      <c r="U976" s="4"/>
      <c r="V976" s="4"/>
      <c r="W976" s="4"/>
      <c r="X976" s="4"/>
      <c r="Y976" s="4"/>
      <c r="Z976" s="4"/>
      <c r="AA976" s="4"/>
      <c r="AB976" s="4"/>
      <c r="AC976" s="4"/>
      <c r="AD976" s="4">
        <v>36.0</v>
      </c>
      <c r="AE976" s="4">
        <v>0.0</v>
      </c>
      <c r="AF976" s="54">
        <v>39.333</v>
      </c>
      <c r="AG976" s="55">
        <v>0.122</v>
      </c>
      <c r="AH976" s="4">
        <v>94.0</v>
      </c>
      <c r="AI976" s="4">
        <v>89.0</v>
      </c>
      <c r="AJ976" s="4">
        <v>25.0</v>
      </c>
      <c r="AK976" s="4">
        <v>0.0</v>
      </c>
      <c r="AL976" s="54">
        <v>24.667</v>
      </c>
      <c r="AM976" s="55">
        <v>0.083</v>
      </c>
      <c r="AN976" s="4">
        <v>173.0</v>
      </c>
      <c r="AO976" s="4">
        <v>100.0</v>
      </c>
    </row>
    <row r="977">
      <c r="A977" s="4" t="s">
        <v>262</v>
      </c>
      <c r="B977" s="10">
        <v>38483.0</v>
      </c>
      <c r="C977" s="11" t="s">
        <v>179</v>
      </c>
      <c r="D977" s="11" t="s">
        <v>51</v>
      </c>
      <c r="E977" s="14" t="s">
        <v>52</v>
      </c>
      <c r="F977" s="11" t="s">
        <v>53</v>
      </c>
      <c r="G977" s="22" t="s">
        <v>83</v>
      </c>
      <c r="H977" s="14"/>
      <c r="I977" s="14"/>
      <c r="J977" s="11">
        <v>31.0</v>
      </c>
      <c r="K977" s="14"/>
      <c r="L977" s="14"/>
      <c r="M977" s="11">
        <v>110179.0</v>
      </c>
      <c r="N977" s="11">
        <v>308.0</v>
      </c>
      <c r="O977" s="4" t="s">
        <v>704</v>
      </c>
      <c r="P977" s="11">
        <v>0.0</v>
      </c>
      <c r="Q977" s="32">
        <v>0.0</v>
      </c>
      <c r="R977" s="22">
        <v>0.0</v>
      </c>
      <c r="S977">
        <f t="shared" si="1"/>
        <v>2005</v>
      </c>
      <c r="T977">
        <f t="shared" si="2"/>
        <v>5</v>
      </c>
      <c r="U977" s="4"/>
      <c r="V977" s="4"/>
      <c r="W977" s="4"/>
      <c r="X977" s="4"/>
      <c r="Y977" s="4"/>
      <c r="Z977" s="4"/>
      <c r="AA977" s="4"/>
      <c r="AB977" s="4"/>
      <c r="AC977" s="4"/>
      <c r="AD977" s="4">
        <v>6.0</v>
      </c>
      <c r="AE977" s="4">
        <v>0.0</v>
      </c>
      <c r="AF977" s="54">
        <v>5.0</v>
      </c>
      <c r="AG977" s="55">
        <v>-0.121</v>
      </c>
      <c r="AH977" s="4">
        <v>316.0</v>
      </c>
      <c r="AI977" s="4">
        <v>267.0</v>
      </c>
      <c r="AJ977" s="4">
        <v>0.0</v>
      </c>
      <c r="AK977" s="4">
        <v>0.0</v>
      </c>
      <c r="AL977" s="54">
        <v>0.0</v>
      </c>
      <c r="AM977" s="55">
        <v>0.0</v>
      </c>
      <c r="AN977" s="4">
        <v>0.0</v>
      </c>
      <c r="AO977" s="4">
        <v>0.0</v>
      </c>
    </row>
    <row r="978">
      <c r="A978" s="4" t="s">
        <v>357</v>
      </c>
      <c r="B978" s="10">
        <v>38477.0</v>
      </c>
      <c r="C978" s="11" t="s">
        <v>97</v>
      </c>
      <c r="D978" s="11" t="s">
        <v>151</v>
      </c>
      <c r="E978" s="14" t="s">
        <v>52</v>
      </c>
      <c r="F978" s="11" t="s">
        <v>53</v>
      </c>
      <c r="G978" s="14" t="s">
        <v>54</v>
      </c>
      <c r="H978" s="11" t="s">
        <v>112</v>
      </c>
      <c r="I978" s="11" t="s">
        <v>2275</v>
      </c>
      <c r="J978" s="11">
        <v>21.0</v>
      </c>
      <c r="K978" s="13">
        <v>38902.0</v>
      </c>
      <c r="L978" s="11">
        <f t="shared" ref="L978:L982" si="101">ROUND(((K978-B978)/365)*12)</f>
        <v>14</v>
      </c>
      <c r="M978" s="11">
        <v>457732.0</v>
      </c>
      <c r="N978" s="11">
        <v>1368.0</v>
      </c>
      <c r="P978" s="11">
        <v>261.0</v>
      </c>
      <c r="Q978" s="15">
        <v>270.333</v>
      </c>
      <c r="R978" s="22">
        <v>1.0</v>
      </c>
      <c r="S978">
        <f t="shared" si="1"/>
        <v>2005</v>
      </c>
      <c r="T978">
        <f t="shared" si="2"/>
        <v>5</v>
      </c>
      <c r="AF978" s="18"/>
      <c r="AG978" s="19"/>
      <c r="AL978" s="18"/>
      <c r="AM978" s="19"/>
    </row>
    <row r="979">
      <c r="A979" s="4" t="s">
        <v>2277</v>
      </c>
      <c r="B979" s="10">
        <v>38471.0</v>
      </c>
      <c r="C979" s="11" t="s">
        <v>179</v>
      </c>
      <c r="D979" s="11" t="s">
        <v>51</v>
      </c>
      <c r="E979" s="14" t="s">
        <v>52</v>
      </c>
      <c r="F979" s="11" t="s">
        <v>53</v>
      </c>
      <c r="G979" s="22" t="s">
        <v>83</v>
      </c>
      <c r="H979" s="14"/>
      <c r="I979" s="14"/>
      <c r="J979" s="11">
        <v>25.0</v>
      </c>
      <c r="K979" s="13">
        <v>38968.0</v>
      </c>
      <c r="L979" s="11">
        <f t="shared" si="101"/>
        <v>16</v>
      </c>
      <c r="M979" s="11">
        <v>407911.0</v>
      </c>
      <c r="N979" s="11">
        <v>1933.0</v>
      </c>
      <c r="P979" s="11">
        <v>346.0</v>
      </c>
      <c r="Q979" s="32">
        <v>335.0</v>
      </c>
      <c r="R979" s="22">
        <v>0.0</v>
      </c>
      <c r="S979">
        <f t="shared" si="1"/>
        <v>2005</v>
      </c>
      <c r="T979">
        <f t="shared" si="2"/>
        <v>4</v>
      </c>
      <c r="U979" s="4"/>
      <c r="V979" s="4"/>
      <c r="W979" s="4"/>
      <c r="X979" s="4"/>
      <c r="Y979" s="4"/>
      <c r="Z979" s="4"/>
      <c r="AA979" s="4"/>
      <c r="AB979" s="4"/>
      <c r="AC979" s="4"/>
      <c r="AD979" s="4">
        <v>45.0</v>
      </c>
      <c r="AE979" s="4">
        <v>0.0</v>
      </c>
      <c r="AF979" s="54">
        <v>51.333</v>
      </c>
      <c r="AG979" s="55">
        <v>0.148</v>
      </c>
      <c r="AH979" s="4">
        <v>67.0</v>
      </c>
      <c r="AI979" s="4">
        <v>77.0</v>
      </c>
      <c r="AJ979" s="4">
        <v>8.0</v>
      </c>
      <c r="AK979" s="4">
        <v>0.0</v>
      </c>
      <c r="AL979" s="54">
        <v>7.333</v>
      </c>
      <c r="AM979" s="55">
        <v>0.125</v>
      </c>
      <c r="AN979" s="4">
        <v>103.0</v>
      </c>
      <c r="AO979" s="4">
        <v>127.0</v>
      </c>
    </row>
    <row r="980">
      <c r="A980" s="4" t="s">
        <v>2278</v>
      </c>
      <c r="B980" s="10">
        <v>38443.0</v>
      </c>
      <c r="C980" s="11" t="s">
        <v>133</v>
      </c>
      <c r="D980" s="11" t="s">
        <v>151</v>
      </c>
      <c r="E980" s="14" t="s">
        <v>52</v>
      </c>
      <c r="F980" s="11" t="s">
        <v>76</v>
      </c>
      <c r="G980" s="14" t="s">
        <v>54</v>
      </c>
      <c r="H980" s="11" t="s">
        <v>244</v>
      </c>
      <c r="I980" s="11" t="s">
        <v>371</v>
      </c>
      <c r="J980" s="11">
        <v>20.0</v>
      </c>
      <c r="K980" s="13">
        <v>38892.0</v>
      </c>
      <c r="L980" s="11">
        <f t="shared" si="101"/>
        <v>15</v>
      </c>
      <c r="M980" s="11">
        <v>453241.0</v>
      </c>
      <c r="N980" s="11">
        <v>886.0</v>
      </c>
      <c r="P980" s="11">
        <v>7.0</v>
      </c>
      <c r="Q980" s="15">
        <v>23.667</v>
      </c>
      <c r="R980" s="11">
        <v>0.0</v>
      </c>
      <c r="S980">
        <f t="shared" si="1"/>
        <v>2005</v>
      </c>
      <c r="T980">
        <f t="shared" si="2"/>
        <v>4</v>
      </c>
      <c r="AF980" s="18"/>
      <c r="AG980" s="19"/>
      <c r="AL980" s="18"/>
      <c r="AM980" s="19"/>
    </row>
    <row r="981">
      <c r="A981" s="4" t="s">
        <v>2279</v>
      </c>
      <c r="B981" s="10">
        <v>38443.0</v>
      </c>
      <c r="C981" s="11" t="s">
        <v>259</v>
      </c>
      <c r="D981" s="11" t="s">
        <v>75</v>
      </c>
      <c r="E981" s="22" t="s">
        <v>160</v>
      </c>
      <c r="F981" s="11" t="s">
        <v>53</v>
      </c>
      <c r="G981" s="11" t="s">
        <v>265</v>
      </c>
      <c r="H981" s="14"/>
      <c r="I981" s="14"/>
      <c r="J981" s="11">
        <v>26.0</v>
      </c>
      <c r="K981" s="13">
        <v>38900.0</v>
      </c>
      <c r="L981" s="11">
        <f t="shared" si="101"/>
        <v>15</v>
      </c>
      <c r="M981" s="11">
        <v>407887.0</v>
      </c>
      <c r="N981" s="11">
        <v>1587.0</v>
      </c>
      <c r="P981" s="11">
        <v>0.0</v>
      </c>
      <c r="Q981" s="15">
        <v>0.0</v>
      </c>
      <c r="R981" s="22">
        <v>0.0</v>
      </c>
      <c r="S981">
        <f t="shared" si="1"/>
        <v>2005</v>
      </c>
      <c r="T981">
        <f t="shared" si="2"/>
        <v>4</v>
      </c>
      <c r="AF981" s="18"/>
      <c r="AG981" s="19"/>
      <c r="AL981" s="18"/>
      <c r="AM981" s="19"/>
    </row>
    <row r="982">
      <c r="A982" s="4" t="s">
        <v>2280</v>
      </c>
      <c r="B982" s="10">
        <v>38422.0</v>
      </c>
      <c r="C982" s="11" t="s">
        <v>74</v>
      </c>
      <c r="D982" s="11" t="s">
        <v>51</v>
      </c>
      <c r="E982" s="14" t="s">
        <v>52</v>
      </c>
      <c r="F982" s="11" t="s">
        <v>53</v>
      </c>
      <c r="G982" s="22" t="s">
        <v>83</v>
      </c>
      <c r="H982" s="14"/>
      <c r="I982" s="14"/>
      <c r="J982" s="11">
        <v>25.0</v>
      </c>
      <c r="K982" s="13">
        <v>39543.0</v>
      </c>
      <c r="L982" s="11">
        <f t="shared" si="101"/>
        <v>37</v>
      </c>
      <c r="M982" s="11">
        <v>407779.0</v>
      </c>
      <c r="N982" s="11">
        <v>1530.0</v>
      </c>
      <c r="O982" s="4" t="s">
        <v>59</v>
      </c>
      <c r="P982" s="11">
        <v>11.0</v>
      </c>
      <c r="Q982" s="32">
        <v>13.0</v>
      </c>
      <c r="R982" s="22">
        <v>0.0</v>
      </c>
      <c r="S982">
        <f t="shared" si="1"/>
        <v>2005</v>
      </c>
      <c r="T982">
        <f t="shared" si="2"/>
        <v>3</v>
      </c>
      <c r="U982" s="4"/>
      <c r="V982" s="4"/>
      <c r="W982" s="4"/>
      <c r="X982" s="4"/>
      <c r="Y982" s="4"/>
      <c r="Z982" s="4"/>
      <c r="AA982" s="4"/>
      <c r="AB982" s="4"/>
      <c r="AC982" s="4"/>
      <c r="AD982" s="4">
        <v>45.0</v>
      </c>
      <c r="AE982" s="4">
        <v>0.0</v>
      </c>
      <c r="AF982" s="54">
        <v>49.333</v>
      </c>
      <c r="AG982" s="55">
        <v>0.095</v>
      </c>
      <c r="AH982" s="4">
        <v>125.0</v>
      </c>
      <c r="AI982" s="4">
        <v>129.0</v>
      </c>
      <c r="AJ982" s="4">
        <v>11.0</v>
      </c>
      <c r="AK982" s="4">
        <v>0.0</v>
      </c>
      <c r="AL982" s="54">
        <v>13.0</v>
      </c>
      <c r="AM982" s="55">
        <v>0.054</v>
      </c>
      <c r="AN982" s="4">
        <v>110.0</v>
      </c>
      <c r="AO982" s="4">
        <v>142.0</v>
      </c>
    </row>
    <row r="983">
      <c r="A983" s="4" t="s">
        <v>2282</v>
      </c>
      <c r="B983" s="10">
        <v>38353.0</v>
      </c>
      <c r="C983" s="11" t="s">
        <v>130</v>
      </c>
      <c r="D983" s="11" t="s">
        <v>51</v>
      </c>
      <c r="E983" s="22" t="s">
        <v>160</v>
      </c>
      <c r="F983" s="11" t="s">
        <v>53</v>
      </c>
      <c r="G983" s="14" t="s">
        <v>54</v>
      </c>
      <c r="H983" s="11" t="s">
        <v>2283</v>
      </c>
      <c r="I983" s="11"/>
      <c r="J983" s="11">
        <v>23.0</v>
      </c>
      <c r="K983" s="13">
        <v>38875.0</v>
      </c>
      <c r="L983" s="14"/>
      <c r="M983" s="11">
        <v>408306.0</v>
      </c>
      <c r="N983" s="11">
        <v>1656.0</v>
      </c>
      <c r="O983" s="4" t="s">
        <v>59</v>
      </c>
      <c r="P983" s="11">
        <v>227.0</v>
      </c>
      <c r="Q983" s="32">
        <v>816.0</v>
      </c>
      <c r="R983" s="22">
        <v>0.0</v>
      </c>
      <c r="S983">
        <f t="shared" si="1"/>
        <v>2005</v>
      </c>
      <c r="T983">
        <f t="shared" si="2"/>
        <v>1</v>
      </c>
      <c r="AF983" s="18"/>
      <c r="AG983" s="19"/>
      <c r="AL983" s="18"/>
      <c r="AM983" s="19"/>
    </row>
    <row r="984">
      <c r="A984" s="4" t="s">
        <v>141</v>
      </c>
      <c r="B984" s="10">
        <v>38353.0</v>
      </c>
      <c r="C984" s="11" t="s">
        <v>142</v>
      </c>
      <c r="D984" s="11" t="s">
        <v>124</v>
      </c>
      <c r="E984" s="14" t="s">
        <v>52</v>
      </c>
      <c r="F984" s="11" t="s">
        <v>76</v>
      </c>
      <c r="G984" s="14" t="s">
        <v>54</v>
      </c>
      <c r="H984" s="11" t="s">
        <v>260</v>
      </c>
      <c r="I984" s="11" t="s">
        <v>810</v>
      </c>
      <c r="J984" s="11">
        <v>20.0</v>
      </c>
      <c r="K984" s="13">
        <v>39195.0</v>
      </c>
      <c r="L984" s="14"/>
      <c r="M984" s="11">
        <v>458924.0</v>
      </c>
      <c r="N984" s="11">
        <v>7175.0</v>
      </c>
      <c r="P984" s="11">
        <v>230.0</v>
      </c>
      <c r="Q984" s="15">
        <v>229.667</v>
      </c>
      <c r="R984" s="22">
        <v>0.0</v>
      </c>
      <c r="S984">
        <f t="shared" si="1"/>
        <v>2005</v>
      </c>
      <c r="T984">
        <f t="shared" si="2"/>
        <v>1</v>
      </c>
      <c r="AF984" s="18"/>
      <c r="AG984" s="19"/>
      <c r="AL984" s="18"/>
      <c r="AM984" s="19"/>
    </row>
    <row r="985">
      <c r="A985" s="4" t="s">
        <v>2284</v>
      </c>
      <c r="B985" s="10">
        <v>38353.0</v>
      </c>
      <c r="C985" s="11" t="s">
        <v>209</v>
      </c>
      <c r="D985" s="11" t="s">
        <v>151</v>
      </c>
      <c r="E985" s="14" t="s">
        <v>52</v>
      </c>
      <c r="F985" s="11" t="s">
        <v>53</v>
      </c>
      <c r="G985" s="14" t="s">
        <v>54</v>
      </c>
      <c r="H985" s="11" t="s">
        <v>291</v>
      </c>
      <c r="I985" s="11" t="s">
        <v>898</v>
      </c>
      <c r="J985" s="11">
        <v>21.0</v>
      </c>
      <c r="K985" s="13">
        <v>38911.0</v>
      </c>
      <c r="L985" s="14"/>
      <c r="M985" s="11">
        <v>460072.0</v>
      </c>
      <c r="N985" s="11">
        <v>5673.0</v>
      </c>
      <c r="P985" s="11">
        <v>110.0</v>
      </c>
      <c r="Q985" s="15">
        <v>248.667</v>
      </c>
      <c r="R985" s="22">
        <v>1.0</v>
      </c>
      <c r="S985">
        <f t="shared" si="1"/>
        <v>2005</v>
      </c>
      <c r="T985">
        <f t="shared" si="2"/>
        <v>1</v>
      </c>
      <c r="AF985" s="18"/>
      <c r="AG985" s="19"/>
      <c r="AL985" s="18"/>
      <c r="AM985" s="19"/>
    </row>
    <row r="986">
      <c r="A986" s="4" t="s">
        <v>2285</v>
      </c>
      <c r="B986" s="10">
        <v>38353.0</v>
      </c>
      <c r="C986" s="11" t="s">
        <v>133</v>
      </c>
      <c r="D986" s="11" t="s">
        <v>75</v>
      </c>
      <c r="E986" s="14" t="s">
        <v>52</v>
      </c>
      <c r="F986" s="11" t="s">
        <v>76</v>
      </c>
      <c r="G986" s="14" t="s">
        <v>54</v>
      </c>
      <c r="H986" s="11" t="s">
        <v>92</v>
      </c>
      <c r="I986" s="11" t="s">
        <v>157</v>
      </c>
      <c r="J986" s="11">
        <v>26.0</v>
      </c>
      <c r="K986" s="13">
        <v>38883.0</v>
      </c>
      <c r="L986" s="14"/>
      <c r="M986" s="11">
        <v>420672.0</v>
      </c>
      <c r="N986" s="11">
        <v>1905.0</v>
      </c>
      <c r="P986" s="11">
        <v>0.0</v>
      </c>
      <c r="Q986" s="15">
        <v>0.0</v>
      </c>
      <c r="R986" s="22">
        <v>0.0</v>
      </c>
      <c r="S986">
        <f t="shared" si="1"/>
        <v>2005</v>
      </c>
      <c r="T986">
        <f t="shared" si="2"/>
        <v>1</v>
      </c>
      <c r="AF986" s="18"/>
      <c r="AG986" s="19"/>
      <c r="AL986" s="18"/>
      <c r="AM986" s="19"/>
    </row>
    <row r="987">
      <c r="A987" s="4" t="s">
        <v>2286</v>
      </c>
      <c r="B987" s="10">
        <v>38353.0</v>
      </c>
      <c r="C987" s="11" t="s">
        <v>133</v>
      </c>
      <c r="D987" s="11" t="s">
        <v>170</v>
      </c>
      <c r="E987" s="11" t="s">
        <v>52</v>
      </c>
      <c r="F987" s="11" t="s">
        <v>53</v>
      </c>
      <c r="G987" s="11" t="s">
        <v>265</v>
      </c>
      <c r="H987" s="11"/>
      <c r="I987" s="11"/>
      <c r="J987" s="11">
        <v>18.0</v>
      </c>
      <c r="K987" s="13">
        <v>38889.0</v>
      </c>
      <c r="L987" s="14"/>
      <c r="M987" s="11">
        <v>462515.0</v>
      </c>
      <c r="N987" s="11">
        <v>6697.0</v>
      </c>
      <c r="P987" s="11">
        <v>55.0</v>
      </c>
      <c r="Q987" s="15">
        <v>64.0</v>
      </c>
      <c r="R987" s="22">
        <v>1.0</v>
      </c>
      <c r="S987">
        <f t="shared" si="1"/>
        <v>2005</v>
      </c>
      <c r="T987">
        <f t="shared" si="2"/>
        <v>1</v>
      </c>
      <c r="AF987" s="18"/>
      <c r="AG987" s="19"/>
      <c r="AL987" s="18"/>
      <c r="AM987" s="19"/>
    </row>
    <row r="988">
      <c r="A988" s="4" t="s">
        <v>1884</v>
      </c>
      <c r="B988" s="10">
        <v>38353.0</v>
      </c>
      <c r="C988" s="11" t="s">
        <v>350</v>
      </c>
      <c r="D988" s="11" t="s">
        <v>170</v>
      </c>
      <c r="E988" s="14" t="s">
        <v>52</v>
      </c>
      <c r="F988" s="11" t="s">
        <v>53</v>
      </c>
      <c r="G988" s="22" t="s">
        <v>83</v>
      </c>
      <c r="H988" s="14"/>
      <c r="I988" s="14"/>
      <c r="J988" s="11">
        <v>19.0</v>
      </c>
      <c r="K988" s="13">
        <v>38891.0</v>
      </c>
      <c r="L988" s="14"/>
      <c r="M988" s="11">
        <v>456379.0</v>
      </c>
      <c r="N988" s="11">
        <v>6324.0</v>
      </c>
      <c r="P988" s="11">
        <v>243.0</v>
      </c>
      <c r="Q988" s="15">
        <v>227.0</v>
      </c>
      <c r="R988" s="22">
        <v>1.0</v>
      </c>
      <c r="S988">
        <f t="shared" si="1"/>
        <v>2005</v>
      </c>
      <c r="T988">
        <f t="shared" si="2"/>
        <v>1</v>
      </c>
      <c r="AF988" s="18"/>
      <c r="AG988" s="19"/>
      <c r="AL988" s="18"/>
      <c r="AM988" s="19"/>
    </row>
    <row r="989">
      <c r="A989" s="4" t="s">
        <v>2288</v>
      </c>
      <c r="B989" s="10">
        <v>38353.0</v>
      </c>
      <c r="C989" s="11" t="s">
        <v>350</v>
      </c>
      <c r="D989" s="11" t="s">
        <v>82</v>
      </c>
      <c r="E989" s="14" t="s">
        <v>52</v>
      </c>
      <c r="F989" s="11" t="s">
        <v>53</v>
      </c>
      <c r="G989" s="14" t="s">
        <v>54</v>
      </c>
      <c r="H989" s="11" t="s">
        <v>157</v>
      </c>
      <c r="I989" s="11" t="s">
        <v>2289</v>
      </c>
      <c r="J989" s="11">
        <v>25.0</v>
      </c>
      <c r="K989" s="13">
        <v>38813.0</v>
      </c>
      <c r="L989" s="14"/>
      <c r="M989" s="11">
        <v>457122.0</v>
      </c>
      <c r="N989" s="11">
        <v>5188.0</v>
      </c>
      <c r="P989" s="11">
        <v>40.0</v>
      </c>
      <c r="Q989" s="15">
        <v>48.333</v>
      </c>
      <c r="R989" s="22">
        <v>0.0</v>
      </c>
      <c r="S989">
        <f t="shared" si="1"/>
        <v>2005</v>
      </c>
      <c r="T989">
        <f t="shared" si="2"/>
        <v>1</v>
      </c>
      <c r="AF989" s="18"/>
      <c r="AG989" s="19"/>
      <c r="AL989" s="18"/>
      <c r="AM989" s="19"/>
    </row>
    <row r="990">
      <c r="A990" s="4" t="s">
        <v>303</v>
      </c>
      <c r="B990" s="10">
        <v>38353.0</v>
      </c>
      <c r="C990" s="11" t="s">
        <v>350</v>
      </c>
      <c r="D990" s="11" t="s">
        <v>91</v>
      </c>
      <c r="E990" s="11" t="s">
        <v>52</v>
      </c>
      <c r="F990" s="11" t="s">
        <v>53</v>
      </c>
      <c r="G990" s="11" t="s">
        <v>1454</v>
      </c>
      <c r="H990" s="11"/>
      <c r="I990" s="11"/>
      <c r="J990" s="11">
        <v>29.0</v>
      </c>
      <c r="K990" s="13">
        <v>41449.0</v>
      </c>
      <c r="L990" s="14"/>
      <c r="M990" s="11">
        <v>547939.0</v>
      </c>
      <c r="N990" s="11">
        <v>14445.0</v>
      </c>
      <c r="P990" s="11">
        <v>0.0</v>
      </c>
      <c r="Q990" s="15">
        <v>0.0</v>
      </c>
      <c r="R990" s="22">
        <v>0.0</v>
      </c>
      <c r="S990">
        <f t="shared" si="1"/>
        <v>2005</v>
      </c>
      <c r="T990">
        <f t="shared" si="2"/>
        <v>1</v>
      </c>
      <c r="AF990" s="18"/>
      <c r="AG990" s="19"/>
      <c r="AL990" s="18"/>
      <c r="AM990" s="19"/>
    </row>
    <row r="991">
      <c r="A991" s="4" t="s">
        <v>2290</v>
      </c>
      <c r="B991" s="10">
        <v>38353.0</v>
      </c>
      <c r="C991" s="11" t="s">
        <v>259</v>
      </c>
      <c r="D991" s="11" t="s">
        <v>75</v>
      </c>
      <c r="E991" s="22" t="s">
        <v>1248</v>
      </c>
      <c r="F991" s="11" t="s">
        <v>53</v>
      </c>
      <c r="G991" s="14" t="s">
        <v>54</v>
      </c>
      <c r="H991" s="11" t="s">
        <v>92</v>
      </c>
      <c r="I991" s="11" t="s">
        <v>1870</v>
      </c>
      <c r="J991" s="11">
        <v>21.0</v>
      </c>
      <c r="K991" s="13"/>
      <c r="L991" s="14"/>
      <c r="M991" s="11">
        <v>150399.0</v>
      </c>
      <c r="N991" s="11">
        <v>1002606.0</v>
      </c>
      <c r="P991" s="11">
        <v>0.0</v>
      </c>
      <c r="Q991" s="15">
        <v>0.0</v>
      </c>
      <c r="R991" s="22">
        <v>0.0</v>
      </c>
      <c r="S991">
        <f t="shared" si="1"/>
        <v>2005</v>
      </c>
      <c r="T991">
        <f t="shared" si="2"/>
        <v>1</v>
      </c>
      <c r="AF991" s="18"/>
      <c r="AG991" s="19"/>
      <c r="AL991" s="18"/>
      <c r="AM991" s="19"/>
    </row>
    <row r="992">
      <c r="A992" s="4" t="s">
        <v>2291</v>
      </c>
      <c r="B992" s="10">
        <v>38353.0</v>
      </c>
      <c r="C992" s="11" t="s">
        <v>119</v>
      </c>
      <c r="D992" s="11" t="s">
        <v>124</v>
      </c>
      <c r="E992" s="22" t="s">
        <v>392</v>
      </c>
      <c r="F992" s="11" t="s">
        <v>53</v>
      </c>
      <c r="G992" s="14" t="s">
        <v>54</v>
      </c>
      <c r="H992" s="11" t="s">
        <v>157</v>
      </c>
      <c r="I992" s="11" t="s">
        <v>1122</v>
      </c>
      <c r="J992" s="11">
        <v>22.0</v>
      </c>
      <c r="K992" s="13">
        <v>38813.0</v>
      </c>
      <c r="L992" s="14"/>
      <c r="M992" s="11">
        <v>457926.0</v>
      </c>
      <c r="N992" s="11">
        <v>7412.0</v>
      </c>
      <c r="P992" s="11">
        <v>459.0</v>
      </c>
      <c r="Q992" s="15">
        <v>1277.0</v>
      </c>
      <c r="R992" s="22">
        <v>1.0</v>
      </c>
      <c r="S992">
        <f t="shared" si="1"/>
        <v>2005</v>
      </c>
      <c r="T992">
        <f t="shared" si="2"/>
        <v>1</v>
      </c>
      <c r="AF992" s="18"/>
      <c r="AG992" s="19"/>
      <c r="AL992" s="18"/>
      <c r="AM992" s="19"/>
    </row>
    <row r="993">
      <c r="A993" s="4" t="s">
        <v>2292</v>
      </c>
      <c r="B993" s="10">
        <v>38353.0</v>
      </c>
      <c r="C993" s="11" t="s">
        <v>119</v>
      </c>
      <c r="D993" s="11" t="s">
        <v>124</v>
      </c>
      <c r="E993" s="22" t="s">
        <v>264</v>
      </c>
      <c r="F993" s="11" t="s">
        <v>53</v>
      </c>
      <c r="G993" s="14" t="s">
        <v>54</v>
      </c>
      <c r="H993" s="11" t="s">
        <v>197</v>
      </c>
      <c r="I993" s="11" t="s">
        <v>198</v>
      </c>
      <c r="J993" s="11">
        <v>22.0</v>
      </c>
      <c r="K993" s="13">
        <v>38813.0</v>
      </c>
      <c r="L993" s="14"/>
      <c r="M993" s="11">
        <v>461874.0</v>
      </c>
      <c r="N993" s="11">
        <v>7468.0</v>
      </c>
      <c r="P993" s="11">
        <v>100.0</v>
      </c>
      <c r="Q993" s="15">
        <v>299.0</v>
      </c>
      <c r="R993" s="22">
        <v>0.0</v>
      </c>
      <c r="S993">
        <f t="shared" si="1"/>
        <v>2005</v>
      </c>
      <c r="T993">
        <f t="shared" si="2"/>
        <v>1</v>
      </c>
      <c r="AF993" s="18"/>
      <c r="AG993" s="19"/>
      <c r="AL993" s="18"/>
      <c r="AM993" s="19"/>
    </row>
    <row r="994">
      <c r="A994" s="4" t="s">
        <v>2293</v>
      </c>
      <c r="B994" s="10">
        <v>38353.0</v>
      </c>
      <c r="C994" s="11" t="s">
        <v>159</v>
      </c>
      <c r="D994" s="11" t="s">
        <v>170</v>
      </c>
      <c r="E994" s="14" t="s">
        <v>52</v>
      </c>
      <c r="F994" s="11" t="s">
        <v>53</v>
      </c>
      <c r="G994" s="14" t="s">
        <v>54</v>
      </c>
      <c r="H994" s="11" t="s">
        <v>99</v>
      </c>
      <c r="I994" s="11" t="s">
        <v>211</v>
      </c>
      <c r="J994" s="11">
        <v>19.0</v>
      </c>
      <c r="K994" s="13">
        <v>39294.0</v>
      </c>
      <c r="L994" s="14"/>
      <c r="M994" s="11">
        <v>446367.0</v>
      </c>
      <c r="N994" s="11">
        <v>6736.0</v>
      </c>
      <c r="O994" s="4" t="s">
        <v>59</v>
      </c>
      <c r="P994" s="11">
        <v>44.0</v>
      </c>
      <c r="Q994" s="15">
        <v>48.333</v>
      </c>
      <c r="R994" s="11">
        <v>0.0</v>
      </c>
      <c r="S994">
        <f t="shared" si="1"/>
        <v>2005</v>
      </c>
      <c r="T994">
        <f t="shared" si="2"/>
        <v>1</v>
      </c>
      <c r="AF994" s="18"/>
      <c r="AG994" s="19"/>
      <c r="AL994" s="18"/>
      <c r="AM994" s="19"/>
    </row>
    <row r="995">
      <c r="A995" s="4" t="s">
        <v>2294</v>
      </c>
      <c r="B995" s="10">
        <v>38353.0</v>
      </c>
      <c r="C995" s="11" t="s">
        <v>159</v>
      </c>
      <c r="D995" s="11" t="s">
        <v>82</v>
      </c>
      <c r="E995" s="14" t="s">
        <v>52</v>
      </c>
      <c r="F995" s="11" t="s">
        <v>53</v>
      </c>
      <c r="G995" s="22" t="s">
        <v>83</v>
      </c>
      <c r="H995" s="14"/>
      <c r="I995" s="14"/>
      <c r="J995" s="11">
        <v>21.0</v>
      </c>
      <c r="K995" s="13">
        <v>39243.0</v>
      </c>
      <c r="L995" s="14"/>
      <c r="M995" s="11">
        <v>457452.0</v>
      </c>
      <c r="N995" s="11">
        <v>5555.0</v>
      </c>
      <c r="P995" s="11">
        <v>29.0</v>
      </c>
      <c r="Q995" s="15">
        <v>36.667</v>
      </c>
      <c r="R995" s="22">
        <v>0.0</v>
      </c>
      <c r="S995">
        <f t="shared" si="1"/>
        <v>2005</v>
      </c>
      <c r="T995">
        <f t="shared" si="2"/>
        <v>1</v>
      </c>
      <c r="AF995" s="18"/>
      <c r="AG995" s="19"/>
      <c r="AL995" s="18"/>
      <c r="AM995" s="19"/>
    </row>
    <row r="996">
      <c r="A996" s="4" t="s">
        <v>769</v>
      </c>
      <c r="B996" s="10">
        <v>38353.0</v>
      </c>
      <c r="C996" s="11" t="s">
        <v>159</v>
      </c>
      <c r="D996" s="11" t="s">
        <v>75</v>
      </c>
      <c r="E996" s="14" t="s">
        <v>52</v>
      </c>
      <c r="F996" s="11" t="s">
        <v>53</v>
      </c>
      <c r="G996" s="14" t="s">
        <v>54</v>
      </c>
      <c r="H996" s="11" t="s">
        <v>279</v>
      </c>
      <c r="I996" s="11"/>
      <c r="J996" s="11">
        <v>25.0</v>
      </c>
      <c r="K996" s="13">
        <v>38851.0</v>
      </c>
      <c r="L996" s="14"/>
      <c r="M996" s="11">
        <v>400076.0</v>
      </c>
      <c r="N996" s="11">
        <v>1613.0</v>
      </c>
      <c r="P996" s="11">
        <v>44.0</v>
      </c>
      <c r="Q996" s="15">
        <v>99.667</v>
      </c>
      <c r="R996" s="22">
        <v>0.0</v>
      </c>
      <c r="S996">
        <f t="shared" si="1"/>
        <v>2005</v>
      </c>
      <c r="T996">
        <f t="shared" si="2"/>
        <v>1</v>
      </c>
      <c r="AF996" s="18"/>
      <c r="AG996" s="19"/>
      <c r="AL996" s="18"/>
      <c r="AM996" s="19"/>
    </row>
    <row r="997">
      <c r="A997" s="4" t="s">
        <v>2296</v>
      </c>
      <c r="B997" s="10">
        <v>38353.0</v>
      </c>
      <c r="C997" s="11" t="s">
        <v>239</v>
      </c>
      <c r="D997" s="11" t="s">
        <v>151</v>
      </c>
      <c r="E997" s="11" t="s">
        <v>52</v>
      </c>
      <c r="F997" s="11" t="s">
        <v>76</v>
      </c>
      <c r="G997" s="11" t="s">
        <v>54</v>
      </c>
      <c r="H997" s="11" t="s">
        <v>92</v>
      </c>
      <c r="I997" s="11" t="s">
        <v>1084</v>
      </c>
      <c r="J997" s="11">
        <v>19.0</v>
      </c>
      <c r="K997" s="13">
        <v>39619.0</v>
      </c>
      <c r="L997" s="14"/>
      <c r="M997" s="11">
        <v>488929.0</v>
      </c>
      <c r="N997" s="11" t="s">
        <v>2297</v>
      </c>
      <c r="O997" s="4" t="s">
        <v>704</v>
      </c>
      <c r="P997" s="11">
        <v>0.0</v>
      </c>
      <c r="Q997" s="15">
        <v>0.0</v>
      </c>
      <c r="R997" s="22">
        <v>0.0</v>
      </c>
      <c r="S997">
        <f t="shared" si="1"/>
        <v>2005</v>
      </c>
      <c r="T997">
        <f t="shared" si="2"/>
        <v>1</v>
      </c>
      <c r="AF997" s="18"/>
      <c r="AG997" s="19"/>
      <c r="AL997" s="18"/>
      <c r="AM997" s="19"/>
    </row>
    <row r="998">
      <c r="A998" s="4" t="s">
        <v>2298</v>
      </c>
      <c r="B998" s="10">
        <v>38353.0</v>
      </c>
      <c r="C998" s="11" t="s">
        <v>81</v>
      </c>
      <c r="D998" s="11" t="s">
        <v>75</v>
      </c>
      <c r="E998" s="14" t="s">
        <v>52</v>
      </c>
      <c r="F998" s="11" t="s">
        <v>76</v>
      </c>
      <c r="G998" s="14" t="s">
        <v>54</v>
      </c>
      <c r="H998" s="11" t="s">
        <v>260</v>
      </c>
      <c r="I998" s="11"/>
      <c r="J998" s="11">
        <v>23.0</v>
      </c>
      <c r="K998" s="13">
        <v>38957.0</v>
      </c>
      <c r="L998" s="14"/>
      <c r="M998" s="11">
        <v>434702.0</v>
      </c>
      <c r="N998" s="11" t="s">
        <v>2299</v>
      </c>
      <c r="P998" s="11">
        <v>0.0</v>
      </c>
      <c r="Q998" s="15">
        <v>0.0</v>
      </c>
      <c r="R998" s="22">
        <v>0.0</v>
      </c>
      <c r="S998">
        <f t="shared" si="1"/>
        <v>2005</v>
      </c>
      <c r="T998">
        <f t="shared" si="2"/>
        <v>1</v>
      </c>
      <c r="AF998" s="18"/>
      <c r="AG998" s="19"/>
      <c r="AL998" s="18"/>
      <c r="AM998" s="19"/>
    </row>
    <row r="999">
      <c r="A999" s="4" t="s">
        <v>1910</v>
      </c>
      <c r="B999" s="10">
        <v>38353.0</v>
      </c>
      <c r="C999" s="11" t="s">
        <v>81</v>
      </c>
      <c r="D999" s="11" t="s">
        <v>124</v>
      </c>
      <c r="E999" s="11" t="s">
        <v>52</v>
      </c>
      <c r="F999" s="11" t="s">
        <v>53</v>
      </c>
      <c r="G999" s="11" t="s">
        <v>54</v>
      </c>
      <c r="H999" s="11" t="s">
        <v>157</v>
      </c>
      <c r="I999" s="14"/>
      <c r="J999" s="11">
        <v>19.0</v>
      </c>
      <c r="K999" s="13">
        <v>39083.0</v>
      </c>
      <c r="L999" s="11"/>
      <c r="M999" s="11">
        <v>457915.0</v>
      </c>
      <c r="N999" s="11">
        <v>7407.0</v>
      </c>
      <c r="P999" s="11">
        <v>153.0</v>
      </c>
      <c r="Q999" s="15">
        <v>156.667</v>
      </c>
      <c r="R999" s="22">
        <v>1.0</v>
      </c>
      <c r="S999">
        <f t="shared" si="1"/>
        <v>2005</v>
      </c>
      <c r="T999">
        <f t="shared" si="2"/>
        <v>1</v>
      </c>
      <c r="AF999" s="18"/>
      <c r="AG999" s="19"/>
      <c r="AL999" s="18"/>
      <c r="AM999" s="19"/>
    </row>
    <row r="1000">
      <c r="A1000" s="4" t="s">
        <v>2300</v>
      </c>
      <c r="B1000" s="10">
        <v>38353.0</v>
      </c>
      <c r="C1000" s="11" t="s">
        <v>331</v>
      </c>
      <c r="D1000" s="11" t="s">
        <v>110</v>
      </c>
      <c r="E1000" s="14" t="s">
        <v>52</v>
      </c>
      <c r="F1000" s="11" t="s">
        <v>53</v>
      </c>
      <c r="G1000" s="22" t="s">
        <v>1238</v>
      </c>
      <c r="H1000" s="14"/>
      <c r="I1000" s="14"/>
      <c r="J1000" s="11">
        <v>20.0</v>
      </c>
      <c r="K1000" s="13">
        <v>38947.0</v>
      </c>
      <c r="L1000" s="11"/>
      <c r="M1000" s="11">
        <v>462995.0</v>
      </c>
      <c r="N1000" s="11">
        <v>5099.0</v>
      </c>
      <c r="P1000" s="11">
        <v>50.0</v>
      </c>
      <c r="Q1000" s="15">
        <v>183.667</v>
      </c>
      <c r="R1000" s="22">
        <v>0.0</v>
      </c>
      <c r="S1000">
        <f t="shared" si="1"/>
        <v>2005</v>
      </c>
      <c r="T1000">
        <f t="shared" si="2"/>
        <v>1</v>
      </c>
      <c r="AF1000" s="18"/>
      <c r="AG1000" s="19"/>
      <c r="AL1000" s="18"/>
      <c r="AM1000" s="19"/>
    </row>
    <row r="1001">
      <c r="A1001" s="4" t="s">
        <v>2301</v>
      </c>
      <c r="B1001" s="10">
        <v>38353.0</v>
      </c>
      <c r="C1001" s="11" t="s">
        <v>331</v>
      </c>
      <c r="D1001" s="11" t="s">
        <v>82</v>
      </c>
      <c r="E1001" s="14" t="s">
        <v>52</v>
      </c>
      <c r="F1001" s="11" t="s">
        <v>53</v>
      </c>
      <c r="G1001" s="22" t="s">
        <v>265</v>
      </c>
      <c r="H1001" s="14"/>
      <c r="I1001" s="14"/>
      <c r="J1001" s="11">
        <v>22.0</v>
      </c>
      <c r="K1001" s="13">
        <v>39083.0</v>
      </c>
      <c r="L1001" s="14"/>
      <c r="M1001" s="11">
        <v>430613.0</v>
      </c>
      <c r="N1001" s="11">
        <v>2203.0</v>
      </c>
      <c r="P1001" s="11">
        <v>341.0</v>
      </c>
      <c r="Q1001" s="15">
        <v>339.333</v>
      </c>
      <c r="R1001" s="11">
        <v>0.0</v>
      </c>
      <c r="S1001">
        <f t="shared" si="1"/>
        <v>2005</v>
      </c>
      <c r="T1001">
        <f t="shared" si="2"/>
        <v>1</v>
      </c>
      <c r="AF1001" s="18"/>
      <c r="AG1001" s="19"/>
      <c r="AL1001" s="18"/>
      <c r="AM1001" s="19"/>
    </row>
    <row r="1002">
      <c r="A1002" s="4" t="s">
        <v>2302</v>
      </c>
      <c r="B1002" s="10">
        <v>38353.0</v>
      </c>
      <c r="C1002" s="11" t="s">
        <v>114</v>
      </c>
      <c r="D1002" s="11" t="s">
        <v>82</v>
      </c>
      <c r="E1002" s="14" t="s">
        <v>52</v>
      </c>
      <c r="F1002" s="11" t="s">
        <v>53</v>
      </c>
      <c r="G1002" s="14" t="s">
        <v>54</v>
      </c>
      <c r="H1002" s="11" t="s">
        <v>279</v>
      </c>
      <c r="I1002" s="11" t="s">
        <v>1751</v>
      </c>
      <c r="J1002" s="11">
        <v>23.0</v>
      </c>
      <c r="K1002" s="13">
        <v>39181.0</v>
      </c>
      <c r="L1002" s="14"/>
      <c r="M1002" s="11">
        <v>430609.0</v>
      </c>
      <c r="N1002" s="11">
        <v>1913.0</v>
      </c>
      <c r="P1002" s="11">
        <v>0.0</v>
      </c>
      <c r="Q1002" s="15">
        <v>0.0</v>
      </c>
      <c r="R1002" s="22">
        <v>0.0</v>
      </c>
      <c r="S1002">
        <f t="shared" si="1"/>
        <v>2005</v>
      </c>
      <c r="T1002">
        <f t="shared" si="2"/>
        <v>1</v>
      </c>
      <c r="AF1002" s="18"/>
      <c r="AG1002" s="19"/>
      <c r="AL1002" s="18"/>
      <c r="AM1002" s="19"/>
    </row>
    <row r="1003">
      <c r="A1003" s="4" t="s">
        <v>2303</v>
      </c>
      <c r="B1003" s="10">
        <v>38353.0</v>
      </c>
      <c r="C1003" s="11" t="s">
        <v>123</v>
      </c>
      <c r="D1003" s="11" t="s">
        <v>91</v>
      </c>
      <c r="E1003" s="14" t="s">
        <v>52</v>
      </c>
      <c r="F1003" s="11" t="s">
        <v>53</v>
      </c>
      <c r="G1003" s="22" t="s">
        <v>265</v>
      </c>
      <c r="H1003" s="14"/>
      <c r="I1003" s="14"/>
      <c r="J1003" s="11">
        <v>21.0</v>
      </c>
      <c r="K1003" s="13">
        <v>38832.0</v>
      </c>
      <c r="L1003" s="14"/>
      <c r="M1003" s="11">
        <v>469097.0</v>
      </c>
      <c r="N1003" s="11">
        <v>4230.0</v>
      </c>
      <c r="P1003" s="11">
        <v>15.0</v>
      </c>
      <c r="Q1003" s="15">
        <v>17.333</v>
      </c>
      <c r="R1003" s="22">
        <v>0.0</v>
      </c>
      <c r="S1003">
        <f t="shared" si="1"/>
        <v>2005</v>
      </c>
      <c r="T1003">
        <f t="shared" si="2"/>
        <v>1</v>
      </c>
      <c r="AF1003" s="18"/>
      <c r="AG1003" s="19"/>
      <c r="AL1003" s="18"/>
      <c r="AM1003" s="19"/>
    </row>
    <row r="1004">
      <c r="A1004" s="4" t="s">
        <v>1038</v>
      </c>
      <c r="B1004" s="10">
        <v>38353.0</v>
      </c>
      <c r="C1004" s="11" t="s">
        <v>125</v>
      </c>
      <c r="D1004" s="11" t="s">
        <v>151</v>
      </c>
      <c r="E1004" s="14" t="s">
        <v>52</v>
      </c>
      <c r="F1004" s="11" t="s">
        <v>53</v>
      </c>
      <c r="G1004" s="14" t="s">
        <v>54</v>
      </c>
      <c r="H1004" s="11" t="s">
        <v>316</v>
      </c>
      <c r="I1004" s="11" t="s">
        <v>2304</v>
      </c>
      <c r="J1004" s="11">
        <v>20.0</v>
      </c>
      <c r="K1004" s="13">
        <v>39252.0</v>
      </c>
      <c r="L1004" s="14"/>
      <c r="M1004" s="11">
        <v>488707.0</v>
      </c>
      <c r="N1004" s="11" t="s">
        <v>2305</v>
      </c>
      <c r="P1004" s="11">
        <v>0.0</v>
      </c>
      <c r="Q1004" s="15">
        <v>0.0</v>
      </c>
      <c r="R1004" s="22">
        <v>0.0</v>
      </c>
      <c r="S1004">
        <f t="shared" si="1"/>
        <v>2005</v>
      </c>
      <c r="T1004">
        <f t="shared" si="2"/>
        <v>1</v>
      </c>
      <c r="AF1004" s="18"/>
      <c r="AG1004" s="19"/>
      <c r="AL1004" s="18"/>
      <c r="AM1004" s="19"/>
    </row>
    <row r="1005">
      <c r="A1005" s="4" t="s">
        <v>2306</v>
      </c>
      <c r="B1005" s="10">
        <v>38353.0</v>
      </c>
      <c r="C1005" s="11" t="s">
        <v>130</v>
      </c>
      <c r="D1005" s="11" t="s">
        <v>110</v>
      </c>
      <c r="E1005" s="14" t="s">
        <v>52</v>
      </c>
      <c r="F1005" s="11" t="s">
        <v>53</v>
      </c>
      <c r="G1005" s="14" t="s">
        <v>54</v>
      </c>
      <c r="H1005" s="11" t="s">
        <v>92</v>
      </c>
      <c r="I1005" s="11" t="s">
        <v>2307</v>
      </c>
      <c r="J1005" s="11">
        <v>21.0</v>
      </c>
      <c r="K1005" s="13">
        <v>38818.0</v>
      </c>
      <c r="L1005" s="14"/>
      <c r="M1005" s="11">
        <v>456138.0</v>
      </c>
      <c r="N1005" s="11" t="s">
        <v>2308</v>
      </c>
      <c r="P1005" s="11">
        <v>0.0</v>
      </c>
      <c r="Q1005" s="15">
        <v>0.0</v>
      </c>
      <c r="R1005" s="22">
        <v>0.0</v>
      </c>
      <c r="S1005">
        <f t="shared" si="1"/>
        <v>2005</v>
      </c>
      <c r="T1005">
        <f t="shared" si="2"/>
        <v>1</v>
      </c>
      <c r="AF1005" s="18"/>
      <c r="AG1005" s="19"/>
      <c r="AL1005" s="18"/>
      <c r="AM1005" s="19"/>
    </row>
    <row r="1006">
      <c r="A1006" s="4" t="s">
        <v>2309</v>
      </c>
      <c r="B1006" s="10">
        <v>38353.0</v>
      </c>
      <c r="C1006" s="11" t="s">
        <v>130</v>
      </c>
      <c r="D1006" s="11" t="s">
        <v>210</v>
      </c>
      <c r="E1006" s="14" t="s">
        <v>52</v>
      </c>
      <c r="F1006" s="11" t="s">
        <v>53</v>
      </c>
      <c r="G1006" s="14" t="s">
        <v>54</v>
      </c>
      <c r="H1006" s="11" t="s">
        <v>157</v>
      </c>
      <c r="I1006" s="11" t="s">
        <v>1122</v>
      </c>
      <c r="J1006" s="11">
        <v>22.0</v>
      </c>
      <c r="K1006" s="13">
        <v>39177.0</v>
      </c>
      <c r="L1006" s="14"/>
      <c r="M1006" s="11">
        <v>450304.0</v>
      </c>
      <c r="N1006" s="11" t="s">
        <v>2310</v>
      </c>
      <c r="P1006" s="11">
        <v>0.0</v>
      </c>
      <c r="Q1006" s="15">
        <v>0.0</v>
      </c>
      <c r="R1006" s="22">
        <v>0.0</v>
      </c>
      <c r="S1006">
        <f t="shared" si="1"/>
        <v>2005</v>
      </c>
      <c r="T1006">
        <f t="shared" si="2"/>
        <v>1</v>
      </c>
      <c r="AF1006" s="18"/>
      <c r="AG1006" s="19"/>
      <c r="AL1006" s="18"/>
      <c r="AM1006" s="19"/>
    </row>
    <row r="1007">
      <c r="A1007" s="4" t="s">
        <v>2311</v>
      </c>
      <c r="B1007" s="10">
        <v>38353.0</v>
      </c>
      <c r="C1007" s="11" t="s">
        <v>179</v>
      </c>
      <c r="D1007" s="11" t="s">
        <v>151</v>
      </c>
      <c r="E1007" s="22" t="s">
        <v>160</v>
      </c>
      <c r="F1007" s="11" t="s">
        <v>53</v>
      </c>
      <c r="G1007" s="14" t="s">
        <v>54</v>
      </c>
      <c r="H1007" s="11" t="s">
        <v>279</v>
      </c>
      <c r="I1007" s="11" t="s">
        <v>308</v>
      </c>
      <c r="J1007" s="11">
        <v>21.0</v>
      </c>
      <c r="K1007" s="13">
        <v>38887.0</v>
      </c>
      <c r="L1007" s="14"/>
      <c r="M1007" s="11">
        <v>502226.0</v>
      </c>
      <c r="N1007" s="11">
        <v>9571.0</v>
      </c>
      <c r="P1007" s="11">
        <v>457.0</v>
      </c>
      <c r="Q1007" s="15">
        <v>1116.0</v>
      </c>
      <c r="R1007" s="22">
        <v>1.0</v>
      </c>
      <c r="S1007">
        <f t="shared" si="1"/>
        <v>2005</v>
      </c>
      <c r="T1007">
        <f t="shared" si="2"/>
        <v>1</v>
      </c>
      <c r="AF1007" s="18"/>
      <c r="AG1007" s="19"/>
      <c r="AL1007" s="18"/>
      <c r="AM1007" s="19"/>
    </row>
    <row r="1008">
      <c r="A1008" s="4" t="s">
        <v>2312</v>
      </c>
      <c r="B1008" s="10">
        <v>38353.0</v>
      </c>
      <c r="C1008" s="11" t="s">
        <v>711</v>
      </c>
      <c r="D1008" s="11" t="s">
        <v>110</v>
      </c>
      <c r="E1008" s="11" t="s">
        <v>52</v>
      </c>
      <c r="F1008" s="11" t="s">
        <v>76</v>
      </c>
      <c r="G1008" s="11" t="s">
        <v>54</v>
      </c>
      <c r="H1008" s="11" t="s">
        <v>316</v>
      </c>
      <c r="I1008" s="11" t="s">
        <v>1372</v>
      </c>
      <c r="J1008" s="11">
        <v>23.0</v>
      </c>
      <c r="K1008" s="13">
        <v>38718.0</v>
      </c>
      <c r="L1008" s="11"/>
      <c r="M1008" s="11">
        <v>447838.0</v>
      </c>
      <c r="N1008" s="11" t="s">
        <v>2313</v>
      </c>
      <c r="O1008" s="4"/>
      <c r="P1008" s="11">
        <v>0.0</v>
      </c>
      <c r="Q1008" s="15">
        <v>0.0</v>
      </c>
      <c r="R1008" s="11">
        <v>0.0</v>
      </c>
      <c r="S1008">
        <f t="shared" si="1"/>
        <v>2005</v>
      </c>
      <c r="T1008">
        <f t="shared" si="2"/>
        <v>1</v>
      </c>
      <c r="AF1008" s="18"/>
      <c r="AG1008" s="19"/>
      <c r="AL1008" s="18"/>
      <c r="AM1008" s="19"/>
    </row>
    <row r="1009">
      <c r="A1009" s="4" t="s">
        <v>2314</v>
      </c>
      <c r="B1009" s="10">
        <v>38300.0</v>
      </c>
      <c r="C1009" s="11" t="s">
        <v>119</v>
      </c>
      <c r="D1009" s="11" t="s">
        <v>51</v>
      </c>
      <c r="E1009" s="22" t="s">
        <v>392</v>
      </c>
      <c r="F1009" s="11" t="s">
        <v>53</v>
      </c>
      <c r="G1009" s="11" t="s">
        <v>265</v>
      </c>
      <c r="H1009" s="14"/>
      <c r="I1009" s="14"/>
      <c r="J1009" s="11">
        <v>23.0</v>
      </c>
      <c r="K1009" s="13">
        <v>38531.0</v>
      </c>
      <c r="L1009" s="11">
        <f t="shared" ref="L1009:L1018" si="102">ROUND(((K1009-B1009)/365)*12)</f>
        <v>8</v>
      </c>
      <c r="M1009" s="11">
        <v>408232.0</v>
      </c>
      <c r="N1009" s="11">
        <v>1718.0</v>
      </c>
      <c r="O1009" s="4" t="s">
        <v>224</v>
      </c>
      <c r="P1009" s="11">
        <v>131.0</v>
      </c>
      <c r="Q1009" s="32">
        <v>232.0</v>
      </c>
      <c r="R1009" s="22">
        <v>0.0</v>
      </c>
      <c r="S1009">
        <f t="shared" si="1"/>
        <v>2004</v>
      </c>
      <c r="T1009">
        <f t="shared" si="2"/>
        <v>11</v>
      </c>
      <c r="AF1009" s="18"/>
      <c r="AG1009" s="19"/>
      <c r="AL1009" s="18"/>
      <c r="AM1009" s="19"/>
    </row>
    <row r="1010">
      <c r="A1010" s="4" t="s">
        <v>747</v>
      </c>
      <c r="B1010" s="10">
        <v>38290.0</v>
      </c>
      <c r="C1010" s="11" t="s">
        <v>133</v>
      </c>
      <c r="D1010" s="11" t="s">
        <v>51</v>
      </c>
      <c r="E1010" s="14" t="s">
        <v>52</v>
      </c>
      <c r="F1010" s="11" t="s">
        <v>53</v>
      </c>
      <c r="G1010" s="14" t="s">
        <v>54</v>
      </c>
      <c r="H1010" s="11" t="s">
        <v>157</v>
      </c>
      <c r="I1010" s="11" t="s">
        <v>2315</v>
      </c>
      <c r="J1010" s="11">
        <v>28.0</v>
      </c>
      <c r="K1010" s="13">
        <v>38569.0</v>
      </c>
      <c r="L1010" s="11">
        <f t="shared" si="102"/>
        <v>9</v>
      </c>
      <c r="M1010" s="11">
        <v>150182.0</v>
      </c>
      <c r="N1010" s="11">
        <v>361.0</v>
      </c>
      <c r="O1010" s="4" t="s">
        <v>224</v>
      </c>
      <c r="P1010" s="11">
        <v>75.0</v>
      </c>
      <c r="Q1010" s="32">
        <v>68.0</v>
      </c>
      <c r="R1010" s="22">
        <v>0.0</v>
      </c>
      <c r="S1010">
        <f t="shared" si="1"/>
        <v>2004</v>
      </c>
      <c r="T1010">
        <f t="shared" si="2"/>
        <v>10</v>
      </c>
      <c r="AF1010" s="18"/>
      <c r="AG1010" s="19"/>
      <c r="AL1010" s="18"/>
      <c r="AM1010" s="19"/>
    </row>
    <row r="1011">
      <c r="A1011" s="4" t="s">
        <v>2316</v>
      </c>
      <c r="B1011" s="10">
        <v>38273.0</v>
      </c>
      <c r="C1011" s="11" t="s">
        <v>209</v>
      </c>
      <c r="D1011" s="11" t="s">
        <v>51</v>
      </c>
      <c r="E1011" s="14" t="s">
        <v>52</v>
      </c>
      <c r="F1011" s="11" t="s">
        <v>53</v>
      </c>
      <c r="G1011" s="14" t="s">
        <v>54</v>
      </c>
      <c r="H1011" s="11" t="s">
        <v>157</v>
      </c>
      <c r="I1011" s="11"/>
      <c r="J1011" s="11">
        <v>26.0</v>
      </c>
      <c r="K1011" s="13">
        <v>38548.0</v>
      </c>
      <c r="L1011" s="11">
        <f t="shared" si="102"/>
        <v>9</v>
      </c>
      <c r="M1011" s="11">
        <v>115169.0</v>
      </c>
      <c r="N1011" s="11">
        <v>602.0</v>
      </c>
      <c r="O1011" s="4" t="s">
        <v>224</v>
      </c>
      <c r="P1011" s="11">
        <v>41.0</v>
      </c>
      <c r="Q1011" s="15">
        <v>49.667</v>
      </c>
      <c r="R1011" s="22">
        <v>0.0</v>
      </c>
      <c r="S1011">
        <f t="shared" si="1"/>
        <v>2004</v>
      </c>
      <c r="T1011">
        <f t="shared" si="2"/>
        <v>10</v>
      </c>
      <c r="AF1011" s="18"/>
      <c r="AG1011" s="19"/>
      <c r="AL1011" s="18"/>
      <c r="AM1011" s="19"/>
    </row>
    <row r="1012">
      <c r="A1012" s="4" t="s">
        <v>766</v>
      </c>
      <c r="B1012" s="10">
        <v>38252.0</v>
      </c>
      <c r="C1012" s="11" t="s">
        <v>125</v>
      </c>
      <c r="D1012" s="11" t="s">
        <v>75</v>
      </c>
      <c r="E1012" s="14" t="s">
        <v>52</v>
      </c>
      <c r="F1012" s="11" t="s">
        <v>76</v>
      </c>
      <c r="G1012" s="14" t="s">
        <v>54</v>
      </c>
      <c r="H1012" s="11" t="s">
        <v>260</v>
      </c>
      <c r="I1012" s="11"/>
      <c r="J1012" s="11">
        <v>21.0</v>
      </c>
      <c r="K1012" s="13">
        <v>38816.0</v>
      </c>
      <c r="L1012" s="11">
        <f t="shared" si="102"/>
        <v>19</v>
      </c>
      <c r="M1012" s="11">
        <v>430634.0</v>
      </c>
      <c r="N1012" s="11">
        <v>1886.0</v>
      </c>
      <c r="P1012" s="11">
        <v>357.0</v>
      </c>
      <c r="Q1012" s="15">
        <v>301.0</v>
      </c>
      <c r="R1012" s="22">
        <v>0.0</v>
      </c>
      <c r="S1012">
        <f t="shared" si="1"/>
        <v>2004</v>
      </c>
      <c r="T1012">
        <f t="shared" si="2"/>
        <v>9</v>
      </c>
      <c r="AF1012" s="18"/>
      <c r="AG1012" s="19"/>
      <c r="AL1012" s="18"/>
      <c r="AM1012" s="19"/>
    </row>
    <row r="1013">
      <c r="A1013" s="4" t="s">
        <v>773</v>
      </c>
      <c r="B1013" s="10">
        <v>38238.0</v>
      </c>
      <c r="C1013" s="11" t="s">
        <v>74</v>
      </c>
      <c r="D1013" s="11" t="s">
        <v>51</v>
      </c>
      <c r="E1013" s="14" t="s">
        <v>52</v>
      </c>
      <c r="F1013" s="11" t="s">
        <v>53</v>
      </c>
      <c r="G1013" s="22" t="s">
        <v>312</v>
      </c>
      <c r="H1013" s="14"/>
      <c r="I1013" s="14"/>
      <c r="J1013" s="11">
        <v>23.0</v>
      </c>
      <c r="K1013" s="13">
        <v>38864.0</v>
      </c>
      <c r="L1013" s="11">
        <f t="shared" si="102"/>
        <v>21</v>
      </c>
      <c r="M1013" s="11">
        <v>429718.0</v>
      </c>
      <c r="N1013" s="11">
        <v>1882.0</v>
      </c>
      <c r="O1013" s="4" t="s">
        <v>59</v>
      </c>
      <c r="P1013" s="11">
        <v>37.0</v>
      </c>
      <c r="Q1013" s="32">
        <v>209.33299999999997</v>
      </c>
      <c r="R1013" s="22">
        <v>0.0</v>
      </c>
      <c r="S1013">
        <f t="shared" si="1"/>
        <v>2004</v>
      </c>
      <c r="T1013">
        <f t="shared" si="2"/>
        <v>9</v>
      </c>
      <c r="AF1013" s="18"/>
      <c r="AG1013" s="19"/>
      <c r="AL1013" s="18"/>
      <c r="AM1013" s="19"/>
    </row>
    <row r="1014">
      <c r="A1014" s="4" t="s">
        <v>2317</v>
      </c>
      <c r="B1014" s="10">
        <v>38235.0</v>
      </c>
      <c r="C1014" s="11" t="s">
        <v>74</v>
      </c>
      <c r="D1014" s="11" t="s">
        <v>110</v>
      </c>
      <c r="E1014" s="14" t="s">
        <v>52</v>
      </c>
      <c r="F1014" s="11" t="s">
        <v>53</v>
      </c>
      <c r="G1014" s="14" t="s">
        <v>54</v>
      </c>
      <c r="H1014" s="11" t="s">
        <v>157</v>
      </c>
      <c r="I1014" s="11"/>
      <c r="J1014" s="11">
        <v>19.0</v>
      </c>
      <c r="K1014" s="13">
        <v>38816.0</v>
      </c>
      <c r="L1014" s="11">
        <f t="shared" si="102"/>
        <v>19</v>
      </c>
      <c r="M1014" s="11">
        <v>425847.0</v>
      </c>
      <c r="N1014" s="11" t="s">
        <v>2318</v>
      </c>
      <c r="P1014" s="11">
        <v>0.0</v>
      </c>
      <c r="Q1014" s="15">
        <v>0.0</v>
      </c>
      <c r="R1014" s="22">
        <v>0.0</v>
      </c>
      <c r="S1014">
        <f t="shared" si="1"/>
        <v>2004</v>
      </c>
      <c r="T1014">
        <f t="shared" si="2"/>
        <v>9</v>
      </c>
      <c r="AF1014" s="18"/>
      <c r="AG1014" s="19"/>
      <c r="AL1014" s="18"/>
      <c r="AM1014" s="19"/>
    </row>
    <row r="1015">
      <c r="A1015" s="4" t="s">
        <v>2319</v>
      </c>
      <c r="B1015" s="10">
        <v>38216.0</v>
      </c>
      <c r="C1015" s="11" t="s">
        <v>90</v>
      </c>
      <c r="D1015" s="11" t="s">
        <v>51</v>
      </c>
      <c r="E1015" s="14" t="s">
        <v>52</v>
      </c>
      <c r="F1015" s="11" t="s">
        <v>53</v>
      </c>
      <c r="G1015" s="22" t="s">
        <v>83</v>
      </c>
      <c r="H1015" s="14"/>
      <c r="I1015" s="14"/>
      <c r="J1015" s="11">
        <v>24.0</v>
      </c>
      <c r="K1015" s="13">
        <v>38605.0</v>
      </c>
      <c r="L1015" s="11">
        <f t="shared" si="102"/>
        <v>13</v>
      </c>
      <c r="M1015" s="11">
        <v>400089.0</v>
      </c>
      <c r="N1015" s="11">
        <v>1100.0</v>
      </c>
      <c r="O1015" s="4" t="s">
        <v>704</v>
      </c>
      <c r="P1015" s="11">
        <v>535.0</v>
      </c>
      <c r="Q1015" s="15">
        <v>532.667</v>
      </c>
      <c r="R1015" s="11">
        <v>0.0</v>
      </c>
      <c r="S1015">
        <f t="shared" si="1"/>
        <v>2004</v>
      </c>
      <c r="T1015">
        <f t="shared" si="2"/>
        <v>8</v>
      </c>
      <c r="AF1015" s="18"/>
      <c r="AG1015" s="19"/>
      <c r="AL1015" s="18"/>
      <c r="AM1015" s="19"/>
    </row>
    <row r="1016">
      <c r="A1016" s="4" t="s">
        <v>2320</v>
      </c>
      <c r="B1016" s="10">
        <v>38200.0</v>
      </c>
      <c r="C1016" s="11" t="s">
        <v>96</v>
      </c>
      <c r="D1016" s="11" t="s">
        <v>51</v>
      </c>
      <c r="E1016" s="22" t="s">
        <v>160</v>
      </c>
      <c r="F1016" s="11" t="s">
        <v>53</v>
      </c>
      <c r="G1016" s="14" t="s">
        <v>54</v>
      </c>
      <c r="H1016" s="11" t="s">
        <v>260</v>
      </c>
      <c r="I1016" s="11" t="s">
        <v>2321</v>
      </c>
      <c r="J1016" s="11">
        <v>36.0</v>
      </c>
      <c r="K1016" s="13">
        <v>38446.0</v>
      </c>
      <c r="L1016" s="11">
        <f t="shared" si="102"/>
        <v>8</v>
      </c>
      <c r="M1016" s="11">
        <v>114935.0</v>
      </c>
      <c r="N1016" s="11">
        <v>55.0</v>
      </c>
      <c r="O1016" s="4" t="s">
        <v>863</v>
      </c>
      <c r="P1016" s="11">
        <v>583.0</v>
      </c>
      <c r="Q1016" s="32">
        <v>2253.0</v>
      </c>
      <c r="R1016" s="22">
        <v>0.0</v>
      </c>
      <c r="S1016">
        <f t="shared" si="1"/>
        <v>2004</v>
      </c>
      <c r="T1016">
        <f t="shared" si="2"/>
        <v>8</v>
      </c>
      <c r="AF1016" s="18"/>
      <c r="AG1016" s="19"/>
      <c r="AL1016" s="18"/>
      <c r="AM1016" s="19"/>
    </row>
    <row r="1017">
      <c r="A1017" s="4" t="s">
        <v>2322</v>
      </c>
      <c r="B1017" s="10">
        <v>38197.0</v>
      </c>
      <c r="C1017" s="11" t="s">
        <v>169</v>
      </c>
      <c r="D1017" s="11" t="s">
        <v>51</v>
      </c>
      <c r="E1017" s="14" t="s">
        <v>52</v>
      </c>
      <c r="F1017" s="11" t="s">
        <v>76</v>
      </c>
      <c r="G1017" s="14" t="s">
        <v>54</v>
      </c>
      <c r="H1017" s="11" t="s">
        <v>279</v>
      </c>
      <c r="I1017" s="11" t="s">
        <v>2323</v>
      </c>
      <c r="J1017" s="11">
        <v>27.0</v>
      </c>
      <c r="K1017" s="13">
        <v>39247.0</v>
      </c>
      <c r="L1017" s="11">
        <f t="shared" si="102"/>
        <v>35</v>
      </c>
      <c r="M1017" s="11">
        <v>408037.0</v>
      </c>
      <c r="N1017" s="11">
        <v>1763.0</v>
      </c>
      <c r="O1017" s="4" t="s">
        <v>59</v>
      </c>
      <c r="P1017" s="11">
        <v>8.0</v>
      </c>
      <c r="Q1017" s="32">
        <v>26.333000000000006</v>
      </c>
      <c r="R1017" s="22">
        <v>0.0</v>
      </c>
      <c r="S1017">
        <f t="shared" si="1"/>
        <v>2004</v>
      </c>
      <c r="T1017">
        <f t="shared" si="2"/>
        <v>7</v>
      </c>
      <c r="AF1017" s="18"/>
      <c r="AG1017" s="19"/>
      <c r="AL1017" s="18"/>
      <c r="AM1017" s="19"/>
    </row>
    <row r="1018">
      <c r="A1018" s="4" t="s">
        <v>2324</v>
      </c>
      <c r="B1018" s="10">
        <v>38188.0</v>
      </c>
      <c r="C1018" s="11" t="s">
        <v>209</v>
      </c>
      <c r="D1018" s="11" t="s">
        <v>210</v>
      </c>
      <c r="E1018" s="14" t="s">
        <v>52</v>
      </c>
      <c r="F1018" s="11" t="s">
        <v>53</v>
      </c>
      <c r="G1018" s="14" t="s">
        <v>54</v>
      </c>
      <c r="H1018" s="11" t="s">
        <v>112</v>
      </c>
      <c r="I1018" s="11" t="s">
        <v>2325</v>
      </c>
      <c r="J1018" s="11">
        <v>21.0</v>
      </c>
      <c r="K1018" s="13">
        <v>38524.0</v>
      </c>
      <c r="L1018" s="11">
        <f t="shared" si="102"/>
        <v>11</v>
      </c>
      <c r="M1018" s="11">
        <v>460597.0</v>
      </c>
      <c r="N1018" s="11">
        <v>6007.0</v>
      </c>
      <c r="P1018" s="11">
        <v>61.0</v>
      </c>
      <c r="Q1018" s="15">
        <v>59.0</v>
      </c>
      <c r="R1018" s="22">
        <v>0.0</v>
      </c>
      <c r="S1018">
        <f t="shared" si="1"/>
        <v>2004</v>
      </c>
      <c r="T1018">
        <f t="shared" si="2"/>
        <v>7</v>
      </c>
      <c r="AF1018" s="18"/>
      <c r="AG1018" s="19"/>
      <c r="AL1018" s="18"/>
      <c r="AM1018" s="19"/>
    </row>
    <row r="1019">
      <c r="A1019" s="4" t="s">
        <v>675</v>
      </c>
      <c r="B1019" s="10">
        <v>38181.0</v>
      </c>
      <c r="C1019" s="11" t="s">
        <v>156</v>
      </c>
      <c r="D1019" s="11" t="s">
        <v>51</v>
      </c>
      <c r="E1019" s="14" t="s">
        <v>52</v>
      </c>
      <c r="F1019" s="11" t="s">
        <v>53</v>
      </c>
      <c r="G1019" s="14" t="s">
        <v>54</v>
      </c>
      <c r="H1019" s="11" t="s">
        <v>92</v>
      </c>
      <c r="I1019" s="11" t="s">
        <v>2179</v>
      </c>
      <c r="J1019" s="11">
        <v>29.0</v>
      </c>
      <c r="K1019" s="13"/>
      <c r="L1019" s="11"/>
      <c r="M1019" s="11">
        <v>150221.0</v>
      </c>
      <c r="N1019" s="11">
        <v>1457.0</v>
      </c>
      <c r="O1019" s="4" t="s">
        <v>404</v>
      </c>
      <c r="P1019" s="11">
        <v>0.0</v>
      </c>
      <c r="Q1019" s="32">
        <v>0.0</v>
      </c>
      <c r="R1019" s="22">
        <v>0.0</v>
      </c>
      <c r="S1019">
        <f t="shared" si="1"/>
        <v>2004</v>
      </c>
      <c r="T1019">
        <f t="shared" si="2"/>
        <v>7</v>
      </c>
      <c r="AF1019" s="18"/>
      <c r="AG1019" s="19"/>
      <c r="AL1019" s="18"/>
      <c r="AM1019" s="19"/>
    </row>
    <row r="1020">
      <c r="A1020" s="4" t="s">
        <v>2326</v>
      </c>
      <c r="B1020" s="10">
        <v>38176.0</v>
      </c>
      <c r="C1020" s="11" t="s">
        <v>179</v>
      </c>
      <c r="D1020" s="11" t="s">
        <v>51</v>
      </c>
      <c r="E1020" s="11" t="s">
        <v>52</v>
      </c>
      <c r="F1020" s="11" t="s">
        <v>53</v>
      </c>
      <c r="G1020" s="11" t="s">
        <v>54</v>
      </c>
      <c r="H1020" s="11" t="s">
        <v>197</v>
      </c>
      <c r="I1020" s="11" t="s">
        <v>198</v>
      </c>
      <c r="J1020" s="11">
        <v>32.0</v>
      </c>
      <c r="K1020" s="13">
        <v>38550.0</v>
      </c>
      <c r="L1020" s="11">
        <f t="shared" ref="L1020:L1027" si="103">ROUND(((K1020-B1020)/365)*12)</f>
        <v>12</v>
      </c>
      <c r="M1020" s="11">
        <v>120717.0</v>
      </c>
      <c r="N1020" s="11">
        <v>1271.0</v>
      </c>
      <c r="P1020" s="11">
        <v>5.0</v>
      </c>
      <c r="Q1020" s="15">
        <v>3.333</v>
      </c>
      <c r="R1020" s="22">
        <v>0.0</v>
      </c>
      <c r="S1020">
        <f t="shared" si="1"/>
        <v>2004</v>
      </c>
      <c r="T1020">
        <f t="shared" si="2"/>
        <v>7</v>
      </c>
      <c r="AF1020" s="18"/>
      <c r="AG1020" s="19"/>
      <c r="AL1020" s="18"/>
      <c r="AM1020" s="19"/>
    </row>
    <row r="1021">
      <c r="A1021" s="4" t="s">
        <v>2327</v>
      </c>
      <c r="B1021" s="10">
        <v>38169.0</v>
      </c>
      <c r="C1021" s="11" t="s">
        <v>97</v>
      </c>
      <c r="D1021" s="11" t="s">
        <v>82</v>
      </c>
      <c r="E1021" s="14" t="s">
        <v>52</v>
      </c>
      <c r="F1021" s="11" t="s">
        <v>53</v>
      </c>
      <c r="G1021" s="14" t="s">
        <v>54</v>
      </c>
      <c r="H1021" s="11" t="s">
        <v>1312</v>
      </c>
      <c r="I1021" s="11" t="s">
        <v>302</v>
      </c>
      <c r="J1021" s="11">
        <v>23.0</v>
      </c>
      <c r="K1021" s="13">
        <v>38573.0</v>
      </c>
      <c r="L1021" s="11">
        <f t="shared" si="103"/>
        <v>13</v>
      </c>
      <c r="M1021" s="11">
        <v>455005.0</v>
      </c>
      <c r="N1021" s="11">
        <v>4754.0</v>
      </c>
      <c r="P1021" s="11">
        <v>4.0</v>
      </c>
      <c r="Q1021" s="15">
        <v>16.667</v>
      </c>
      <c r="R1021" s="22">
        <v>0.0</v>
      </c>
      <c r="S1021">
        <f t="shared" si="1"/>
        <v>2004</v>
      </c>
      <c r="T1021">
        <f t="shared" si="2"/>
        <v>7</v>
      </c>
      <c r="AF1021" s="18"/>
      <c r="AG1021" s="19"/>
      <c r="AL1021" s="18"/>
      <c r="AM1021" s="19"/>
    </row>
    <row r="1022">
      <c r="A1022" s="4" t="s">
        <v>2328</v>
      </c>
      <c r="B1022" s="10">
        <v>38155.0</v>
      </c>
      <c r="C1022" s="11" t="s">
        <v>108</v>
      </c>
      <c r="D1022" s="11" t="s">
        <v>170</v>
      </c>
      <c r="E1022" s="14" t="s">
        <v>52</v>
      </c>
      <c r="F1022" s="11" t="s">
        <v>53</v>
      </c>
      <c r="G1022" s="14" t="s">
        <v>54</v>
      </c>
      <c r="H1022" s="11" t="s">
        <v>251</v>
      </c>
      <c r="I1022" s="11"/>
      <c r="J1022" s="11">
        <v>17.0</v>
      </c>
      <c r="K1022" s="13">
        <v>38529.0</v>
      </c>
      <c r="L1022" s="11">
        <f t="shared" si="103"/>
        <v>12</v>
      </c>
      <c r="M1022" s="11">
        <v>444440.0</v>
      </c>
      <c r="N1022" s="11">
        <v>6879.0</v>
      </c>
      <c r="P1022" s="11">
        <v>4.0</v>
      </c>
      <c r="Q1022" s="15">
        <v>18.0</v>
      </c>
      <c r="R1022" s="22">
        <v>0.0</v>
      </c>
      <c r="S1022">
        <f t="shared" si="1"/>
        <v>2004</v>
      </c>
      <c r="T1022">
        <f t="shared" si="2"/>
        <v>6</v>
      </c>
      <c r="AF1022" s="18"/>
      <c r="AG1022" s="19"/>
      <c r="AL1022" s="18"/>
      <c r="AM1022" s="19"/>
    </row>
    <row r="1023">
      <c r="A1023" s="4" t="s">
        <v>2329</v>
      </c>
      <c r="B1023" s="10">
        <v>38131.0</v>
      </c>
      <c r="C1023" s="11" t="s">
        <v>133</v>
      </c>
      <c r="D1023" s="11" t="s">
        <v>75</v>
      </c>
      <c r="E1023" s="14" t="s">
        <v>52</v>
      </c>
      <c r="F1023" s="11" t="s">
        <v>53</v>
      </c>
      <c r="G1023" s="14" t="s">
        <v>54</v>
      </c>
      <c r="H1023" s="11" t="s">
        <v>99</v>
      </c>
      <c r="I1023" s="11"/>
      <c r="J1023" s="11">
        <v>27.0</v>
      </c>
      <c r="K1023" s="13">
        <v>38917.0</v>
      </c>
      <c r="L1023" s="11">
        <f t="shared" si="103"/>
        <v>26</v>
      </c>
      <c r="M1023" s="11">
        <v>425126.0</v>
      </c>
      <c r="N1023" s="11">
        <v>1625.0</v>
      </c>
      <c r="P1023" s="11">
        <v>4.0</v>
      </c>
      <c r="Q1023" s="15">
        <v>15.667</v>
      </c>
      <c r="R1023" s="22">
        <v>0.0</v>
      </c>
      <c r="S1023">
        <f t="shared" si="1"/>
        <v>2004</v>
      </c>
      <c r="T1023">
        <f t="shared" si="2"/>
        <v>5</v>
      </c>
      <c r="AF1023" s="18"/>
      <c r="AG1023" s="19"/>
      <c r="AL1023" s="18"/>
      <c r="AM1023" s="19"/>
    </row>
    <row r="1024">
      <c r="A1024" s="4" t="s">
        <v>1031</v>
      </c>
      <c r="B1024" s="10">
        <v>38121.0</v>
      </c>
      <c r="C1024" s="11" t="s">
        <v>711</v>
      </c>
      <c r="D1024" s="11" t="s">
        <v>82</v>
      </c>
      <c r="E1024" s="14" t="s">
        <v>52</v>
      </c>
      <c r="F1024" s="11" t="s">
        <v>53</v>
      </c>
      <c r="G1024" s="14" t="s">
        <v>54</v>
      </c>
      <c r="H1024" s="11" t="s">
        <v>99</v>
      </c>
      <c r="I1024" s="11"/>
      <c r="J1024" s="11">
        <v>22.0</v>
      </c>
      <c r="K1024" s="13">
        <v>38532.0</v>
      </c>
      <c r="L1024" s="11">
        <f t="shared" si="103"/>
        <v>14</v>
      </c>
      <c r="M1024" s="11">
        <v>430661.0</v>
      </c>
      <c r="N1024" s="11">
        <v>8600.0</v>
      </c>
      <c r="P1024" s="11">
        <v>227.0</v>
      </c>
      <c r="Q1024" s="15">
        <v>572.667</v>
      </c>
      <c r="R1024" s="22">
        <v>1.0</v>
      </c>
      <c r="S1024">
        <f t="shared" si="1"/>
        <v>2004</v>
      </c>
      <c r="T1024">
        <f t="shared" si="2"/>
        <v>5</v>
      </c>
      <c r="AF1024" s="18"/>
      <c r="AG1024" s="19"/>
      <c r="AL1024" s="18"/>
      <c r="AM1024" s="19"/>
    </row>
    <row r="1025">
      <c r="A1025" s="4" t="s">
        <v>2331</v>
      </c>
      <c r="B1025" s="10">
        <v>38108.0</v>
      </c>
      <c r="C1025" s="11" t="s">
        <v>90</v>
      </c>
      <c r="D1025" s="11" t="s">
        <v>75</v>
      </c>
      <c r="E1025" s="11" t="s">
        <v>52</v>
      </c>
      <c r="F1025" s="11" t="s">
        <v>53</v>
      </c>
      <c r="G1025" s="11" t="s">
        <v>54</v>
      </c>
      <c r="H1025" s="11" t="s">
        <v>218</v>
      </c>
      <c r="I1025" s="11" t="s">
        <v>2332</v>
      </c>
      <c r="J1025" s="11">
        <v>27.0</v>
      </c>
      <c r="K1025" s="13">
        <v>38814.0</v>
      </c>
      <c r="L1025" s="11">
        <f t="shared" si="103"/>
        <v>23</v>
      </c>
      <c r="M1025" s="11">
        <v>425475.0</v>
      </c>
      <c r="N1025" s="11">
        <v>1788.0</v>
      </c>
      <c r="O1025" s="4"/>
      <c r="P1025" s="11">
        <v>0.0</v>
      </c>
      <c r="Q1025" s="15">
        <v>0.0</v>
      </c>
      <c r="R1025" s="22">
        <v>0.0</v>
      </c>
      <c r="S1025">
        <f t="shared" si="1"/>
        <v>2004</v>
      </c>
      <c r="T1025">
        <f t="shared" si="2"/>
        <v>5</v>
      </c>
      <c r="AF1025" s="18"/>
      <c r="AG1025" s="19"/>
      <c r="AL1025" s="18"/>
      <c r="AM1025" s="19"/>
    </row>
    <row r="1026">
      <c r="A1026" s="4" t="s">
        <v>320</v>
      </c>
      <c r="B1026" s="10">
        <v>38106.0</v>
      </c>
      <c r="C1026" s="11" t="s">
        <v>159</v>
      </c>
      <c r="D1026" s="11" t="s">
        <v>51</v>
      </c>
      <c r="E1026" s="14" t="s">
        <v>52</v>
      </c>
      <c r="F1026" s="11" t="s">
        <v>53</v>
      </c>
      <c r="G1026" s="22" t="s">
        <v>83</v>
      </c>
      <c r="H1026" s="14"/>
      <c r="I1026" s="14"/>
      <c r="J1026" s="11">
        <v>27.0</v>
      </c>
      <c r="K1026" s="13">
        <v>38515.0</v>
      </c>
      <c r="L1026" s="11">
        <f t="shared" si="103"/>
        <v>13</v>
      </c>
      <c r="M1026" s="11">
        <v>407845.0</v>
      </c>
      <c r="N1026" s="11">
        <v>494.0</v>
      </c>
      <c r="O1026" s="4" t="s">
        <v>59</v>
      </c>
      <c r="P1026" s="11">
        <v>720.0</v>
      </c>
      <c r="Q1026" s="15">
        <v>718.0</v>
      </c>
      <c r="R1026" s="22">
        <v>1.0</v>
      </c>
      <c r="S1026">
        <f t="shared" si="1"/>
        <v>2004</v>
      </c>
      <c r="T1026">
        <f t="shared" si="2"/>
        <v>4</v>
      </c>
      <c r="AF1026" s="18"/>
      <c r="AG1026" s="19"/>
      <c r="AL1026" s="18"/>
      <c r="AM1026" s="19"/>
    </row>
    <row r="1027">
      <c r="A1027" s="4" t="s">
        <v>2333</v>
      </c>
      <c r="B1027" s="10">
        <v>38099.0</v>
      </c>
      <c r="C1027" s="11" t="s">
        <v>138</v>
      </c>
      <c r="D1027" s="11" t="s">
        <v>51</v>
      </c>
      <c r="E1027" s="14" t="s">
        <v>52</v>
      </c>
      <c r="F1027" s="11" t="s">
        <v>53</v>
      </c>
      <c r="G1027" s="22" t="s">
        <v>83</v>
      </c>
      <c r="H1027" s="14"/>
      <c r="I1027" s="14"/>
      <c r="J1027" s="11">
        <v>25.0</v>
      </c>
      <c r="K1027" s="13">
        <v>38597.0</v>
      </c>
      <c r="L1027" s="11">
        <f t="shared" si="103"/>
        <v>16</v>
      </c>
      <c r="M1027" s="11">
        <v>425428.0</v>
      </c>
      <c r="N1027" s="11">
        <v>1827.0</v>
      </c>
      <c r="O1027" s="4" t="s">
        <v>59</v>
      </c>
      <c r="P1027" s="11">
        <v>3.0</v>
      </c>
      <c r="Q1027" s="15">
        <v>6.667</v>
      </c>
      <c r="R1027" s="22">
        <v>0.0</v>
      </c>
      <c r="S1027">
        <f t="shared" si="1"/>
        <v>2004</v>
      </c>
      <c r="T1027">
        <f t="shared" si="2"/>
        <v>4</v>
      </c>
      <c r="AF1027" s="18"/>
      <c r="AG1027" s="19"/>
      <c r="AL1027" s="18"/>
      <c r="AM1027" s="19"/>
    </row>
    <row r="1028">
      <c r="A1028" s="4" t="s">
        <v>2334</v>
      </c>
      <c r="B1028" s="10">
        <v>38078.0</v>
      </c>
      <c r="C1028" s="11" t="s">
        <v>209</v>
      </c>
      <c r="D1028" s="11" t="s">
        <v>170</v>
      </c>
      <c r="E1028" s="14" t="s">
        <v>52</v>
      </c>
      <c r="F1028" s="11" t="s">
        <v>53</v>
      </c>
      <c r="G1028" s="22" t="s">
        <v>83</v>
      </c>
      <c r="H1028" s="14"/>
      <c r="I1028" s="14"/>
      <c r="J1028" s="11">
        <v>17.0</v>
      </c>
      <c r="K1028" s="13">
        <v>38900.0</v>
      </c>
      <c r="L1028" s="14"/>
      <c r="M1028" s="11">
        <v>474039.0</v>
      </c>
      <c r="N1028" s="11">
        <v>1330.0</v>
      </c>
      <c r="P1028" s="11">
        <v>84.0</v>
      </c>
      <c r="Q1028" s="15">
        <v>93.333</v>
      </c>
      <c r="R1028" s="22">
        <v>1.0</v>
      </c>
      <c r="S1028">
        <f t="shared" si="1"/>
        <v>2004</v>
      </c>
      <c r="T1028">
        <f t="shared" si="2"/>
        <v>4</v>
      </c>
      <c r="AF1028" s="18"/>
      <c r="AG1028" s="19"/>
      <c r="AL1028" s="18"/>
      <c r="AM1028" s="19"/>
    </row>
    <row r="1029">
      <c r="A1029" s="4" t="s">
        <v>2335</v>
      </c>
      <c r="B1029" s="10">
        <v>38077.0</v>
      </c>
      <c r="C1029" s="11" t="s">
        <v>123</v>
      </c>
      <c r="D1029" s="11" t="s">
        <v>151</v>
      </c>
      <c r="E1029" s="14" t="s">
        <v>52</v>
      </c>
      <c r="F1029" s="11" t="s">
        <v>76</v>
      </c>
      <c r="G1029" s="14" t="s">
        <v>54</v>
      </c>
      <c r="H1029" s="11" t="s">
        <v>302</v>
      </c>
      <c r="I1029" s="11" t="s">
        <v>302</v>
      </c>
      <c r="J1029" s="11">
        <v>21.0</v>
      </c>
      <c r="K1029" s="13">
        <v>38538.0</v>
      </c>
      <c r="L1029" s="11">
        <f t="shared" ref="L1029:L1033" si="104">ROUND(((K1029-B1029)/365)*12)</f>
        <v>15</v>
      </c>
      <c r="M1029" s="11">
        <v>488846.0</v>
      </c>
      <c r="N1029" s="11">
        <v>4064.0</v>
      </c>
      <c r="P1029" s="11">
        <v>368.0</v>
      </c>
      <c r="Q1029" s="15">
        <v>663.667</v>
      </c>
      <c r="R1029" s="22">
        <v>1.0</v>
      </c>
      <c r="S1029">
        <f t="shared" si="1"/>
        <v>2004</v>
      </c>
      <c r="T1029">
        <f t="shared" si="2"/>
        <v>3</v>
      </c>
      <c r="AF1029" s="18"/>
      <c r="AG1029" s="19"/>
      <c r="AL1029" s="18"/>
      <c r="AM1029" s="19"/>
    </row>
    <row r="1030">
      <c r="A1030" s="4" t="s">
        <v>2336</v>
      </c>
      <c r="B1030" s="10">
        <v>38075.0</v>
      </c>
      <c r="C1030" s="11" t="s">
        <v>229</v>
      </c>
      <c r="D1030" s="11" t="s">
        <v>51</v>
      </c>
      <c r="E1030" s="14" t="s">
        <v>52</v>
      </c>
      <c r="F1030" s="11" t="s">
        <v>53</v>
      </c>
      <c r="G1030" s="22" t="s">
        <v>83</v>
      </c>
      <c r="H1030" s="14"/>
      <c r="I1030" s="14"/>
      <c r="J1030" s="11">
        <v>23.0</v>
      </c>
      <c r="K1030" s="13">
        <v>38828.0</v>
      </c>
      <c r="L1030" s="11">
        <f t="shared" si="104"/>
        <v>25</v>
      </c>
      <c r="M1030" s="11">
        <v>407900.0</v>
      </c>
      <c r="N1030" s="11">
        <v>586.0</v>
      </c>
      <c r="O1030" s="4" t="s">
        <v>704</v>
      </c>
      <c r="P1030" s="11">
        <v>3.0</v>
      </c>
      <c r="Q1030" s="15">
        <v>7.667</v>
      </c>
      <c r="R1030" s="22">
        <v>0.0</v>
      </c>
      <c r="S1030">
        <f t="shared" si="1"/>
        <v>2004</v>
      </c>
      <c r="T1030">
        <f t="shared" si="2"/>
        <v>3</v>
      </c>
      <c r="AF1030" s="18"/>
      <c r="AG1030" s="19"/>
      <c r="AL1030" s="18"/>
      <c r="AM1030" s="19"/>
    </row>
    <row r="1031">
      <c r="A1031" s="4" t="s">
        <v>2337</v>
      </c>
      <c r="B1031" s="10">
        <v>38061.0</v>
      </c>
      <c r="C1031" s="11" t="s">
        <v>382</v>
      </c>
      <c r="D1031" s="11" t="s">
        <v>82</v>
      </c>
      <c r="E1031" s="22" t="s">
        <v>2338</v>
      </c>
      <c r="F1031" s="11" t="s">
        <v>76</v>
      </c>
      <c r="G1031" s="14" t="s">
        <v>54</v>
      </c>
      <c r="H1031" s="11" t="s">
        <v>412</v>
      </c>
      <c r="I1031" s="11" t="s">
        <v>2339</v>
      </c>
      <c r="J1031" s="11">
        <v>24.0</v>
      </c>
      <c r="K1031" s="13">
        <v>38446.0</v>
      </c>
      <c r="L1031" s="11">
        <f t="shared" si="104"/>
        <v>13</v>
      </c>
      <c r="M1031" s="11">
        <v>430622.0</v>
      </c>
      <c r="N1031" s="11">
        <v>1940.0</v>
      </c>
      <c r="P1031" s="11">
        <v>476.0</v>
      </c>
      <c r="Q1031" s="15">
        <v>1272.0</v>
      </c>
      <c r="R1031" s="22">
        <v>0.0</v>
      </c>
      <c r="S1031">
        <f t="shared" si="1"/>
        <v>2004</v>
      </c>
      <c r="T1031">
        <f t="shared" si="2"/>
        <v>3</v>
      </c>
      <c r="AF1031" s="18"/>
      <c r="AG1031" s="19"/>
      <c r="AL1031" s="18"/>
      <c r="AM1031" s="19"/>
    </row>
    <row r="1032">
      <c r="A1032" s="4" t="s">
        <v>2340</v>
      </c>
      <c r="B1032" s="10">
        <v>38053.0</v>
      </c>
      <c r="C1032" s="11" t="s">
        <v>259</v>
      </c>
      <c r="D1032" s="11" t="s">
        <v>82</v>
      </c>
      <c r="E1032" s="14" t="s">
        <v>52</v>
      </c>
      <c r="F1032" s="11" t="s">
        <v>76</v>
      </c>
      <c r="G1032" s="14" t="s">
        <v>54</v>
      </c>
      <c r="H1032" s="11" t="s">
        <v>449</v>
      </c>
      <c r="I1032" s="11"/>
      <c r="J1032" s="11">
        <v>23.0</v>
      </c>
      <c r="K1032" s="13">
        <v>38450.0</v>
      </c>
      <c r="L1032" s="11">
        <f t="shared" si="104"/>
        <v>13</v>
      </c>
      <c r="M1032" s="11">
        <v>408096.0</v>
      </c>
      <c r="N1032" s="11" t="s">
        <v>2341</v>
      </c>
      <c r="P1032" s="11">
        <v>0.0</v>
      </c>
      <c r="Q1032" s="15">
        <v>0.0</v>
      </c>
      <c r="R1032" s="22">
        <v>0.0</v>
      </c>
      <c r="S1032">
        <f t="shared" si="1"/>
        <v>2004</v>
      </c>
      <c r="T1032">
        <f t="shared" si="2"/>
        <v>3</v>
      </c>
      <c r="AF1032" s="18"/>
      <c r="AG1032" s="19"/>
      <c r="AL1032" s="18"/>
      <c r="AM1032" s="19"/>
    </row>
    <row r="1033">
      <c r="A1033" s="4" t="s">
        <v>1013</v>
      </c>
      <c r="B1033" s="10">
        <v>38050.0</v>
      </c>
      <c r="C1033" s="11" t="s">
        <v>159</v>
      </c>
      <c r="D1033" s="11" t="s">
        <v>51</v>
      </c>
      <c r="E1033" s="14" t="s">
        <v>52</v>
      </c>
      <c r="F1033" s="11" t="s">
        <v>53</v>
      </c>
      <c r="G1033" s="14" t="s">
        <v>54</v>
      </c>
      <c r="H1033" s="11" t="s">
        <v>305</v>
      </c>
      <c r="I1033" s="11" t="s">
        <v>2342</v>
      </c>
      <c r="J1033" s="11">
        <v>27.0</v>
      </c>
      <c r="K1033" s="13">
        <v>38487.0</v>
      </c>
      <c r="L1033" s="11">
        <f t="shared" si="104"/>
        <v>14</v>
      </c>
      <c r="M1033" s="11">
        <v>400050.0</v>
      </c>
      <c r="N1033" s="11">
        <v>1668.0</v>
      </c>
      <c r="O1033" s="4" t="s">
        <v>59</v>
      </c>
      <c r="P1033" s="11">
        <v>121.0</v>
      </c>
      <c r="Q1033" s="32">
        <v>142.0</v>
      </c>
      <c r="R1033" s="22">
        <v>0.0</v>
      </c>
      <c r="S1033">
        <f t="shared" si="1"/>
        <v>2004</v>
      </c>
      <c r="T1033">
        <f t="shared" si="2"/>
        <v>3</v>
      </c>
      <c r="AF1033" s="18"/>
      <c r="AG1033" s="19"/>
      <c r="AL1033" s="18"/>
      <c r="AM1033" s="19"/>
    </row>
    <row r="1034">
      <c r="A1034" s="4" t="s">
        <v>2343</v>
      </c>
      <c r="B1034" s="10">
        <v>37987.0</v>
      </c>
      <c r="C1034" s="11" t="s">
        <v>96</v>
      </c>
      <c r="D1034" s="11" t="s">
        <v>151</v>
      </c>
      <c r="E1034" s="11" t="s">
        <v>52</v>
      </c>
      <c r="F1034" s="11" t="s">
        <v>76</v>
      </c>
      <c r="G1034" s="11" t="s">
        <v>54</v>
      </c>
      <c r="H1034" s="11" t="s">
        <v>260</v>
      </c>
      <c r="I1034" s="11" t="s">
        <v>2106</v>
      </c>
      <c r="J1034" s="11">
        <v>19.0</v>
      </c>
      <c r="K1034" s="13">
        <v>39258.0</v>
      </c>
      <c r="L1034" s="14"/>
      <c r="M1034" s="11">
        <v>453186.0</v>
      </c>
      <c r="N1034" s="11">
        <v>885.0</v>
      </c>
      <c r="O1034" s="4" t="s">
        <v>2344</v>
      </c>
      <c r="P1034" s="11">
        <v>50.0</v>
      </c>
      <c r="Q1034" s="15">
        <v>46.667</v>
      </c>
      <c r="R1034" s="22">
        <v>0.0</v>
      </c>
      <c r="S1034">
        <f t="shared" si="1"/>
        <v>2004</v>
      </c>
      <c r="T1034">
        <f t="shared" si="2"/>
        <v>1</v>
      </c>
      <c r="AF1034" s="18"/>
      <c r="AG1034" s="19"/>
      <c r="AL1034" s="18"/>
      <c r="AM1034" s="19"/>
    </row>
    <row r="1035">
      <c r="A1035" s="4" t="s">
        <v>2345</v>
      </c>
      <c r="B1035" s="10">
        <v>37987.0</v>
      </c>
      <c r="C1035" s="11" t="s">
        <v>96</v>
      </c>
      <c r="D1035" s="11" t="s">
        <v>82</v>
      </c>
      <c r="E1035" s="14" t="s">
        <v>52</v>
      </c>
      <c r="F1035" s="11" t="s">
        <v>53</v>
      </c>
      <c r="G1035" s="14" t="s">
        <v>54</v>
      </c>
      <c r="H1035" s="11" t="s">
        <v>305</v>
      </c>
      <c r="I1035" s="11" t="s">
        <v>2346</v>
      </c>
      <c r="J1035" s="11">
        <v>23.0</v>
      </c>
      <c r="K1035" s="13">
        <v>38603.0</v>
      </c>
      <c r="L1035" s="14"/>
      <c r="M1035" s="11">
        <v>430962.0</v>
      </c>
      <c r="N1035" s="11">
        <v>4426.0</v>
      </c>
      <c r="P1035" s="11">
        <v>119.0</v>
      </c>
      <c r="Q1035" s="15">
        <v>268.0</v>
      </c>
      <c r="R1035" s="22">
        <v>0.0</v>
      </c>
      <c r="S1035">
        <f t="shared" si="1"/>
        <v>2004</v>
      </c>
      <c r="T1035">
        <f t="shared" si="2"/>
        <v>1</v>
      </c>
      <c r="AF1035" s="18"/>
      <c r="AG1035" s="19"/>
      <c r="AL1035" s="18"/>
      <c r="AM1035" s="19"/>
    </row>
    <row r="1036">
      <c r="A1036" s="4" t="s">
        <v>2347</v>
      </c>
      <c r="B1036" s="10">
        <v>37987.0</v>
      </c>
      <c r="C1036" s="11" t="s">
        <v>142</v>
      </c>
      <c r="D1036" s="11" t="s">
        <v>124</v>
      </c>
      <c r="E1036" s="11" t="s">
        <v>52</v>
      </c>
      <c r="F1036" s="11" t="s">
        <v>76</v>
      </c>
      <c r="G1036" s="11" t="s">
        <v>54</v>
      </c>
      <c r="H1036" s="11" t="s">
        <v>92</v>
      </c>
      <c r="I1036" s="11"/>
      <c r="J1036" s="11">
        <v>19.0</v>
      </c>
      <c r="K1036" s="13">
        <v>38718.0</v>
      </c>
      <c r="L1036" s="14"/>
      <c r="M1036" s="11">
        <v>457456.0</v>
      </c>
      <c r="N1036" s="11">
        <v>5559.0</v>
      </c>
      <c r="P1036" s="11">
        <v>72.0</v>
      </c>
      <c r="Q1036" s="15">
        <v>337.0</v>
      </c>
      <c r="R1036" s="22">
        <v>1.0</v>
      </c>
      <c r="S1036">
        <f t="shared" si="1"/>
        <v>2004</v>
      </c>
      <c r="T1036">
        <f t="shared" si="2"/>
        <v>1</v>
      </c>
      <c r="AF1036" s="18"/>
      <c r="AG1036" s="19"/>
      <c r="AL1036" s="18"/>
      <c r="AM1036" s="19"/>
    </row>
    <row r="1037">
      <c r="A1037" s="4" t="s">
        <v>2348</v>
      </c>
      <c r="B1037" s="10">
        <v>37987.0</v>
      </c>
      <c r="C1037" s="11" t="s">
        <v>133</v>
      </c>
      <c r="D1037" s="11" t="s">
        <v>124</v>
      </c>
      <c r="E1037" s="14" t="s">
        <v>52</v>
      </c>
      <c r="F1037" s="11" t="s">
        <v>53</v>
      </c>
      <c r="G1037" s="14" t="s">
        <v>54</v>
      </c>
      <c r="H1037" s="11" t="s">
        <v>260</v>
      </c>
      <c r="I1037" s="11"/>
      <c r="J1037" s="11">
        <v>21.0</v>
      </c>
      <c r="K1037" s="13"/>
      <c r="L1037" s="14"/>
      <c r="M1037" s="11">
        <v>444142.0</v>
      </c>
      <c r="N1037" s="11"/>
      <c r="P1037" s="11">
        <v>0.0</v>
      </c>
      <c r="Q1037" s="15">
        <v>0.0</v>
      </c>
      <c r="R1037" s="22">
        <v>0.0</v>
      </c>
      <c r="S1037">
        <f t="shared" si="1"/>
        <v>2004</v>
      </c>
      <c r="T1037">
        <f t="shared" si="2"/>
        <v>1</v>
      </c>
      <c r="AF1037" s="18"/>
      <c r="AG1037" s="19"/>
      <c r="AL1037" s="18"/>
      <c r="AM1037" s="19"/>
    </row>
    <row r="1038">
      <c r="A1038" s="4" t="s">
        <v>1005</v>
      </c>
      <c r="B1038" s="10">
        <v>37987.0</v>
      </c>
      <c r="C1038" s="11" t="s">
        <v>119</v>
      </c>
      <c r="D1038" s="11" t="s">
        <v>82</v>
      </c>
      <c r="E1038" s="14" t="s">
        <v>52</v>
      </c>
      <c r="F1038" s="11" t="s">
        <v>53</v>
      </c>
      <c r="G1038" s="22" t="s">
        <v>312</v>
      </c>
      <c r="H1038" s="14"/>
      <c r="I1038" s="14"/>
      <c r="J1038" s="11">
        <v>27.0</v>
      </c>
      <c r="K1038" s="14"/>
      <c r="L1038" s="14"/>
      <c r="M1038" s="11">
        <v>463562.0</v>
      </c>
      <c r="N1038" s="11"/>
      <c r="P1038" s="11">
        <v>0.0</v>
      </c>
      <c r="Q1038" s="15">
        <v>0.0</v>
      </c>
      <c r="R1038" s="22">
        <v>0.0</v>
      </c>
      <c r="S1038">
        <f t="shared" si="1"/>
        <v>2004</v>
      </c>
      <c r="T1038">
        <f t="shared" si="2"/>
        <v>1</v>
      </c>
      <c r="AF1038" s="18"/>
      <c r="AG1038" s="19"/>
      <c r="AL1038" s="18"/>
      <c r="AM1038" s="19"/>
    </row>
    <row r="1039">
      <c r="A1039" s="4" t="s">
        <v>2349</v>
      </c>
      <c r="B1039" s="10">
        <v>37987.0</v>
      </c>
      <c r="C1039" s="11" t="s">
        <v>119</v>
      </c>
      <c r="D1039" s="11" t="s">
        <v>110</v>
      </c>
      <c r="E1039" s="14" t="s">
        <v>52</v>
      </c>
      <c r="F1039" s="11" t="s">
        <v>76</v>
      </c>
      <c r="G1039" s="14" t="s">
        <v>54</v>
      </c>
      <c r="H1039" s="11" t="s">
        <v>92</v>
      </c>
      <c r="I1039" s="11" t="s">
        <v>2350</v>
      </c>
      <c r="J1039" s="11">
        <v>22.0</v>
      </c>
      <c r="K1039" s="13">
        <v>38450.0</v>
      </c>
      <c r="L1039" s="14"/>
      <c r="M1039" s="11">
        <v>430597.0</v>
      </c>
      <c r="N1039" s="11">
        <v>8598.0</v>
      </c>
      <c r="P1039" s="11">
        <v>87.0</v>
      </c>
      <c r="Q1039" s="15">
        <v>151.0</v>
      </c>
      <c r="R1039" s="22">
        <v>0.0</v>
      </c>
      <c r="S1039">
        <f t="shared" si="1"/>
        <v>2004</v>
      </c>
      <c r="T1039">
        <f t="shared" si="2"/>
        <v>1</v>
      </c>
      <c r="AF1039" s="18"/>
      <c r="AG1039" s="19"/>
      <c r="AL1039" s="18"/>
      <c r="AM1039" s="19"/>
    </row>
    <row r="1040">
      <c r="A1040" s="4" t="s">
        <v>2351</v>
      </c>
      <c r="B1040" s="10">
        <v>37987.0</v>
      </c>
      <c r="C1040" s="11" t="s">
        <v>169</v>
      </c>
      <c r="D1040" s="11" t="s">
        <v>170</v>
      </c>
      <c r="E1040" s="14" t="s">
        <v>52</v>
      </c>
      <c r="F1040" s="11" t="s">
        <v>53</v>
      </c>
      <c r="G1040" s="14" t="s">
        <v>54</v>
      </c>
      <c r="H1040" s="11" t="s">
        <v>1312</v>
      </c>
      <c r="I1040" s="11" t="s">
        <v>1312</v>
      </c>
      <c r="J1040" s="11">
        <v>20.0</v>
      </c>
      <c r="K1040" s="13">
        <v>39262.0</v>
      </c>
      <c r="L1040" s="14"/>
      <c r="M1040" s="11">
        <v>456955.0</v>
      </c>
      <c r="N1040" s="11" t="s">
        <v>2352</v>
      </c>
      <c r="P1040" s="11">
        <v>0.0</v>
      </c>
      <c r="Q1040" s="15">
        <v>0.0</v>
      </c>
      <c r="R1040" s="22">
        <v>0.0</v>
      </c>
      <c r="S1040">
        <f t="shared" si="1"/>
        <v>2004</v>
      </c>
      <c r="T1040">
        <f t="shared" si="2"/>
        <v>1</v>
      </c>
      <c r="AF1040" s="18"/>
      <c r="AG1040" s="19"/>
      <c r="AL1040" s="18"/>
      <c r="AM1040" s="19"/>
    </row>
    <row r="1041">
      <c r="A1041" s="4" t="s">
        <v>2353</v>
      </c>
      <c r="B1041" s="10">
        <v>37987.0</v>
      </c>
      <c r="C1041" s="11" t="s">
        <v>159</v>
      </c>
      <c r="D1041" s="11" t="s">
        <v>82</v>
      </c>
      <c r="E1041" s="14" t="s">
        <v>52</v>
      </c>
      <c r="F1041" s="11" t="s">
        <v>53</v>
      </c>
      <c r="G1041" s="14" t="s">
        <v>54</v>
      </c>
      <c r="H1041" s="11" t="s">
        <v>344</v>
      </c>
      <c r="I1041" s="11" t="s">
        <v>2354</v>
      </c>
      <c r="J1041" s="11">
        <v>23.0</v>
      </c>
      <c r="K1041" s="13">
        <v>38550.0</v>
      </c>
      <c r="L1041" s="14"/>
      <c r="M1041" s="11">
        <v>425830.0</v>
      </c>
      <c r="N1041" s="11" t="s">
        <v>2355</v>
      </c>
      <c r="P1041" s="11">
        <v>0.0</v>
      </c>
      <c r="Q1041" s="15">
        <v>0.0</v>
      </c>
      <c r="R1041" s="22">
        <v>0.0</v>
      </c>
      <c r="S1041">
        <f t="shared" si="1"/>
        <v>2004</v>
      </c>
      <c r="T1041">
        <f t="shared" si="2"/>
        <v>1</v>
      </c>
      <c r="AF1041" s="18"/>
      <c r="AG1041" s="19"/>
      <c r="AL1041" s="18"/>
      <c r="AM1041" s="19"/>
    </row>
    <row r="1042">
      <c r="A1042" s="4" t="s">
        <v>2356</v>
      </c>
      <c r="B1042" s="10">
        <v>37987.0</v>
      </c>
      <c r="C1042" s="11" t="s">
        <v>108</v>
      </c>
      <c r="D1042" s="11" t="s">
        <v>110</v>
      </c>
      <c r="E1042" s="14" t="s">
        <v>52</v>
      </c>
      <c r="F1042" s="11" t="s">
        <v>76</v>
      </c>
      <c r="G1042" s="14" t="s">
        <v>54</v>
      </c>
      <c r="H1042" s="11" t="s">
        <v>260</v>
      </c>
      <c r="I1042" s="11"/>
      <c r="J1042" s="11">
        <v>21.0</v>
      </c>
      <c r="K1042" s="13">
        <v>38452.0</v>
      </c>
      <c r="L1042" s="14"/>
      <c r="M1042" s="11">
        <v>445229.0</v>
      </c>
      <c r="N1042" s="11" t="s">
        <v>2357</v>
      </c>
      <c r="P1042" s="11">
        <v>0.0</v>
      </c>
      <c r="Q1042" s="15">
        <v>0.0</v>
      </c>
      <c r="R1042" s="22">
        <v>0.0</v>
      </c>
      <c r="S1042">
        <f t="shared" si="1"/>
        <v>2004</v>
      </c>
      <c r="T1042">
        <f t="shared" si="2"/>
        <v>1</v>
      </c>
      <c r="AF1042" s="18"/>
      <c r="AG1042" s="19"/>
      <c r="AL1042" s="18"/>
      <c r="AM1042" s="19"/>
    </row>
    <row r="1043">
      <c r="A1043" s="4" t="s">
        <v>1344</v>
      </c>
      <c r="B1043" s="10">
        <v>37987.0</v>
      </c>
      <c r="C1043" s="11" t="s">
        <v>108</v>
      </c>
      <c r="D1043" s="11" t="s">
        <v>170</v>
      </c>
      <c r="E1043" s="11" t="s">
        <v>52</v>
      </c>
      <c r="F1043" s="11" t="s">
        <v>76</v>
      </c>
      <c r="G1043" s="11" t="s">
        <v>1454</v>
      </c>
      <c r="H1043" s="14"/>
      <c r="I1043" s="14"/>
      <c r="J1043" s="11">
        <v>17.0</v>
      </c>
      <c r="K1043" s="13">
        <v>41366.0</v>
      </c>
      <c r="L1043" s="14"/>
      <c r="M1043" s="11">
        <v>547943.0</v>
      </c>
      <c r="N1043" s="11">
        <v>14444.0</v>
      </c>
      <c r="P1043" s="11">
        <v>57.0</v>
      </c>
      <c r="Q1043" s="15">
        <v>348.667</v>
      </c>
      <c r="R1043" s="22">
        <v>1.0</v>
      </c>
      <c r="S1043">
        <f t="shared" si="1"/>
        <v>2004</v>
      </c>
      <c r="T1043">
        <f t="shared" si="2"/>
        <v>1</v>
      </c>
      <c r="AF1043" s="18"/>
      <c r="AG1043" s="19"/>
      <c r="AL1043" s="18"/>
      <c r="AM1043" s="19"/>
    </row>
    <row r="1044">
      <c r="A1044" s="4" t="s">
        <v>2358</v>
      </c>
      <c r="B1044" s="10">
        <v>37987.0</v>
      </c>
      <c r="C1044" s="11" t="s">
        <v>81</v>
      </c>
      <c r="D1044" s="11" t="s">
        <v>170</v>
      </c>
      <c r="E1044" s="14" t="s">
        <v>52</v>
      </c>
      <c r="F1044" s="11" t="s">
        <v>53</v>
      </c>
      <c r="G1044" s="22" t="s">
        <v>83</v>
      </c>
      <c r="H1044" s="14"/>
      <c r="I1044" s="14"/>
      <c r="J1044" s="11">
        <v>19.0</v>
      </c>
      <c r="K1044" s="13">
        <v>38353.0</v>
      </c>
      <c r="L1044" s="14"/>
      <c r="M1044" s="11">
        <v>464340.0</v>
      </c>
      <c r="N1044" s="11" t="s">
        <v>2359</v>
      </c>
      <c r="P1044" s="11">
        <v>0.0</v>
      </c>
      <c r="Q1044" s="15">
        <v>0.0</v>
      </c>
      <c r="R1044" s="22">
        <v>0.0</v>
      </c>
      <c r="S1044">
        <f t="shared" si="1"/>
        <v>2004</v>
      </c>
      <c r="T1044">
        <f t="shared" si="2"/>
        <v>1</v>
      </c>
      <c r="AF1044" s="18"/>
      <c r="AG1044" s="19"/>
      <c r="AL1044" s="18"/>
      <c r="AM1044" s="19"/>
    </row>
    <row r="1045">
      <c r="A1045" s="4" t="s">
        <v>2360</v>
      </c>
      <c r="B1045" s="10">
        <v>37987.0</v>
      </c>
      <c r="C1045" s="11" t="s">
        <v>81</v>
      </c>
      <c r="D1045" s="11" t="s">
        <v>110</v>
      </c>
      <c r="E1045" s="14" t="s">
        <v>52</v>
      </c>
      <c r="F1045" s="11" t="s">
        <v>76</v>
      </c>
      <c r="G1045" s="14" t="s">
        <v>54</v>
      </c>
      <c r="H1045" s="11" t="s">
        <v>2283</v>
      </c>
      <c r="I1045" s="11"/>
      <c r="J1045" s="11">
        <v>20.0</v>
      </c>
      <c r="K1045" s="13">
        <v>38591.0</v>
      </c>
      <c r="L1045" s="14"/>
      <c r="M1045" s="11">
        <v>445589.0</v>
      </c>
      <c r="N1045" s="11" t="s">
        <v>2361</v>
      </c>
      <c r="P1045" s="11">
        <v>0.0</v>
      </c>
      <c r="Q1045" s="15">
        <v>0.0</v>
      </c>
      <c r="R1045" s="22">
        <v>0.0</v>
      </c>
      <c r="S1045">
        <f t="shared" si="1"/>
        <v>2004</v>
      </c>
      <c r="T1045">
        <f t="shared" si="2"/>
        <v>1</v>
      </c>
      <c r="AF1045" s="18"/>
      <c r="AG1045" s="19"/>
      <c r="AL1045" s="18"/>
      <c r="AM1045" s="19"/>
    </row>
    <row r="1046">
      <c r="A1046" s="4" t="s">
        <v>2362</v>
      </c>
      <c r="B1046" s="10">
        <v>37987.0</v>
      </c>
      <c r="C1046" s="11" t="s">
        <v>331</v>
      </c>
      <c r="D1046" s="11" t="s">
        <v>110</v>
      </c>
      <c r="E1046" s="11" t="s">
        <v>52</v>
      </c>
      <c r="F1046" s="11" t="s">
        <v>53</v>
      </c>
      <c r="G1046" s="11" t="s">
        <v>54</v>
      </c>
      <c r="H1046" s="11" t="s">
        <v>279</v>
      </c>
      <c r="I1046" s="11" t="s">
        <v>2363</v>
      </c>
      <c r="J1046" s="11">
        <v>22.0</v>
      </c>
      <c r="K1046" s="13">
        <v>38353.0</v>
      </c>
      <c r="L1046" s="14"/>
      <c r="M1046" s="11">
        <v>430616.0</v>
      </c>
      <c r="N1046" s="11" t="s">
        <v>2364</v>
      </c>
      <c r="P1046" s="11">
        <v>0.0</v>
      </c>
      <c r="Q1046" s="15">
        <v>0.0</v>
      </c>
      <c r="R1046" s="22">
        <v>0.0</v>
      </c>
      <c r="S1046">
        <f t="shared" si="1"/>
        <v>2004</v>
      </c>
      <c r="T1046">
        <f t="shared" si="2"/>
        <v>1</v>
      </c>
      <c r="AF1046" s="18"/>
      <c r="AG1046" s="19"/>
      <c r="AL1046" s="18"/>
      <c r="AM1046" s="19"/>
    </row>
    <row r="1047">
      <c r="A1047" s="4" t="s">
        <v>2365</v>
      </c>
      <c r="B1047" s="10">
        <v>37987.0</v>
      </c>
      <c r="C1047" s="11" t="s">
        <v>331</v>
      </c>
      <c r="D1047" s="11" t="s">
        <v>124</v>
      </c>
      <c r="E1047" s="14" t="s">
        <v>52</v>
      </c>
      <c r="F1047" s="11" t="s">
        <v>53</v>
      </c>
      <c r="G1047" s="14" t="s">
        <v>54</v>
      </c>
      <c r="H1047" s="11" t="s">
        <v>279</v>
      </c>
      <c r="I1047" s="11" t="s">
        <v>1751</v>
      </c>
      <c r="J1047" s="11">
        <v>21.0</v>
      </c>
      <c r="K1047" s="13">
        <v>38459.0</v>
      </c>
      <c r="L1047" s="14"/>
      <c r="M1047" s="11">
        <v>445971.0</v>
      </c>
      <c r="N1047" s="11">
        <v>3775.0</v>
      </c>
      <c r="P1047" s="11">
        <v>57.0</v>
      </c>
      <c r="Q1047" s="15">
        <v>58.0</v>
      </c>
      <c r="R1047" s="22">
        <v>0.0</v>
      </c>
      <c r="S1047">
        <f t="shared" si="1"/>
        <v>2004</v>
      </c>
      <c r="T1047">
        <f t="shared" si="2"/>
        <v>1</v>
      </c>
      <c r="AF1047" s="18"/>
      <c r="AG1047" s="19"/>
      <c r="AL1047" s="18"/>
      <c r="AM1047" s="19"/>
    </row>
    <row r="1048">
      <c r="A1048" s="4" t="s">
        <v>2366</v>
      </c>
      <c r="B1048" s="10">
        <v>37987.0</v>
      </c>
      <c r="C1048" s="11" t="s">
        <v>114</v>
      </c>
      <c r="D1048" s="11" t="s">
        <v>170</v>
      </c>
      <c r="E1048" s="14" t="s">
        <v>52</v>
      </c>
      <c r="F1048" s="11" t="s">
        <v>76</v>
      </c>
      <c r="G1048" s="14" t="s">
        <v>54</v>
      </c>
      <c r="H1048" s="11" t="s">
        <v>112</v>
      </c>
      <c r="I1048" s="11" t="s">
        <v>2367</v>
      </c>
      <c r="J1048" s="11">
        <v>16.0</v>
      </c>
      <c r="K1048" s="13">
        <v>38890.0</v>
      </c>
      <c r="L1048" s="14"/>
      <c r="M1048" s="11">
        <v>488722.0</v>
      </c>
      <c r="N1048" s="11">
        <v>4553.0</v>
      </c>
      <c r="P1048" s="11">
        <v>71.0</v>
      </c>
      <c r="Q1048" s="15">
        <v>51.0</v>
      </c>
      <c r="R1048" s="22">
        <v>0.0</v>
      </c>
      <c r="S1048">
        <f t="shared" si="1"/>
        <v>2004</v>
      </c>
      <c r="T1048">
        <f t="shared" si="2"/>
        <v>1</v>
      </c>
      <c r="AF1048" s="18"/>
      <c r="AG1048" s="19"/>
      <c r="AL1048" s="18"/>
      <c r="AM1048" s="19"/>
    </row>
    <row r="1049">
      <c r="A1049" s="4" t="s">
        <v>2368</v>
      </c>
      <c r="B1049" s="10">
        <v>37987.0</v>
      </c>
      <c r="C1049" s="11" t="s">
        <v>123</v>
      </c>
      <c r="D1049" s="11" t="s">
        <v>124</v>
      </c>
      <c r="E1049" s="14" t="s">
        <v>52</v>
      </c>
      <c r="F1049" s="11" t="s">
        <v>53</v>
      </c>
      <c r="G1049" s="22" t="s">
        <v>172</v>
      </c>
      <c r="H1049" s="14"/>
      <c r="I1049" s="14"/>
      <c r="J1049" s="11">
        <v>20.0</v>
      </c>
      <c r="K1049" s="13">
        <v>38455.0</v>
      </c>
      <c r="L1049" s="14"/>
      <c r="M1049" s="11">
        <v>434879.0</v>
      </c>
      <c r="N1049" s="11" t="s">
        <v>2369</v>
      </c>
      <c r="P1049" s="11">
        <v>0.0</v>
      </c>
      <c r="Q1049" s="15">
        <v>0.0</v>
      </c>
      <c r="R1049" s="22">
        <v>0.0</v>
      </c>
      <c r="S1049">
        <f t="shared" si="1"/>
        <v>2004</v>
      </c>
      <c r="T1049">
        <f t="shared" si="2"/>
        <v>1</v>
      </c>
      <c r="AF1049" s="18"/>
      <c r="AG1049" s="19"/>
      <c r="AL1049" s="18"/>
      <c r="AM1049" s="19"/>
    </row>
    <row r="1050">
      <c r="A1050" s="4" t="s">
        <v>2370</v>
      </c>
      <c r="B1050" s="10">
        <v>37987.0</v>
      </c>
      <c r="C1050" s="11" t="s">
        <v>123</v>
      </c>
      <c r="D1050" s="11" t="s">
        <v>151</v>
      </c>
      <c r="E1050" s="14" t="s">
        <v>52</v>
      </c>
      <c r="F1050" s="11" t="s">
        <v>53</v>
      </c>
      <c r="G1050" s="14" t="s">
        <v>54</v>
      </c>
      <c r="H1050" s="11" t="s">
        <v>157</v>
      </c>
      <c r="I1050" s="11" t="s">
        <v>2371</v>
      </c>
      <c r="J1050" s="11">
        <v>19.0</v>
      </c>
      <c r="K1050" s="13">
        <v>38938.0</v>
      </c>
      <c r="L1050" s="14"/>
      <c r="M1050" s="11">
        <v>453249.0</v>
      </c>
      <c r="N1050" s="11">
        <v>6865.0</v>
      </c>
      <c r="P1050" s="11">
        <v>157.0</v>
      </c>
      <c r="Q1050" s="15">
        <v>222.0</v>
      </c>
      <c r="R1050" s="22">
        <v>1.0</v>
      </c>
      <c r="S1050">
        <f t="shared" si="1"/>
        <v>2004</v>
      </c>
      <c r="T1050">
        <f t="shared" si="2"/>
        <v>1</v>
      </c>
      <c r="AF1050" s="18"/>
      <c r="AG1050" s="19"/>
      <c r="AL1050" s="18"/>
      <c r="AM1050" s="19"/>
    </row>
    <row r="1051">
      <c r="A1051" s="4" t="s">
        <v>2372</v>
      </c>
      <c r="B1051" s="10">
        <v>37987.0</v>
      </c>
      <c r="C1051" s="11" t="s">
        <v>125</v>
      </c>
      <c r="D1051" s="11" t="s">
        <v>91</v>
      </c>
      <c r="E1051" s="14" t="s">
        <v>52</v>
      </c>
      <c r="F1051" s="11" t="s">
        <v>53</v>
      </c>
      <c r="G1051" s="22" t="s">
        <v>312</v>
      </c>
      <c r="H1051" s="14"/>
      <c r="I1051" s="14"/>
      <c r="J1051" s="11">
        <v>19.0</v>
      </c>
      <c r="K1051" s="13">
        <v>38531.0</v>
      </c>
      <c r="L1051" s="14"/>
      <c r="M1051" s="11">
        <v>451783.0</v>
      </c>
      <c r="N1051" s="11">
        <v>6200.0</v>
      </c>
      <c r="P1051" s="11">
        <v>0.0</v>
      </c>
      <c r="Q1051" s="15">
        <v>0.0</v>
      </c>
      <c r="R1051" s="22">
        <v>0.0</v>
      </c>
      <c r="S1051">
        <f t="shared" si="1"/>
        <v>2004</v>
      </c>
      <c r="T1051">
        <f t="shared" si="2"/>
        <v>1</v>
      </c>
      <c r="AF1051" s="18"/>
      <c r="AG1051" s="19"/>
      <c r="AL1051" s="18"/>
      <c r="AM1051" s="19"/>
    </row>
    <row r="1052">
      <c r="A1052" s="4" t="s">
        <v>2373</v>
      </c>
      <c r="B1052" s="10">
        <v>37987.0</v>
      </c>
      <c r="C1052" s="11" t="s">
        <v>49</v>
      </c>
      <c r="D1052" s="11" t="s">
        <v>151</v>
      </c>
      <c r="E1052" s="14" t="s">
        <v>52</v>
      </c>
      <c r="F1052" s="11" t="s">
        <v>53</v>
      </c>
      <c r="G1052" s="14" t="s">
        <v>54</v>
      </c>
      <c r="H1052" s="11" t="s">
        <v>337</v>
      </c>
      <c r="I1052" s="11" t="s">
        <v>1659</v>
      </c>
      <c r="J1052" s="11">
        <v>19.0</v>
      </c>
      <c r="K1052" s="13">
        <v>39252.0</v>
      </c>
      <c r="L1052" s="14"/>
      <c r="M1052" s="11">
        <v>460156.0</v>
      </c>
      <c r="N1052" s="11">
        <v>2267.0</v>
      </c>
      <c r="P1052" s="11">
        <v>173.0</v>
      </c>
      <c r="Q1052" s="15">
        <v>167.0</v>
      </c>
      <c r="R1052" s="22">
        <v>1.0</v>
      </c>
      <c r="S1052">
        <f t="shared" si="1"/>
        <v>2004</v>
      </c>
      <c r="T1052">
        <f t="shared" si="2"/>
        <v>1</v>
      </c>
      <c r="AF1052" s="18"/>
      <c r="AG1052" s="19"/>
      <c r="AL1052" s="18"/>
      <c r="AM1052" s="19"/>
    </row>
    <row r="1053">
      <c r="A1053" s="4" t="s">
        <v>2374</v>
      </c>
      <c r="B1053" s="10">
        <v>37987.0</v>
      </c>
      <c r="C1053" s="11" t="s">
        <v>156</v>
      </c>
      <c r="D1053" s="11" t="s">
        <v>75</v>
      </c>
      <c r="E1053" s="14" t="s">
        <v>52</v>
      </c>
      <c r="F1053" s="11" t="s">
        <v>76</v>
      </c>
      <c r="G1053" s="14" t="s">
        <v>54</v>
      </c>
      <c r="H1053" s="11" t="s">
        <v>260</v>
      </c>
      <c r="I1053" s="11" t="s">
        <v>2375</v>
      </c>
      <c r="J1053" s="11">
        <v>33.0</v>
      </c>
      <c r="K1053" s="14"/>
      <c r="L1053" s="14"/>
      <c r="M1053" s="11">
        <v>150227.0</v>
      </c>
      <c r="N1053" s="11">
        <v>1687.0</v>
      </c>
      <c r="O1053" s="4" t="s">
        <v>704</v>
      </c>
      <c r="P1053" s="11">
        <v>0.0</v>
      </c>
      <c r="Q1053" s="15">
        <v>0.0</v>
      </c>
      <c r="R1053" s="22">
        <v>0.0</v>
      </c>
      <c r="S1053">
        <f t="shared" si="1"/>
        <v>2004</v>
      </c>
      <c r="T1053">
        <f t="shared" si="2"/>
        <v>1</v>
      </c>
      <c r="AF1053" s="18"/>
      <c r="AG1053" s="19"/>
      <c r="AL1053" s="18"/>
      <c r="AM1053" s="19"/>
    </row>
    <row r="1054">
      <c r="A1054" s="4" t="s">
        <v>2295</v>
      </c>
      <c r="B1054" s="10">
        <v>37930.0</v>
      </c>
      <c r="C1054" s="11" t="s">
        <v>90</v>
      </c>
      <c r="D1054" s="11" t="s">
        <v>151</v>
      </c>
      <c r="E1054" s="14" t="s">
        <v>52</v>
      </c>
      <c r="F1054" s="11" t="s">
        <v>53</v>
      </c>
      <c r="G1054" s="22" t="s">
        <v>312</v>
      </c>
      <c r="H1054" s="14"/>
      <c r="I1054" s="14"/>
      <c r="J1054" s="11">
        <v>20.0</v>
      </c>
      <c r="K1054" s="13">
        <v>39190.0</v>
      </c>
      <c r="L1054" s="14"/>
      <c r="M1054" s="11">
        <v>446099.0</v>
      </c>
      <c r="N1054" s="11">
        <v>9059.0</v>
      </c>
      <c r="P1054" s="11">
        <v>471.0</v>
      </c>
      <c r="Q1054" s="15">
        <v>449.667</v>
      </c>
      <c r="R1054" s="22">
        <v>1.0</v>
      </c>
      <c r="S1054">
        <f t="shared" si="1"/>
        <v>2003</v>
      </c>
      <c r="T1054">
        <f t="shared" si="2"/>
        <v>11</v>
      </c>
      <c r="AF1054" s="18"/>
      <c r="AG1054" s="19"/>
      <c r="AL1054" s="18"/>
      <c r="AM1054" s="19"/>
    </row>
    <row r="1055">
      <c r="A1055" s="4" t="s">
        <v>2376</v>
      </c>
      <c r="B1055" s="10">
        <v>37902.0</v>
      </c>
      <c r="C1055" s="11" t="s">
        <v>123</v>
      </c>
      <c r="D1055" s="11" t="s">
        <v>51</v>
      </c>
      <c r="E1055" s="14" t="s">
        <v>52</v>
      </c>
      <c r="F1055" s="11" t="s">
        <v>53</v>
      </c>
      <c r="G1055" s="14" t="s">
        <v>54</v>
      </c>
      <c r="H1055" s="11" t="s">
        <v>1312</v>
      </c>
      <c r="I1055" s="11" t="s">
        <v>223</v>
      </c>
      <c r="J1055" s="11">
        <v>38.0</v>
      </c>
      <c r="K1055" s="13">
        <v>38184.0</v>
      </c>
      <c r="L1055" s="11">
        <f t="shared" ref="L1055:L1060" si="105">ROUND(((K1055-B1055)/365)*12)</f>
        <v>9</v>
      </c>
      <c r="M1055" s="11">
        <v>114097.0</v>
      </c>
      <c r="N1055" s="11">
        <v>988.0</v>
      </c>
      <c r="O1055" s="4" t="s">
        <v>704</v>
      </c>
      <c r="P1055" s="11">
        <v>23.0</v>
      </c>
      <c r="Q1055" s="15">
        <v>18.667</v>
      </c>
      <c r="R1055" s="22">
        <v>0.0</v>
      </c>
      <c r="S1055">
        <f t="shared" si="1"/>
        <v>2003</v>
      </c>
      <c r="T1055">
        <f t="shared" si="2"/>
        <v>10</v>
      </c>
      <c r="AF1055" s="18"/>
      <c r="AG1055" s="19"/>
      <c r="AL1055" s="18"/>
      <c r="AM1055" s="19"/>
    </row>
    <row r="1056">
      <c r="A1056" s="4" t="s">
        <v>2377</v>
      </c>
      <c r="B1056" s="10">
        <v>37900.0</v>
      </c>
      <c r="C1056" s="11" t="s">
        <v>350</v>
      </c>
      <c r="D1056" s="11" t="s">
        <v>51</v>
      </c>
      <c r="E1056" s="22" t="s">
        <v>1248</v>
      </c>
      <c r="F1056" s="11" t="s">
        <v>53</v>
      </c>
      <c r="G1056" s="14" t="s">
        <v>54</v>
      </c>
      <c r="H1056" s="11" t="s">
        <v>416</v>
      </c>
      <c r="I1056" s="11" t="s">
        <v>2378</v>
      </c>
      <c r="J1056" s="11">
        <v>33.0</v>
      </c>
      <c r="K1056" s="13">
        <v>38082.0</v>
      </c>
      <c r="L1056" s="11">
        <f t="shared" si="105"/>
        <v>6</v>
      </c>
      <c r="M1056" s="11">
        <v>124523.0</v>
      </c>
      <c r="N1056" s="11">
        <v>78.0</v>
      </c>
      <c r="O1056" s="4" t="s">
        <v>224</v>
      </c>
      <c r="P1056" s="11">
        <v>281.0</v>
      </c>
      <c r="Q1056" s="32">
        <v>1037.0</v>
      </c>
      <c r="R1056" s="22">
        <v>0.0</v>
      </c>
      <c r="S1056">
        <f t="shared" si="1"/>
        <v>2003</v>
      </c>
      <c r="T1056">
        <f t="shared" si="2"/>
        <v>10</v>
      </c>
      <c r="AF1056" s="18"/>
      <c r="AG1056" s="19"/>
      <c r="AL1056" s="18"/>
      <c r="AM1056" s="19"/>
    </row>
    <row r="1057">
      <c r="A1057" s="4" t="s">
        <v>2379</v>
      </c>
      <c r="B1057" s="10">
        <v>37895.0</v>
      </c>
      <c r="C1057" s="11" t="s">
        <v>103</v>
      </c>
      <c r="D1057" s="11" t="s">
        <v>124</v>
      </c>
      <c r="E1057" s="14" t="s">
        <v>52</v>
      </c>
      <c r="F1057" s="11" t="s">
        <v>53</v>
      </c>
      <c r="G1057" s="14" t="s">
        <v>54</v>
      </c>
      <c r="H1057" s="11" t="s">
        <v>157</v>
      </c>
      <c r="I1057" s="11"/>
      <c r="J1057" s="11">
        <v>20.0</v>
      </c>
      <c r="K1057" s="13">
        <v>38451.0</v>
      </c>
      <c r="L1057" s="11">
        <f t="shared" si="105"/>
        <v>18</v>
      </c>
      <c r="M1057" s="11">
        <v>434564.0</v>
      </c>
      <c r="N1057" s="11">
        <v>8742.0</v>
      </c>
      <c r="P1057" s="11">
        <v>9.0</v>
      </c>
      <c r="Q1057" s="15">
        <v>15.333</v>
      </c>
      <c r="R1057" s="22">
        <v>0.0</v>
      </c>
      <c r="S1057">
        <f t="shared" si="1"/>
        <v>2003</v>
      </c>
      <c r="T1057">
        <f t="shared" si="2"/>
        <v>10</v>
      </c>
      <c r="AF1057" s="18"/>
      <c r="AG1057" s="19"/>
      <c r="AL1057" s="18"/>
      <c r="AM1057" s="19"/>
    </row>
    <row r="1058">
      <c r="A1058" s="4" t="s">
        <v>2381</v>
      </c>
      <c r="B1058" s="10">
        <v>37885.0</v>
      </c>
      <c r="C1058" s="11" t="s">
        <v>169</v>
      </c>
      <c r="D1058" s="11" t="s">
        <v>51</v>
      </c>
      <c r="E1058" s="14" t="s">
        <v>52</v>
      </c>
      <c r="F1058" s="11" t="s">
        <v>76</v>
      </c>
      <c r="G1058" s="14" t="s">
        <v>54</v>
      </c>
      <c r="H1058" s="11" t="s">
        <v>92</v>
      </c>
      <c r="I1058" s="11" t="s">
        <v>1916</v>
      </c>
      <c r="J1058" s="11">
        <v>23.0</v>
      </c>
      <c r="K1058" s="13">
        <v>38827.0</v>
      </c>
      <c r="L1058" s="11">
        <f t="shared" si="105"/>
        <v>31</v>
      </c>
      <c r="M1058" s="11">
        <v>407896.0</v>
      </c>
      <c r="N1058" s="11">
        <v>410.0</v>
      </c>
      <c r="O1058" s="4" t="s">
        <v>704</v>
      </c>
      <c r="P1058" s="11">
        <v>63.0</v>
      </c>
      <c r="Q1058" s="32">
        <v>113.33299999999998</v>
      </c>
      <c r="R1058" s="22">
        <v>0.0</v>
      </c>
      <c r="S1058">
        <f t="shared" si="1"/>
        <v>2003</v>
      </c>
      <c r="T1058">
        <f t="shared" si="2"/>
        <v>9</v>
      </c>
      <c r="AF1058" s="18"/>
      <c r="AG1058" s="19"/>
      <c r="AL1058" s="18"/>
      <c r="AM1058" s="19"/>
    </row>
    <row r="1059">
      <c r="A1059" s="4" t="s">
        <v>2382</v>
      </c>
      <c r="B1059" s="10">
        <v>37880.0</v>
      </c>
      <c r="C1059" s="11" t="s">
        <v>270</v>
      </c>
      <c r="D1059" s="11" t="s">
        <v>51</v>
      </c>
      <c r="E1059" s="14" t="s">
        <v>52</v>
      </c>
      <c r="F1059" s="11" t="s">
        <v>53</v>
      </c>
      <c r="G1059" s="14" t="s">
        <v>54</v>
      </c>
      <c r="H1059" s="11" t="s">
        <v>92</v>
      </c>
      <c r="I1059" s="11" t="s">
        <v>1372</v>
      </c>
      <c r="J1059" s="11">
        <v>22.0</v>
      </c>
      <c r="K1059" s="13">
        <v>38263.0</v>
      </c>
      <c r="L1059" s="11">
        <f t="shared" si="105"/>
        <v>13</v>
      </c>
      <c r="M1059" s="11">
        <v>425817.0</v>
      </c>
      <c r="N1059" s="11">
        <v>1688.0</v>
      </c>
      <c r="P1059" s="11">
        <v>4.0</v>
      </c>
      <c r="Q1059" s="15">
        <v>11.33</v>
      </c>
      <c r="R1059" s="22">
        <v>0.0</v>
      </c>
      <c r="S1059">
        <f t="shared" si="1"/>
        <v>2003</v>
      </c>
      <c r="T1059">
        <f t="shared" si="2"/>
        <v>9</v>
      </c>
      <c r="AF1059" s="18"/>
      <c r="AG1059" s="19"/>
      <c r="AL1059" s="18"/>
      <c r="AM1059" s="19"/>
    </row>
    <row r="1060">
      <c r="A1060" s="4" t="s">
        <v>2383</v>
      </c>
      <c r="B1060" s="10">
        <v>37875.0</v>
      </c>
      <c r="C1060" s="11" t="s">
        <v>123</v>
      </c>
      <c r="D1060" s="11" t="s">
        <v>51</v>
      </c>
      <c r="E1060" s="14" t="s">
        <v>52</v>
      </c>
      <c r="F1060" s="11" t="s">
        <v>53</v>
      </c>
      <c r="G1060" s="14" t="s">
        <v>54</v>
      </c>
      <c r="H1060" s="11" t="s">
        <v>260</v>
      </c>
      <c r="I1060" s="11" t="s">
        <v>2384</v>
      </c>
      <c r="J1060" s="11">
        <v>27.0</v>
      </c>
      <c r="K1060" s="13">
        <v>38450.0</v>
      </c>
      <c r="L1060" s="11">
        <f t="shared" si="105"/>
        <v>19</v>
      </c>
      <c r="M1060" s="11">
        <v>150222.0</v>
      </c>
      <c r="N1060" s="11">
        <v>740.0</v>
      </c>
      <c r="O1060" s="4" t="s">
        <v>59</v>
      </c>
      <c r="P1060" s="11">
        <v>44.0</v>
      </c>
      <c r="Q1060" s="15">
        <v>206.667</v>
      </c>
      <c r="R1060" s="22">
        <v>0.0</v>
      </c>
      <c r="S1060">
        <f t="shared" si="1"/>
        <v>2003</v>
      </c>
      <c r="T1060">
        <f t="shared" si="2"/>
        <v>9</v>
      </c>
      <c r="AF1060" s="18"/>
      <c r="AG1060" s="19"/>
      <c r="AL1060" s="18"/>
      <c r="AM1060" s="19"/>
    </row>
    <row r="1061">
      <c r="A1061" s="4" t="s">
        <v>847</v>
      </c>
      <c r="B1061" s="10">
        <v>37873.0</v>
      </c>
      <c r="C1061" s="11" t="s">
        <v>331</v>
      </c>
      <c r="D1061" s="11" t="s">
        <v>51</v>
      </c>
      <c r="E1061" s="14" t="s">
        <v>52</v>
      </c>
      <c r="F1061" s="11" t="s">
        <v>53</v>
      </c>
      <c r="G1061" s="14" t="s">
        <v>54</v>
      </c>
      <c r="H1061" s="11" t="s">
        <v>260</v>
      </c>
      <c r="I1061" s="11" t="s">
        <v>261</v>
      </c>
      <c r="J1061" s="11">
        <v>23.0</v>
      </c>
      <c r="K1061" s="14"/>
      <c r="L1061" s="14"/>
      <c r="M1061" s="11">
        <v>407486.0</v>
      </c>
      <c r="N1061" s="11">
        <v>1484.0</v>
      </c>
      <c r="O1061" s="4" t="s">
        <v>59</v>
      </c>
      <c r="P1061" s="11">
        <v>0.0</v>
      </c>
      <c r="Q1061" s="32">
        <v>0.0</v>
      </c>
      <c r="R1061" s="22">
        <v>0.0</v>
      </c>
      <c r="S1061">
        <f t="shared" si="1"/>
        <v>2003</v>
      </c>
      <c r="T1061">
        <f t="shared" si="2"/>
        <v>9</v>
      </c>
      <c r="AF1061" s="18"/>
      <c r="AG1061" s="19"/>
      <c r="AL1061" s="18"/>
      <c r="AM1061" s="19"/>
    </row>
    <row r="1062">
      <c r="A1062" s="4" t="s">
        <v>2385</v>
      </c>
      <c r="B1062" s="10">
        <v>37869.0</v>
      </c>
      <c r="C1062" s="11" t="s">
        <v>229</v>
      </c>
      <c r="D1062" s="11" t="s">
        <v>51</v>
      </c>
      <c r="E1062" s="14" t="s">
        <v>52</v>
      </c>
      <c r="F1062" s="11" t="s">
        <v>53</v>
      </c>
      <c r="G1062" s="22" t="s">
        <v>83</v>
      </c>
      <c r="H1062" s="14"/>
      <c r="I1062" s="14"/>
      <c r="J1062" s="11">
        <v>25.0</v>
      </c>
      <c r="K1062" s="13">
        <v>38448.0</v>
      </c>
      <c r="L1062" s="11">
        <f>ROUND(((K1062-B1062)/365)*12)</f>
        <v>19</v>
      </c>
      <c r="M1062" s="11">
        <v>424465.0</v>
      </c>
      <c r="N1062" s="11">
        <v>1528.0</v>
      </c>
      <c r="P1062" s="11">
        <v>54.0</v>
      </c>
      <c r="Q1062" s="15">
        <v>288.667</v>
      </c>
      <c r="R1062" s="22">
        <v>0.0</v>
      </c>
      <c r="S1062">
        <f t="shared" si="1"/>
        <v>2003</v>
      </c>
      <c r="T1062">
        <f t="shared" si="2"/>
        <v>9</v>
      </c>
      <c r="AF1062" s="18"/>
      <c r="AG1062" s="19"/>
      <c r="AL1062" s="18"/>
      <c r="AM1062" s="19"/>
    </row>
    <row r="1063">
      <c r="A1063" s="4" t="s">
        <v>2386</v>
      </c>
      <c r="B1063" s="10">
        <v>37859.0</v>
      </c>
      <c r="C1063" s="11" t="s">
        <v>169</v>
      </c>
      <c r="D1063" s="11" t="s">
        <v>75</v>
      </c>
      <c r="E1063" s="14" t="s">
        <v>52</v>
      </c>
      <c r="F1063" s="11" t="s">
        <v>53</v>
      </c>
      <c r="G1063" s="14" t="s">
        <v>54</v>
      </c>
      <c r="H1063" s="11" t="s">
        <v>218</v>
      </c>
      <c r="I1063" s="11" t="s">
        <v>2387</v>
      </c>
      <c r="J1063" s="11">
        <v>25.0</v>
      </c>
      <c r="K1063" s="13">
        <v>37987.0</v>
      </c>
      <c r="L1063" s="14"/>
      <c r="M1063" s="11">
        <v>425226.0</v>
      </c>
      <c r="N1063" s="11">
        <v>1646.0</v>
      </c>
      <c r="P1063" s="11">
        <v>235.0</v>
      </c>
      <c r="Q1063" s="15">
        <v>429.0</v>
      </c>
      <c r="R1063" s="22">
        <v>0.0</v>
      </c>
      <c r="S1063">
        <f t="shared" si="1"/>
        <v>2003</v>
      </c>
      <c r="T1063">
        <f t="shared" si="2"/>
        <v>8</v>
      </c>
      <c r="AF1063" s="18"/>
      <c r="AG1063" s="19"/>
      <c r="AL1063" s="18"/>
      <c r="AM1063" s="19"/>
    </row>
    <row r="1064">
      <c r="A1064" s="4" t="s">
        <v>146</v>
      </c>
      <c r="B1064" s="10">
        <v>37844.0</v>
      </c>
      <c r="C1064" s="11" t="s">
        <v>179</v>
      </c>
      <c r="D1064" s="11" t="s">
        <v>82</v>
      </c>
      <c r="E1064" s="14" t="s">
        <v>52</v>
      </c>
      <c r="F1064" s="11" t="s">
        <v>76</v>
      </c>
      <c r="G1064" s="14" t="s">
        <v>54</v>
      </c>
      <c r="H1064" s="11" t="s">
        <v>92</v>
      </c>
      <c r="I1064" s="11" t="s">
        <v>2388</v>
      </c>
      <c r="J1064" s="11">
        <v>22.0</v>
      </c>
      <c r="K1064" s="13">
        <v>38474.0</v>
      </c>
      <c r="L1064" s="11">
        <f t="shared" ref="L1064:L1065" si="106">ROUND(((K1064-B1064)/365)*12)</f>
        <v>21</v>
      </c>
      <c r="M1064" s="11">
        <v>450351.0</v>
      </c>
      <c r="N1064" s="11">
        <v>3580.0</v>
      </c>
      <c r="P1064" s="11">
        <v>444.0</v>
      </c>
      <c r="Q1064" s="15">
        <v>1430.333</v>
      </c>
      <c r="R1064" s="22">
        <v>1.0</v>
      </c>
      <c r="S1064">
        <f t="shared" si="1"/>
        <v>2003</v>
      </c>
      <c r="T1064">
        <f t="shared" si="2"/>
        <v>8</v>
      </c>
      <c r="AF1064" s="18"/>
      <c r="AG1064" s="19"/>
      <c r="AL1064" s="18"/>
      <c r="AM1064" s="19"/>
    </row>
    <row r="1065">
      <c r="A1065" s="4" t="s">
        <v>2390</v>
      </c>
      <c r="B1065" s="10">
        <v>37837.0</v>
      </c>
      <c r="C1065" s="11" t="s">
        <v>119</v>
      </c>
      <c r="D1065" s="11" t="s">
        <v>51</v>
      </c>
      <c r="E1065" s="14" t="s">
        <v>52</v>
      </c>
      <c r="F1065" s="11" t="s">
        <v>53</v>
      </c>
      <c r="G1065" s="22" t="s">
        <v>312</v>
      </c>
      <c r="H1065" s="14"/>
      <c r="I1065" s="14"/>
      <c r="J1065" s="11">
        <v>26.0</v>
      </c>
      <c r="K1065" s="13">
        <v>38200.0</v>
      </c>
      <c r="L1065" s="11">
        <f t="shared" si="106"/>
        <v>12</v>
      </c>
      <c r="M1065" s="11">
        <v>133225.0</v>
      </c>
      <c r="N1065" s="11">
        <v>517.0</v>
      </c>
      <c r="O1065" s="4" t="s">
        <v>224</v>
      </c>
      <c r="P1065" s="11">
        <v>384.0</v>
      </c>
      <c r="Q1065" s="32">
        <v>1423.0</v>
      </c>
      <c r="R1065" s="22">
        <v>0.0</v>
      </c>
      <c r="S1065">
        <f t="shared" si="1"/>
        <v>2003</v>
      </c>
      <c r="T1065">
        <f t="shared" si="2"/>
        <v>8</v>
      </c>
      <c r="AF1065" s="18"/>
      <c r="AG1065" s="19"/>
      <c r="AL1065" s="18"/>
      <c r="AM1065" s="19"/>
    </row>
    <row r="1066">
      <c r="A1066" s="4" t="s">
        <v>2391</v>
      </c>
      <c r="B1066" s="10">
        <v>37832.0</v>
      </c>
      <c r="C1066" s="11" t="s">
        <v>382</v>
      </c>
      <c r="D1066" s="11" t="s">
        <v>51</v>
      </c>
      <c r="E1066" s="14" t="s">
        <v>52</v>
      </c>
      <c r="F1066" s="11" t="s">
        <v>76</v>
      </c>
      <c r="G1066" s="14" t="s">
        <v>54</v>
      </c>
      <c r="H1066" s="11" t="s">
        <v>251</v>
      </c>
      <c r="I1066" s="11" t="s">
        <v>232</v>
      </c>
      <c r="J1066" s="11">
        <v>34.0</v>
      </c>
      <c r="K1066" s="14"/>
      <c r="L1066" s="14"/>
      <c r="M1066" s="11">
        <v>119673.0</v>
      </c>
      <c r="N1066" s="11">
        <v>441.0</v>
      </c>
      <c r="O1066" s="4" t="s">
        <v>224</v>
      </c>
      <c r="P1066" s="11">
        <v>0.0</v>
      </c>
      <c r="Q1066" s="32">
        <v>0.0</v>
      </c>
      <c r="R1066" s="22">
        <v>0.0</v>
      </c>
      <c r="S1066">
        <f t="shared" si="1"/>
        <v>2003</v>
      </c>
      <c r="T1066">
        <f t="shared" si="2"/>
        <v>7</v>
      </c>
      <c r="AF1066" s="18"/>
      <c r="AG1066" s="19"/>
      <c r="AL1066" s="18"/>
      <c r="AM1066" s="19"/>
    </row>
    <row r="1067">
      <c r="A1067" s="4" t="s">
        <v>2393</v>
      </c>
      <c r="B1067" s="10">
        <v>37825.0</v>
      </c>
      <c r="C1067" s="11" t="s">
        <v>179</v>
      </c>
      <c r="D1067" s="11" t="s">
        <v>51</v>
      </c>
      <c r="E1067" s="22" t="s">
        <v>160</v>
      </c>
      <c r="F1067" s="11" t="s">
        <v>76</v>
      </c>
      <c r="G1067" s="14" t="s">
        <v>54</v>
      </c>
      <c r="H1067" s="11" t="s">
        <v>449</v>
      </c>
      <c r="I1067" s="11" t="s">
        <v>1822</v>
      </c>
      <c r="J1067" s="11">
        <v>34.0</v>
      </c>
      <c r="K1067" s="14"/>
      <c r="L1067" s="14"/>
      <c r="M1067" s="11">
        <v>115114.0</v>
      </c>
      <c r="N1067" s="11">
        <v>1252.0</v>
      </c>
      <c r="P1067" s="11">
        <v>0.0</v>
      </c>
      <c r="Q1067" s="32">
        <v>0.0</v>
      </c>
      <c r="R1067" s="22">
        <v>0.0</v>
      </c>
      <c r="S1067">
        <f t="shared" si="1"/>
        <v>2003</v>
      </c>
      <c r="T1067">
        <f t="shared" si="2"/>
        <v>7</v>
      </c>
      <c r="AF1067" s="18"/>
      <c r="AG1067" s="19"/>
      <c r="AL1067" s="18"/>
      <c r="AM1067" s="19"/>
    </row>
    <row r="1068">
      <c r="A1068" s="4" t="s">
        <v>2395</v>
      </c>
      <c r="B1068" s="10">
        <v>37818.0</v>
      </c>
      <c r="C1068" s="11" t="s">
        <v>156</v>
      </c>
      <c r="D1068" s="11" t="s">
        <v>82</v>
      </c>
      <c r="E1068" s="22" t="s">
        <v>160</v>
      </c>
      <c r="F1068" s="11" t="s">
        <v>76</v>
      </c>
      <c r="G1068" s="14" t="s">
        <v>54</v>
      </c>
      <c r="H1068" s="11" t="s">
        <v>260</v>
      </c>
      <c r="I1068" s="11"/>
      <c r="J1068" s="11">
        <v>23.0</v>
      </c>
      <c r="K1068" s="13">
        <v>37987.0</v>
      </c>
      <c r="L1068" s="11"/>
      <c r="M1068" s="11">
        <v>150449.0</v>
      </c>
      <c r="N1068" s="11">
        <v>1142.0</v>
      </c>
      <c r="P1068" s="11">
        <v>603.0</v>
      </c>
      <c r="Q1068" s="15">
        <v>2021.0</v>
      </c>
      <c r="R1068" s="22">
        <v>0.0</v>
      </c>
      <c r="S1068">
        <f t="shared" si="1"/>
        <v>2003</v>
      </c>
      <c r="T1068">
        <f t="shared" si="2"/>
        <v>7</v>
      </c>
      <c r="AF1068" s="18"/>
      <c r="AG1068" s="19"/>
      <c r="AL1068" s="18"/>
      <c r="AM1068" s="19"/>
    </row>
    <row r="1069">
      <c r="A1069" s="4" t="s">
        <v>2397</v>
      </c>
      <c r="B1069" s="10">
        <v>37803.0</v>
      </c>
      <c r="C1069" s="11" t="s">
        <v>142</v>
      </c>
      <c r="D1069" s="11" t="s">
        <v>82</v>
      </c>
      <c r="E1069" s="14" t="s">
        <v>52</v>
      </c>
      <c r="F1069" s="11" t="s">
        <v>53</v>
      </c>
      <c r="G1069" s="14" t="s">
        <v>54</v>
      </c>
      <c r="H1069" s="11" t="s">
        <v>476</v>
      </c>
      <c r="I1069" s="11" t="s">
        <v>956</v>
      </c>
      <c r="J1069" s="11">
        <v>32.0</v>
      </c>
      <c r="K1069" s="13">
        <v>38157.0</v>
      </c>
      <c r="L1069" s="11">
        <f t="shared" ref="L1069:L1074" si="107">ROUND(((K1069-B1069)/365)*12)</f>
        <v>12</v>
      </c>
      <c r="M1069" s="11">
        <v>111838.0</v>
      </c>
      <c r="N1069" s="11">
        <v>594.0</v>
      </c>
      <c r="O1069" s="4" t="s">
        <v>59</v>
      </c>
      <c r="P1069" s="11">
        <v>149.0</v>
      </c>
      <c r="Q1069" s="15">
        <v>904.0</v>
      </c>
      <c r="R1069" s="22">
        <v>0.0</v>
      </c>
      <c r="S1069">
        <f t="shared" si="1"/>
        <v>2003</v>
      </c>
      <c r="T1069">
        <f t="shared" si="2"/>
        <v>7</v>
      </c>
      <c r="AF1069" s="18"/>
      <c r="AG1069" s="19"/>
      <c r="AL1069" s="18"/>
      <c r="AM1069" s="19"/>
    </row>
    <row r="1070">
      <c r="A1070" s="4" t="s">
        <v>2398</v>
      </c>
      <c r="B1070" s="10">
        <v>37798.0</v>
      </c>
      <c r="C1070" s="11" t="s">
        <v>130</v>
      </c>
      <c r="D1070" s="11" t="s">
        <v>51</v>
      </c>
      <c r="E1070" s="14" t="s">
        <v>52</v>
      </c>
      <c r="F1070" s="11" t="s">
        <v>53</v>
      </c>
      <c r="G1070" s="14" t="s">
        <v>54</v>
      </c>
      <c r="H1070" s="11" t="s">
        <v>240</v>
      </c>
      <c r="I1070" s="11"/>
      <c r="J1070" s="11">
        <v>22.0</v>
      </c>
      <c r="K1070" s="13">
        <v>38447.0</v>
      </c>
      <c r="L1070" s="11">
        <f t="shared" si="107"/>
        <v>21</v>
      </c>
      <c r="M1070" s="11">
        <v>425528.0</v>
      </c>
      <c r="N1070" s="11">
        <v>1657.0</v>
      </c>
      <c r="O1070" s="4" t="s">
        <v>704</v>
      </c>
      <c r="P1070" s="11">
        <v>165.0</v>
      </c>
      <c r="Q1070" s="15">
        <v>391.667</v>
      </c>
      <c r="R1070" s="22">
        <v>0.0</v>
      </c>
      <c r="S1070">
        <f t="shared" si="1"/>
        <v>2003</v>
      </c>
      <c r="T1070">
        <f t="shared" si="2"/>
        <v>6</v>
      </c>
      <c r="AF1070" s="18"/>
      <c r="AG1070" s="19"/>
      <c r="AL1070" s="18"/>
      <c r="AM1070" s="19"/>
    </row>
    <row r="1071">
      <c r="A1071" s="4" t="s">
        <v>2399</v>
      </c>
      <c r="B1071" s="10">
        <v>37789.0</v>
      </c>
      <c r="C1071" s="11" t="s">
        <v>74</v>
      </c>
      <c r="D1071" s="11" t="s">
        <v>51</v>
      </c>
      <c r="E1071" s="14" t="s">
        <v>52</v>
      </c>
      <c r="F1071" s="11" t="s">
        <v>53</v>
      </c>
      <c r="G1071" s="14" t="s">
        <v>54</v>
      </c>
      <c r="H1071" s="11" t="s">
        <v>157</v>
      </c>
      <c r="I1071" s="11" t="s">
        <v>539</v>
      </c>
      <c r="J1071" s="11">
        <v>27.0</v>
      </c>
      <c r="K1071" s="13">
        <v>38598.0</v>
      </c>
      <c r="L1071" s="11">
        <f t="shared" si="107"/>
        <v>27</v>
      </c>
      <c r="M1071" s="11">
        <v>232994.0</v>
      </c>
      <c r="N1071" s="11">
        <v>897.0</v>
      </c>
      <c r="P1071" s="11">
        <v>8.0</v>
      </c>
      <c r="Q1071" s="15">
        <v>6.0</v>
      </c>
      <c r="R1071" s="22">
        <v>0.0</v>
      </c>
      <c r="S1071">
        <f t="shared" si="1"/>
        <v>2003</v>
      </c>
      <c r="T1071">
        <f t="shared" si="2"/>
        <v>6</v>
      </c>
      <c r="AF1071" s="18"/>
      <c r="AG1071" s="19"/>
      <c r="AL1071" s="18"/>
      <c r="AM1071" s="19"/>
    </row>
    <row r="1072">
      <c r="A1072" s="4" t="s">
        <v>2400</v>
      </c>
      <c r="B1072" s="10">
        <v>37787.0</v>
      </c>
      <c r="C1072" s="11" t="s">
        <v>711</v>
      </c>
      <c r="D1072" s="11" t="s">
        <v>51</v>
      </c>
      <c r="E1072" s="11" t="s">
        <v>52</v>
      </c>
      <c r="F1072" s="11" t="s">
        <v>53</v>
      </c>
      <c r="G1072" s="11" t="s">
        <v>54</v>
      </c>
      <c r="H1072" s="11" t="s">
        <v>240</v>
      </c>
      <c r="I1072" s="11" t="s">
        <v>743</v>
      </c>
      <c r="J1072" s="11">
        <v>34.0</v>
      </c>
      <c r="K1072" s="13">
        <v>38486.0</v>
      </c>
      <c r="L1072" s="11">
        <f t="shared" si="107"/>
        <v>23</v>
      </c>
      <c r="M1072" s="11">
        <v>150034.0</v>
      </c>
      <c r="N1072" s="11">
        <v>1202.0</v>
      </c>
      <c r="P1072" s="11">
        <v>20.0</v>
      </c>
      <c r="Q1072" s="15">
        <v>22.333</v>
      </c>
      <c r="R1072" s="22">
        <v>0.0</v>
      </c>
      <c r="S1072">
        <f t="shared" si="1"/>
        <v>2003</v>
      </c>
      <c r="T1072">
        <f t="shared" si="2"/>
        <v>6</v>
      </c>
      <c r="AF1072" s="18"/>
      <c r="AG1072" s="19"/>
      <c r="AL1072" s="18"/>
      <c r="AM1072" s="19"/>
    </row>
    <row r="1073">
      <c r="A1073" s="4" t="s">
        <v>2401</v>
      </c>
      <c r="B1073" s="10">
        <v>37778.0</v>
      </c>
      <c r="C1073" s="11" t="s">
        <v>179</v>
      </c>
      <c r="D1073" s="11" t="s">
        <v>110</v>
      </c>
      <c r="E1073" s="14" t="s">
        <v>52</v>
      </c>
      <c r="F1073" s="11" t="s">
        <v>53</v>
      </c>
      <c r="G1073" s="14" t="s">
        <v>54</v>
      </c>
      <c r="H1073" s="11" t="s">
        <v>77</v>
      </c>
      <c r="I1073" s="11"/>
      <c r="J1073" s="11">
        <v>20.0</v>
      </c>
      <c r="K1073" s="13">
        <v>39179.0</v>
      </c>
      <c r="L1073" s="11">
        <f t="shared" si="107"/>
        <v>46</v>
      </c>
      <c r="M1073" s="11">
        <v>458494.0</v>
      </c>
      <c r="N1073" s="11" t="s">
        <v>2402</v>
      </c>
      <c r="P1073" s="11">
        <v>0.0</v>
      </c>
      <c r="Q1073" s="15">
        <v>0.0</v>
      </c>
      <c r="R1073" s="22">
        <v>0.0</v>
      </c>
      <c r="S1073">
        <f t="shared" si="1"/>
        <v>2003</v>
      </c>
      <c r="T1073">
        <f t="shared" si="2"/>
        <v>6</v>
      </c>
      <c r="AF1073" s="18"/>
      <c r="AG1073" s="19"/>
      <c r="AL1073" s="18"/>
      <c r="AM1073" s="19"/>
    </row>
    <row r="1074">
      <c r="A1074" s="4" t="s">
        <v>2403</v>
      </c>
      <c r="B1074" s="10">
        <v>37770.0</v>
      </c>
      <c r="C1074" s="11" t="s">
        <v>239</v>
      </c>
      <c r="D1074" s="11" t="s">
        <v>51</v>
      </c>
      <c r="E1074" s="14" t="s">
        <v>52</v>
      </c>
      <c r="F1074" s="11" t="s">
        <v>53</v>
      </c>
      <c r="G1074" s="14" t="s">
        <v>54</v>
      </c>
      <c r="H1074" s="11" t="s">
        <v>211</v>
      </c>
      <c r="I1074" s="11" t="s">
        <v>2404</v>
      </c>
      <c r="J1074" s="11">
        <v>31.0</v>
      </c>
      <c r="K1074" s="13">
        <v>38448.0</v>
      </c>
      <c r="L1074" s="11">
        <f t="shared" si="107"/>
        <v>22</v>
      </c>
      <c r="M1074" s="11">
        <v>119215.0</v>
      </c>
      <c r="N1074" s="11">
        <v>480.0</v>
      </c>
      <c r="O1074" s="4" t="s">
        <v>59</v>
      </c>
      <c r="P1074" s="11">
        <v>188.0</v>
      </c>
      <c r="Q1074" s="32">
        <v>701.3330000000001</v>
      </c>
      <c r="R1074" s="22">
        <v>0.0</v>
      </c>
      <c r="S1074">
        <f t="shared" si="1"/>
        <v>2003</v>
      </c>
      <c r="T1074">
        <f t="shared" si="2"/>
        <v>5</v>
      </c>
      <c r="AF1074" s="18"/>
      <c r="AG1074" s="19"/>
      <c r="AL1074" s="18"/>
      <c r="AM1074" s="19"/>
    </row>
    <row r="1075">
      <c r="A1075" s="4" t="s">
        <v>2406</v>
      </c>
      <c r="B1075" s="10">
        <v>37769.0</v>
      </c>
      <c r="C1075" s="11" t="s">
        <v>96</v>
      </c>
      <c r="D1075" s="11" t="s">
        <v>110</v>
      </c>
      <c r="E1075" s="14" t="s">
        <v>52</v>
      </c>
      <c r="F1075" s="11" t="s">
        <v>53</v>
      </c>
      <c r="G1075" s="14" t="s">
        <v>54</v>
      </c>
      <c r="H1075" s="11" t="s">
        <v>99</v>
      </c>
      <c r="I1075" s="11" t="s">
        <v>2407</v>
      </c>
      <c r="J1075" s="11">
        <v>24.0</v>
      </c>
      <c r="K1075" s="13">
        <v>37987.0</v>
      </c>
      <c r="L1075" s="14"/>
      <c r="M1075" s="11">
        <v>408072.0</v>
      </c>
      <c r="N1075" s="11">
        <v>3915.0</v>
      </c>
      <c r="P1075" s="11">
        <v>125.0</v>
      </c>
      <c r="Q1075" s="15">
        <v>133.0</v>
      </c>
      <c r="R1075" s="22">
        <v>0.0</v>
      </c>
      <c r="S1075">
        <f t="shared" si="1"/>
        <v>2003</v>
      </c>
      <c r="T1075">
        <f t="shared" si="2"/>
        <v>5</v>
      </c>
      <c r="AF1075" s="18"/>
      <c r="AG1075" s="19"/>
      <c r="AL1075" s="18"/>
      <c r="AM1075" s="19"/>
    </row>
    <row r="1076">
      <c r="A1076" s="4" t="s">
        <v>2408</v>
      </c>
      <c r="B1076" s="10">
        <v>37742.0</v>
      </c>
      <c r="C1076" s="11" t="s">
        <v>331</v>
      </c>
      <c r="D1076" s="11" t="s">
        <v>51</v>
      </c>
      <c r="E1076" s="14" t="s">
        <v>52</v>
      </c>
      <c r="F1076" s="11" t="s">
        <v>53</v>
      </c>
      <c r="G1076" s="22" t="s">
        <v>172</v>
      </c>
      <c r="H1076" s="14"/>
      <c r="I1076" s="14"/>
      <c r="J1076" s="11">
        <v>34.0</v>
      </c>
      <c r="K1076" s="14"/>
      <c r="L1076" s="14"/>
      <c r="M1076" s="11">
        <v>111191.0</v>
      </c>
      <c r="N1076" s="11">
        <v>1001161.0</v>
      </c>
      <c r="O1076" s="4" t="s">
        <v>59</v>
      </c>
      <c r="P1076" s="11">
        <v>0.0</v>
      </c>
      <c r="Q1076" s="15">
        <v>0.0</v>
      </c>
      <c r="R1076" s="22">
        <v>0.0</v>
      </c>
      <c r="S1076">
        <f t="shared" si="1"/>
        <v>2003</v>
      </c>
      <c r="T1076">
        <f t="shared" si="2"/>
        <v>5</v>
      </c>
      <c r="AF1076" s="18"/>
      <c r="AG1076" s="19"/>
      <c r="AL1076" s="18"/>
      <c r="AM1076" s="19"/>
    </row>
    <row r="1077">
      <c r="A1077" s="4" t="s">
        <v>2409</v>
      </c>
      <c r="B1077" s="10">
        <v>37740.0</v>
      </c>
      <c r="C1077" s="11" t="s">
        <v>331</v>
      </c>
      <c r="D1077" s="11" t="s">
        <v>51</v>
      </c>
      <c r="E1077" s="14" t="s">
        <v>52</v>
      </c>
      <c r="F1077" s="11" t="s">
        <v>53</v>
      </c>
      <c r="G1077" s="14" t="s">
        <v>54</v>
      </c>
      <c r="H1077" s="11" t="s">
        <v>308</v>
      </c>
      <c r="I1077" s="11"/>
      <c r="J1077" s="11">
        <v>26.0</v>
      </c>
      <c r="K1077" s="13">
        <v>38141.0</v>
      </c>
      <c r="L1077" s="11">
        <f t="shared" ref="L1077:L1078" si="108">ROUND(((K1077-B1077)/365)*12)</f>
        <v>13</v>
      </c>
      <c r="M1077" s="11">
        <v>150359.0</v>
      </c>
      <c r="N1077" s="11">
        <v>512.0</v>
      </c>
      <c r="O1077" s="4" t="s">
        <v>59</v>
      </c>
      <c r="P1077" s="11">
        <v>353.0</v>
      </c>
      <c r="Q1077" s="15">
        <v>2206.667</v>
      </c>
      <c r="R1077" s="11">
        <v>0.0</v>
      </c>
      <c r="S1077">
        <f t="shared" si="1"/>
        <v>2003</v>
      </c>
      <c r="T1077">
        <f t="shared" si="2"/>
        <v>4</v>
      </c>
      <c r="AF1077" s="18"/>
      <c r="AG1077" s="19"/>
      <c r="AL1077" s="18"/>
      <c r="AM1077" s="19"/>
    </row>
    <row r="1078">
      <c r="A1078" s="4" t="s">
        <v>2410</v>
      </c>
      <c r="B1078" s="10">
        <v>37705.0</v>
      </c>
      <c r="C1078" s="11" t="s">
        <v>108</v>
      </c>
      <c r="D1078" s="11" t="s">
        <v>51</v>
      </c>
      <c r="E1078" s="14" t="s">
        <v>52</v>
      </c>
      <c r="F1078" s="11" t="s">
        <v>53</v>
      </c>
      <c r="G1078" s="14" t="s">
        <v>54</v>
      </c>
      <c r="H1078" s="11" t="s">
        <v>92</v>
      </c>
      <c r="I1078" s="11" t="s">
        <v>2411</v>
      </c>
      <c r="J1078" s="11">
        <v>27.0</v>
      </c>
      <c r="K1078" s="13">
        <v>38118.0</v>
      </c>
      <c r="L1078" s="11">
        <f t="shared" si="108"/>
        <v>14</v>
      </c>
      <c r="M1078" s="11">
        <v>277184.0</v>
      </c>
      <c r="N1078" s="11">
        <v>42.0</v>
      </c>
      <c r="O1078" s="4" t="s">
        <v>704</v>
      </c>
      <c r="P1078" s="11">
        <v>183.0</v>
      </c>
      <c r="Q1078" s="32">
        <v>222.0</v>
      </c>
      <c r="R1078" s="22">
        <v>0.0</v>
      </c>
      <c r="S1078">
        <f t="shared" si="1"/>
        <v>2003</v>
      </c>
      <c r="T1078">
        <f t="shared" si="2"/>
        <v>3</v>
      </c>
      <c r="AF1078" s="18"/>
      <c r="AG1078" s="19"/>
      <c r="AL1078" s="18"/>
      <c r="AM1078" s="19"/>
    </row>
    <row r="1079">
      <c r="A1079" s="4" t="s">
        <v>421</v>
      </c>
      <c r="B1079" s="10">
        <v>37685.0</v>
      </c>
      <c r="C1079" s="11" t="s">
        <v>169</v>
      </c>
      <c r="D1079" s="11" t="s">
        <v>110</v>
      </c>
      <c r="E1079" s="14" t="s">
        <v>52</v>
      </c>
      <c r="F1079" s="11" t="s">
        <v>76</v>
      </c>
      <c r="G1079" s="14" t="s">
        <v>54</v>
      </c>
      <c r="H1079" s="11" t="s">
        <v>260</v>
      </c>
      <c r="I1079" s="11"/>
      <c r="J1079" s="11">
        <v>22.0</v>
      </c>
      <c r="K1079" s="13">
        <v>37987.0</v>
      </c>
      <c r="L1079" s="14"/>
      <c r="M1079" s="11">
        <v>425663.0</v>
      </c>
      <c r="N1079" s="11">
        <v>2126.0</v>
      </c>
      <c r="P1079" s="11">
        <v>4.0</v>
      </c>
      <c r="Q1079" s="15">
        <v>18.0</v>
      </c>
      <c r="R1079" s="22">
        <v>0.0</v>
      </c>
      <c r="S1079">
        <f t="shared" si="1"/>
        <v>2003</v>
      </c>
      <c r="T1079">
        <f t="shared" si="2"/>
        <v>3</v>
      </c>
      <c r="AF1079" s="18"/>
      <c r="AG1079" s="19"/>
      <c r="AL1079" s="18"/>
      <c r="AM1079" s="19"/>
    </row>
    <row r="1080">
      <c r="A1080" s="4" t="s">
        <v>2412</v>
      </c>
      <c r="B1080" s="10">
        <v>37622.0</v>
      </c>
      <c r="C1080" s="11" t="s">
        <v>81</v>
      </c>
      <c r="D1080" s="11" t="s">
        <v>51</v>
      </c>
      <c r="E1080" s="14" t="s">
        <v>52</v>
      </c>
      <c r="F1080" s="11" t="s">
        <v>53</v>
      </c>
      <c r="G1080" s="14" t="s">
        <v>54</v>
      </c>
      <c r="H1080" s="11" t="s">
        <v>244</v>
      </c>
      <c r="I1080" s="11" t="s">
        <v>2413</v>
      </c>
      <c r="J1080" s="11">
        <v>35.0</v>
      </c>
      <c r="K1080" s="13">
        <v>38238.0</v>
      </c>
      <c r="L1080" s="14"/>
      <c r="M1080" s="11">
        <v>110351.0</v>
      </c>
      <c r="N1080" s="11">
        <v>637.0</v>
      </c>
      <c r="P1080" s="11">
        <v>2.0</v>
      </c>
      <c r="Q1080" s="32">
        <v>2.0</v>
      </c>
      <c r="R1080" s="22">
        <v>0.0</v>
      </c>
      <c r="S1080">
        <f t="shared" si="1"/>
        <v>2003</v>
      </c>
      <c r="T1080">
        <f t="shared" si="2"/>
        <v>1</v>
      </c>
      <c r="AF1080" s="18"/>
      <c r="AG1080" s="19"/>
      <c r="AL1080" s="18"/>
      <c r="AM1080" s="19"/>
    </row>
    <row r="1081">
      <c r="A1081" s="4" t="s">
        <v>2414</v>
      </c>
      <c r="B1081" s="10">
        <v>37622.0</v>
      </c>
      <c r="C1081" s="11" t="s">
        <v>114</v>
      </c>
      <c r="D1081" s="11" t="s">
        <v>51</v>
      </c>
      <c r="E1081" s="14" t="s">
        <v>52</v>
      </c>
      <c r="F1081" s="11" t="s">
        <v>53</v>
      </c>
      <c r="G1081" s="14" t="s">
        <v>54</v>
      </c>
      <c r="H1081" s="11" t="s">
        <v>279</v>
      </c>
      <c r="I1081" s="11"/>
      <c r="J1081" s="11">
        <v>28.0</v>
      </c>
      <c r="K1081" s="14"/>
      <c r="L1081" s="14"/>
      <c r="M1081" s="11">
        <v>284565.0</v>
      </c>
      <c r="N1081" s="11">
        <v>1497.0</v>
      </c>
      <c r="O1081" s="4" t="s">
        <v>704</v>
      </c>
      <c r="P1081" s="11">
        <v>0.0</v>
      </c>
      <c r="Q1081" s="32">
        <v>0.0</v>
      </c>
      <c r="R1081" s="22">
        <v>0.0</v>
      </c>
      <c r="S1081">
        <f t="shared" si="1"/>
        <v>2003</v>
      </c>
      <c r="T1081">
        <f t="shared" si="2"/>
        <v>1</v>
      </c>
      <c r="AF1081" s="18"/>
      <c r="AG1081" s="19"/>
      <c r="AL1081" s="18"/>
      <c r="AM1081" s="19"/>
    </row>
    <row r="1082">
      <c r="A1082" s="4" t="s">
        <v>2415</v>
      </c>
      <c r="B1082" s="10">
        <v>37622.0</v>
      </c>
      <c r="C1082" s="11" t="s">
        <v>133</v>
      </c>
      <c r="D1082" s="11" t="s">
        <v>170</v>
      </c>
      <c r="E1082" s="14" t="s">
        <v>52</v>
      </c>
      <c r="F1082" s="11" t="s">
        <v>53</v>
      </c>
      <c r="G1082" s="22" t="s">
        <v>265</v>
      </c>
      <c r="H1082" s="14"/>
      <c r="I1082" s="14"/>
      <c r="J1082" s="11">
        <v>19.0</v>
      </c>
      <c r="K1082" s="13">
        <v>37987.0</v>
      </c>
      <c r="L1082" s="14"/>
      <c r="M1082" s="11">
        <v>434671.0</v>
      </c>
      <c r="N1082" s="11">
        <v>3284.0</v>
      </c>
      <c r="P1082" s="11">
        <v>256.0</v>
      </c>
      <c r="Q1082" s="15">
        <v>1487.333</v>
      </c>
      <c r="R1082" s="22">
        <v>1.0</v>
      </c>
      <c r="S1082">
        <f t="shared" si="1"/>
        <v>2003</v>
      </c>
      <c r="T1082">
        <f t="shared" si="2"/>
        <v>1</v>
      </c>
      <c r="AF1082" s="18"/>
      <c r="AG1082" s="19"/>
      <c r="AL1082" s="18"/>
      <c r="AM1082" s="19"/>
    </row>
    <row r="1083">
      <c r="A1083" s="4" t="s">
        <v>2416</v>
      </c>
      <c r="B1083" s="10">
        <v>37622.0</v>
      </c>
      <c r="C1083" s="11" t="s">
        <v>133</v>
      </c>
      <c r="D1083" s="11" t="s">
        <v>110</v>
      </c>
      <c r="E1083" s="14" t="s">
        <v>52</v>
      </c>
      <c r="F1083" s="11" t="s">
        <v>53</v>
      </c>
      <c r="G1083" s="14" t="s">
        <v>54</v>
      </c>
      <c r="H1083" s="11" t="s">
        <v>337</v>
      </c>
      <c r="I1083" s="11"/>
      <c r="J1083" s="11">
        <v>21.0</v>
      </c>
      <c r="K1083" s="13">
        <v>37987.0</v>
      </c>
      <c r="L1083" s="14"/>
      <c r="M1083" s="11">
        <v>434668.0</v>
      </c>
      <c r="N1083" s="11">
        <v>3180.0</v>
      </c>
      <c r="P1083" s="11">
        <v>298.0</v>
      </c>
      <c r="Q1083" s="15">
        <v>292.667</v>
      </c>
      <c r="R1083" s="22">
        <v>0.0</v>
      </c>
      <c r="S1083">
        <f t="shared" si="1"/>
        <v>2003</v>
      </c>
      <c r="T1083">
        <f t="shared" si="2"/>
        <v>1</v>
      </c>
      <c r="AF1083" s="18"/>
      <c r="AG1083" s="19"/>
      <c r="AL1083" s="18"/>
      <c r="AM1083" s="19"/>
    </row>
    <row r="1084">
      <c r="A1084" s="4" t="s">
        <v>2417</v>
      </c>
      <c r="B1084" s="10">
        <v>37622.0</v>
      </c>
      <c r="C1084" s="11" t="s">
        <v>350</v>
      </c>
      <c r="D1084" s="11" t="s">
        <v>210</v>
      </c>
      <c r="E1084" s="14" t="s">
        <v>52</v>
      </c>
      <c r="F1084" s="11" t="s">
        <v>76</v>
      </c>
      <c r="G1084" s="14" t="s">
        <v>54</v>
      </c>
      <c r="H1084" s="11" t="s">
        <v>305</v>
      </c>
      <c r="I1084" s="11" t="s">
        <v>323</v>
      </c>
      <c r="J1084" s="11">
        <v>22.0</v>
      </c>
      <c r="K1084" s="13">
        <v>37987.0</v>
      </c>
      <c r="L1084" s="14"/>
      <c r="M1084" s="11">
        <v>434883.0</v>
      </c>
      <c r="N1084" s="11" t="s">
        <v>2418</v>
      </c>
      <c r="P1084" s="11">
        <v>0.0</v>
      </c>
      <c r="Q1084" s="15">
        <v>0.0</v>
      </c>
      <c r="R1084" s="22">
        <v>0.0</v>
      </c>
      <c r="S1084">
        <f t="shared" si="1"/>
        <v>2003</v>
      </c>
      <c r="T1084">
        <f t="shared" si="2"/>
        <v>1</v>
      </c>
      <c r="AF1084" s="18"/>
      <c r="AG1084" s="19"/>
      <c r="AL1084" s="18"/>
      <c r="AM1084" s="19"/>
    </row>
    <row r="1085">
      <c r="A1085" s="4" t="s">
        <v>2419</v>
      </c>
      <c r="B1085" s="10">
        <v>37622.0</v>
      </c>
      <c r="C1085" s="11" t="s">
        <v>169</v>
      </c>
      <c r="D1085" s="11" t="s">
        <v>151</v>
      </c>
      <c r="E1085" s="14" t="s">
        <v>52</v>
      </c>
      <c r="F1085" s="11" t="s">
        <v>76</v>
      </c>
      <c r="G1085" s="14" t="s">
        <v>54</v>
      </c>
      <c r="H1085" s="11" t="s">
        <v>305</v>
      </c>
      <c r="I1085" s="11" t="s">
        <v>873</v>
      </c>
      <c r="J1085" s="11">
        <v>19.0</v>
      </c>
      <c r="K1085" s="13">
        <v>37987.0</v>
      </c>
      <c r="L1085" s="14"/>
      <c r="M1085" s="11">
        <v>460260.0</v>
      </c>
      <c r="N1085" s="11">
        <v>7322.0</v>
      </c>
      <c r="P1085" s="11">
        <v>5.0</v>
      </c>
      <c r="Q1085" s="15">
        <v>28.333</v>
      </c>
      <c r="R1085" s="22">
        <v>0.0</v>
      </c>
      <c r="S1085">
        <f t="shared" si="1"/>
        <v>2003</v>
      </c>
      <c r="T1085">
        <f t="shared" si="2"/>
        <v>1</v>
      </c>
      <c r="AF1085" s="18"/>
      <c r="AG1085" s="19"/>
      <c r="AL1085" s="18"/>
      <c r="AM1085" s="19"/>
    </row>
    <row r="1086">
      <c r="A1086" s="4" t="s">
        <v>2421</v>
      </c>
      <c r="B1086" s="10">
        <v>37622.0</v>
      </c>
      <c r="C1086" s="11" t="s">
        <v>239</v>
      </c>
      <c r="D1086" s="11" t="s">
        <v>75</v>
      </c>
      <c r="E1086" s="14" t="s">
        <v>52</v>
      </c>
      <c r="F1086" s="11" t="s">
        <v>53</v>
      </c>
      <c r="G1086" s="14" t="s">
        <v>54</v>
      </c>
      <c r="H1086" s="11" t="s">
        <v>305</v>
      </c>
      <c r="I1086" s="11"/>
      <c r="J1086" s="11">
        <v>25.0</v>
      </c>
      <c r="K1086" s="13">
        <v>37987.0</v>
      </c>
      <c r="L1086" s="14"/>
      <c r="M1086" s="11">
        <v>407838.0</v>
      </c>
      <c r="N1086" s="11">
        <v>2040.0</v>
      </c>
      <c r="P1086" s="11">
        <v>7.0</v>
      </c>
      <c r="Q1086" s="15">
        <v>32.667</v>
      </c>
      <c r="R1086" s="22">
        <v>0.0</v>
      </c>
      <c r="S1086">
        <f t="shared" si="1"/>
        <v>2003</v>
      </c>
      <c r="T1086">
        <f t="shared" si="2"/>
        <v>1</v>
      </c>
      <c r="AF1086" s="18"/>
      <c r="AG1086" s="19"/>
      <c r="AL1086" s="18"/>
      <c r="AM1086" s="19"/>
    </row>
    <row r="1087">
      <c r="A1087" s="4" t="s">
        <v>2422</v>
      </c>
      <c r="B1087" s="10">
        <v>37622.0</v>
      </c>
      <c r="C1087" s="11" t="s">
        <v>229</v>
      </c>
      <c r="D1087" s="11" t="s">
        <v>110</v>
      </c>
      <c r="E1087" s="14" t="s">
        <v>52</v>
      </c>
      <c r="F1087" s="11" t="s">
        <v>53</v>
      </c>
      <c r="G1087" s="14" t="s">
        <v>54</v>
      </c>
      <c r="H1087" s="11" t="s">
        <v>92</v>
      </c>
      <c r="I1087" s="11"/>
      <c r="J1087" s="11">
        <v>21.0</v>
      </c>
      <c r="K1087" s="13">
        <v>37987.0</v>
      </c>
      <c r="L1087" s="14"/>
      <c r="M1087" s="11">
        <v>408043.0</v>
      </c>
      <c r="N1087" s="11" t="s">
        <v>2423</v>
      </c>
      <c r="P1087" s="11">
        <v>0.0</v>
      </c>
      <c r="Q1087" s="15">
        <v>0.0</v>
      </c>
      <c r="R1087" s="22">
        <v>0.0</v>
      </c>
      <c r="S1087">
        <f t="shared" si="1"/>
        <v>2003</v>
      </c>
      <c r="T1087">
        <f t="shared" si="2"/>
        <v>1</v>
      </c>
      <c r="AF1087" s="18"/>
      <c r="AG1087" s="19"/>
      <c r="AL1087" s="18"/>
      <c r="AM1087" s="19"/>
    </row>
    <row r="1088">
      <c r="A1088" s="4" t="s">
        <v>508</v>
      </c>
      <c r="B1088" s="10">
        <v>37622.0</v>
      </c>
      <c r="C1088" s="11" t="s">
        <v>81</v>
      </c>
      <c r="D1088" s="11" t="s">
        <v>91</v>
      </c>
      <c r="E1088" s="14" t="s">
        <v>52</v>
      </c>
      <c r="F1088" s="11" t="s">
        <v>53</v>
      </c>
      <c r="G1088" s="22" t="s">
        <v>582</v>
      </c>
      <c r="H1088" s="14"/>
      <c r="I1088" s="14"/>
      <c r="J1088" s="11">
        <v>19.0</v>
      </c>
      <c r="K1088" s="13">
        <v>38580.0</v>
      </c>
      <c r="L1088" s="14"/>
      <c r="M1088" s="11">
        <v>465657.0</v>
      </c>
      <c r="N1088" s="11">
        <v>6941.0</v>
      </c>
      <c r="O1088" s="4" t="s">
        <v>2252</v>
      </c>
      <c r="P1088" s="11">
        <v>298.0</v>
      </c>
      <c r="Q1088" s="15">
        <v>315.333</v>
      </c>
      <c r="R1088" s="22">
        <v>0.0</v>
      </c>
      <c r="S1088">
        <f t="shared" si="1"/>
        <v>2003</v>
      </c>
      <c r="T1088">
        <f t="shared" si="2"/>
        <v>1</v>
      </c>
      <c r="AF1088" s="18"/>
      <c r="AG1088" s="19"/>
      <c r="AL1088" s="18"/>
      <c r="AM1088" s="19"/>
    </row>
    <row r="1089">
      <c r="A1089" s="4" t="s">
        <v>454</v>
      </c>
      <c r="B1089" s="10">
        <v>37622.0</v>
      </c>
      <c r="C1089" s="11" t="s">
        <v>81</v>
      </c>
      <c r="D1089" s="11" t="s">
        <v>110</v>
      </c>
      <c r="E1089" s="14" t="s">
        <v>52</v>
      </c>
      <c r="F1089" s="11" t="s">
        <v>76</v>
      </c>
      <c r="G1089" s="22" t="s">
        <v>436</v>
      </c>
      <c r="H1089" s="14"/>
      <c r="I1089" s="14"/>
      <c r="J1089" s="11">
        <v>21.0</v>
      </c>
      <c r="K1089" s="13">
        <v>38452.0</v>
      </c>
      <c r="L1089" s="14"/>
      <c r="M1089" s="11">
        <v>425539.0</v>
      </c>
      <c r="N1089" s="11">
        <v>7016.0</v>
      </c>
      <c r="P1089" s="11">
        <v>218.0</v>
      </c>
      <c r="Q1089" s="15">
        <v>292.333</v>
      </c>
      <c r="R1089" s="22">
        <v>0.0</v>
      </c>
      <c r="S1089">
        <f t="shared" si="1"/>
        <v>2003</v>
      </c>
      <c r="T1089">
        <f t="shared" si="2"/>
        <v>1</v>
      </c>
      <c r="AF1089" s="18"/>
      <c r="AG1089" s="19"/>
      <c r="AL1089" s="18"/>
      <c r="AM1089" s="19"/>
    </row>
    <row r="1090">
      <c r="A1090" s="4" t="s">
        <v>2424</v>
      </c>
      <c r="B1090" s="10">
        <v>37622.0</v>
      </c>
      <c r="C1090" s="11" t="s">
        <v>114</v>
      </c>
      <c r="D1090" s="11" t="s">
        <v>82</v>
      </c>
      <c r="E1090" s="14" t="s">
        <v>52</v>
      </c>
      <c r="F1090" s="11" t="s">
        <v>53</v>
      </c>
      <c r="G1090" s="14" t="s">
        <v>54</v>
      </c>
      <c r="H1090" s="11" t="s">
        <v>279</v>
      </c>
      <c r="I1090" s="11" t="s">
        <v>279</v>
      </c>
      <c r="J1090" s="11">
        <v>24.0</v>
      </c>
      <c r="K1090" s="13"/>
      <c r="L1090" s="14"/>
      <c r="M1090" s="11">
        <v>424947.0</v>
      </c>
      <c r="N1090" s="11">
        <v>1599.0</v>
      </c>
      <c r="P1090" s="11">
        <v>0.0</v>
      </c>
      <c r="Q1090" s="15">
        <v>0.0</v>
      </c>
      <c r="R1090" s="22">
        <v>0.0</v>
      </c>
      <c r="S1090">
        <f t="shared" si="1"/>
        <v>2003</v>
      </c>
      <c r="T1090">
        <f t="shared" si="2"/>
        <v>1</v>
      </c>
      <c r="AF1090" s="18"/>
      <c r="AG1090" s="19"/>
      <c r="AL1090" s="18"/>
      <c r="AM1090" s="19"/>
    </row>
    <row r="1091">
      <c r="A1091" s="4" t="s">
        <v>2425</v>
      </c>
      <c r="B1091" s="10">
        <v>37622.0</v>
      </c>
      <c r="C1091" s="11" t="s">
        <v>49</v>
      </c>
      <c r="D1091" s="11" t="s">
        <v>82</v>
      </c>
      <c r="E1091" s="14" t="s">
        <v>52</v>
      </c>
      <c r="F1091" s="11" t="s">
        <v>76</v>
      </c>
      <c r="G1091" s="14" t="s">
        <v>54</v>
      </c>
      <c r="H1091" s="11" t="s">
        <v>337</v>
      </c>
      <c r="I1091" s="11" t="s">
        <v>2014</v>
      </c>
      <c r="J1091" s="11">
        <v>22.0</v>
      </c>
      <c r="K1091" s="13">
        <v>38449.0</v>
      </c>
      <c r="L1091" s="14"/>
      <c r="M1091" s="11">
        <v>430685.0</v>
      </c>
      <c r="N1091" s="11" t="s">
        <v>2427</v>
      </c>
      <c r="P1091" s="11">
        <v>0.0</v>
      </c>
      <c r="Q1091" s="15">
        <v>0.0</v>
      </c>
      <c r="R1091" s="22">
        <v>0.0</v>
      </c>
      <c r="S1091">
        <f t="shared" si="1"/>
        <v>2003</v>
      </c>
      <c r="T1091">
        <f t="shared" si="2"/>
        <v>1</v>
      </c>
      <c r="AF1091" s="18"/>
      <c r="AG1091" s="19"/>
      <c r="AL1091" s="18"/>
      <c r="AM1091" s="19"/>
    </row>
    <row r="1092">
      <c r="A1092" s="4" t="s">
        <v>799</v>
      </c>
      <c r="B1092" s="10">
        <v>37622.0</v>
      </c>
      <c r="C1092" s="11" t="s">
        <v>90</v>
      </c>
      <c r="D1092" s="11" t="s">
        <v>151</v>
      </c>
      <c r="E1092" s="14" t="s">
        <v>52</v>
      </c>
      <c r="F1092" s="11" t="s">
        <v>53</v>
      </c>
      <c r="G1092" s="14" t="s">
        <v>54</v>
      </c>
      <c r="H1092" s="11" t="s">
        <v>476</v>
      </c>
      <c r="I1092" s="11" t="s">
        <v>1209</v>
      </c>
      <c r="J1092" s="11">
        <v>19.0</v>
      </c>
      <c r="K1092" s="13">
        <v>39083.0</v>
      </c>
      <c r="L1092" s="14"/>
      <c r="M1092" s="11">
        <v>518875.0</v>
      </c>
      <c r="N1092" s="11">
        <v>7773.0</v>
      </c>
      <c r="P1092" s="11">
        <v>63.0</v>
      </c>
      <c r="Q1092" s="15">
        <v>71.0</v>
      </c>
      <c r="R1092" s="22">
        <v>0.0</v>
      </c>
      <c r="S1092">
        <f t="shared" si="1"/>
        <v>2003</v>
      </c>
      <c r="T1092">
        <f t="shared" si="2"/>
        <v>1</v>
      </c>
      <c r="AF1092" s="18"/>
      <c r="AG1092" s="19"/>
      <c r="AL1092" s="18"/>
      <c r="AM1092" s="19"/>
    </row>
    <row r="1093">
      <c r="A1093" s="4" t="s">
        <v>257</v>
      </c>
      <c r="B1093" s="10">
        <v>37622.0</v>
      </c>
      <c r="C1093" s="11" t="s">
        <v>270</v>
      </c>
      <c r="D1093" s="11" t="s">
        <v>151</v>
      </c>
      <c r="E1093" s="14" t="s">
        <v>52</v>
      </c>
      <c r="F1093" s="11" t="s">
        <v>53</v>
      </c>
      <c r="G1093" s="14" t="s">
        <v>54</v>
      </c>
      <c r="H1093" s="11" t="s">
        <v>163</v>
      </c>
      <c r="I1093" s="11" t="s">
        <v>956</v>
      </c>
      <c r="J1093" s="11">
        <v>21.0</v>
      </c>
      <c r="K1093" s="13">
        <v>37987.0</v>
      </c>
      <c r="L1093" s="14"/>
      <c r="M1093" s="11">
        <v>451216.0</v>
      </c>
      <c r="N1093" s="11">
        <v>6485.0</v>
      </c>
      <c r="P1093" s="11">
        <v>315.0</v>
      </c>
      <c r="Q1093" s="15">
        <v>320.0</v>
      </c>
      <c r="R1093" s="22">
        <v>0.0</v>
      </c>
      <c r="S1093">
        <f t="shared" si="1"/>
        <v>2003</v>
      </c>
      <c r="T1093">
        <f t="shared" si="2"/>
        <v>1</v>
      </c>
      <c r="AF1093" s="18"/>
      <c r="AG1093" s="19"/>
      <c r="AL1093" s="18"/>
      <c r="AM1093" s="19"/>
    </row>
    <row r="1094">
      <c r="A1094" s="4" t="s">
        <v>277</v>
      </c>
      <c r="B1094" s="10">
        <v>37622.0</v>
      </c>
      <c r="C1094" s="11" t="s">
        <v>179</v>
      </c>
      <c r="D1094" s="11" t="s">
        <v>91</v>
      </c>
      <c r="E1094" s="14" t="s">
        <v>52</v>
      </c>
      <c r="F1094" s="11" t="s">
        <v>53</v>
      </c>
      <c r="G1094" s="14" t="s">
        <v>54</v>
      </c>
      <c r="H1094" s="11" t="s">
        <v>92</v>
      </c>
      <c r="I1094" s="11" t="s">
        <v>2428</v>
      </c>
      <c r="J1094" s="11">
        <v>20.0</v>
      </c>
      <c r="K1094" s="13">
        <v>37987.0</v>
      </c>
      <c r="L1094" s="14"/>
      <c r="M1094" s="11">
        <v>444857.0</v>
      </c>
      <c r="N1094" s="11">
        <v>6283.0</v>
      </c>
      <c r="P1094" s="11">
        <v>321.0</v>
      </c>
      <c r="Q1094" s="15">
        <v>1275.0</v>
      </c>
      <c r="R1094" s="22">
        <v>1.0</v>
      </c>
      <c r="S1094">
        <f t="shared" si="1"/>
        <v>2003</v>
      </c>
      <c r="T1094">
        <f t="shared" si="2"/>
        <v>1</v>
      </c>
      <c r="AF1094" s="18"/>
      <c r="AG1094" s="19"/>
      <c r="AL1094" s="18"/>
      <c r="AM1094" s="19"/>
    </row>
    <row r="1095">
      <c r="A1095" s="4" t="s">
        <v>2429</v>
      </c>
      <c r="B1095" s="10">
        <v>37622.0</v>
      </c>
      <c r="C1095" s="11" t="s">
        <v>179</v>
      </c>
      <c r="D1095" s="11" t="s">
        <v>82</v>
      </c>
      <c r="E1095" s="14" t="s">
        <v>52</v>
      </c>
      <c r="F1095" s="11" t="s">
        <v>76</v>
      </c>
      <c r="G1095" s="14" t="s">
        <v>54</v>
      </c>
      <c r="H1095" s="11" t="s">
        <v>260</v>
      </c>
      <c r="I1095" s="11" t="s">
        <v>2430</v>
      </c>
      <c r="J1095" s="11">
        <v>22.0</v>
      </c>
      <c r="K1095" s="13">
        <v>37987.0</v>
      </c>
      <c r="L1095" s="14"/>
      <c r="M1095" s="11">
        <v>420684.0</v>
      </c>
      <c r="N1095" s="11">
        <v>1634.0</v>
      </c>
      <c r="P1095" s="11">
        <v>0.0</v>
      </c>
      <c r="Q1095" s="15">
        <v>0.0</v>
      </c>
      <c r="R1095" s="22">
        <v>0.0</v>
      </c>
      <c r="S1095">
        <f t="shared" si="1"/>
        <v>2003</v>
      </c>
      <c r="T1095">
        <f t="shared" si="2"/>
        <v>1</v>
      </c>
      <c r="AF1095" s="18"/>
      <c r="AG1095" s="19"/>
      <c r="AL1095" s="18"/>
      <c r="AM1095" s="19"/>
    </row>
    <row r="1096">
      <c r="A1096" s="4" t="s">
        <v>2431</v>
      </c>
      <c r="B1096" s="10">
        <v>37622.0</v>
      </c>
      <c r="C1096" s="11" t="s">
        <v>179</v>
      </c>
      <c r="D1096" s="11" t="s">
        <v>151</v>
      </c>
      <c r="E1096" s="11" t="s">
        <v>52</v>
      </c>
      <c r="F1096" s="11" t="s">
        <v>53</v>
      </c>
      <c r="G1096" s="11" t="s">
        <v>54</v>
      </c>
      <c r="H1096" s="11" t="s">
        <v>260</v>
      </c>
      <c r="I1096" s="11" t="s">
        <v>2106</v>
      </c>
      <c r="J1096" s="11">
        <v>21.0</v>
      </c>
      <c r="K1096" s="13">
        <v>38527.0</v>
      </c>
      <c r="L1096" s="14"/>
      <c r="M1096" s="11">
        <v>457639.0</v>
      </c>
      <c r="N1096" s="11" t="s">
        <v>2432</v>
      </c>
      <c r="O1096" s="4" t="s">
        <v>2344</v>
      </c>
      <c r="P1096" s="11">
        <v>0.0</v>
      </c>
      <c r="Q1096" s="15">
        <v>0.0</v>
      </c>
      <c r="R1096" s="22">
        <v>0.0</v>
      </c>
      <c r="S1096">
        <f t="shared" si="1"/>
        <v>2003</v>
      </c>
      <c r="T1096">
        <f t="shared" si="2"/>
        <v>1</v>
      </c>
      <c r="AF1096" s="18"/>
      <c r="AG1096" s="19"/>
      <c r="AL1096" s="18"/>
      <c r="AM1096" s="19"/>
    </row>
    <row r="1097">
      <c r="A1097" s="4" t="s">
        <v>2434</v>
      </c>
      <c r="B1097" s="10">
        <v>37622.0</v>
      </c>
      <c r="C1097" s="11" t="s">
        <v>711</v>
      </c>
      <c r="D1097" s="11" t="s">
        <v>110</v>
      </c>
      <c r="E1097" s="14" t="s">
        <v>52</v>
      </c>
      <c r="F1097" s="11" t="s">
        <v>53</v>
      </c>
      <c r="G1097" s="22" t="s">
        <v>83</v>
      </c>
      <c r="H1097" s="14"/>
      <c r="I1097" s="14"/>
      <c r="J1097" s="11">
        <v>22.0</v>
      </c>
      <c r="K1097" s="13">
        <v>37987.0</v>
      </c>
      <c r="L1097" s="14"/>
      <c r="M1097" s="11">
        <v>425564.0</v>
      </c>
      <c r="N1097" s="11">
        <v>2091.0</v>
      </c>
      <c r="P1097" s="11">
        <v>40.0</v>
      </c>
      <c r="Q1097" s="15">
        <v>49.333</v>
      </c>
      <c r="R1097" s="22">
        <v>0.0</v>
      </c>
      <c r="S1097">
        <f t="shared" si="1"/>
        <v>2003</v>
      </c>
      <c r="T1097">
        <f t="shared" si="2"/>
        <v>1</v>
      </c>
      <c r="AF1097" s="18"/>
      <c r="AG1097" s="19"/>
      <c r="AL1097" s="18"/>
      <c r="AM1097" s="19"/>
    </row>
    <row r="1098">
      <c r="A1098" s="4" t="s">
        <v>2435</v>
      </c>
      <c r="B1098" s="10">
        <v>37622.0</v>
      </c>
      <c r="C1098" s="11" t="s">
        <v>74</v>
      </c>
      <c r="D1098" s="11" t="s">
        <v>91</v>
      </c>
      <c r="E1098" s="14" t="s">
        <v>52</v>
      </c>
      <c r="F1098" s="11" t="s">
        <v>53</v>
      </c>
      <c r="G1098" s="22" t="s">
        <v>265</v>
      </c>
      <c r="H1098" s="14"/>
      <c r="I1098" s="14"/>
      <c r="J1098" s="11">
        <v>21.0</v>
      </c>
      <c r="K1098" s="13">
        <v>37987.0</v>
      </c>
      <c r="L1098" s="14"/>
      <c r="M1098" s="11">
        <v>451482.0</v>
      </c>
      <c r="N1098" s="11">
        <v>4222.0</v>
      </c>
      <c r="P1098" s="11">
        <v>100.0</v>
      </c>
      <c r="Q1098" s="15">
        <v>542.0</v>
      </c>
      <c r="R1098" s="22">
        <v>0.0</v>
      </c>
      <c r="S1098">
        <f t="shared" si="1"/>
        <v>2003</v>
      </c>
      <c r="T1098">
        <f t="shared" si="2"/>
        <v>1</v>
      </c>
      <c r="AF1098" s="18"/>
      <c r="AG1098" s="19"/>
      <c r="AL1098" s="18"/>
      <c r="AM1098" s="19"/>
    </row>
    <row r="1099">
      <c r="A1099" s="4" t="s">
        <v>2436</v>
      </c>
      <c r="B1099" s="10">
        <v>37599.0</v>
      </c>
      <c r="C1099" s="11" t="s">
        <v>169</v>
      </c>
      <c r="D1099" s="11" t="s">
        <v>51</v>
      </c>
      <c r="E1099" s="14" t="s">
        <v>52</v>
      </c>
      <c r="F1099" s="11" t="s">
        <v>53</v>
      </c>
      <c r="G1099" s="14" t="s">
        <v>54</v>
      </c>
      <c r="H1099" s="11" t="s">
        <v>291</v>
      </c>
      <c r="I1099" s="11" t="s">
        <v>291</v>
      </c>
      <c r="J1099" s="11">
        <v>33.0</v>
      </c>
      <c r="K1099" s="13">
        <v>38174.0</v>
      </c>
      <c r="L1099" s="11">
        <f>ROUND(((K1099-B1099)/365)*12)</f>
        <v>19</v>
      </c>
      <c r="M1099" s="11">
        <v>124233.0</v>
      </c>
      <c r="N1099" s="11">
        <v>413.0</v>
      </c>
      <c r="O1099" s="4" t="s">
        <v>704</v>
      </c>
      <c r="P1099" s="11">
        <v>208.0</v>
      </c>
      <c r="Q1099" s="32">
        <v>196.0</v>
      </c>
      <c r="R1099" s="22">
        <v>0.0</v>
      </c>
      <c r="S1099">
        <f t="shared" si="1"/>
        <v>2002</v>
      </c>
      <c r="T1099">
        <f t="shared" si="2"/>
        <v>12</v>
      </c>
      <c r="AF1099" s="18"/>
      <c r="AG1099" s="19"/>
      <c r="AL1099" s="18"/>
      <c r="AM1099" s="19"/>
    </row>
    <row r="1100">
      <c r="A1100" s="4" t="s">
        <v>2437</v>
      </c>
      <c r="B1100" s="10">
        <v>37509.0</v>
      </c>
      <c r="C1100" s="11" t="s">
        <v>209</v>
      </c>
      <c r="D1100" s="11" t="s">
        <v>82</v>
      </c>
      <c r="E1100" s="14" t="s">
        <v>52</v>
      </c>
      <c r="F1100" s="11" t="s">
        <v>76</v>
      </c>
      <c r="G1100" s="22" t="s">
        <v>312</v>
      </c>
      <c r="H1100" s="14"/>
      <c r="I1100" s="14"/>
      <c r="J1100" s="11">
        <v>23.0</v>
      </c>
      <c r="K1100" s="13">
        <v>37987.0</v>
      </c>
      <c r="L1100" s="11"/>
      <c r="M1100" s="11">
        <v>407853.0</v>
      </c>
      <c r="N1100" s="11">
        <v>126.0</v>
      </c>
      <c r="P1100" s="11">
        <v>239.0</v>
      </c>
      <c r="Q1100" s="15">
        <v>1303.0</v>
      </c>
      <c r="R1100" s="11">
        <v>0.0</v>
      </c>
      <c r="S1100">
        <f t="shared" si="1"/>
        <v>2002</v>
      </c>
      <c r="T1100">
        <f t="shared" si="2"/>
        <v>9</v>
      </c>
      <c r="AF1100" s="18"/>
      <c r="AG1100" s="19"/>
      <c r="AL1100" s="18"/>
      <c r="AM1100" s="19"/>
    </row>
    <row r="1101">
      <c r="A1101" s="4" t="s">
        <v>424</v>
      </c>
      <c r="B1101" s="10">
        <v>37500.0</v>
      </c>
      <c r="C1101" s="11" t="s">
        <v>159</v>
      </c>
      <c r="D1101" s="11" t="s">
        <v>51</v>
      </c>
      <c r="E1101" s="14" t="s">
        <v>52</v>
      </c>
      <c r="F1101" s="11" t="s">
        <v>53</v>
      </c>
      <c r="G1101" s="14" t="s">
        <v>54</v>
      </c>
      <c r="H1101" s="11" t="s">
        <v>341</v>
      </c>
      <c r="I1101" s="11" t="s">
        <v>650</v>
      </c>
      <c r="J1101" s="11">
        <v>35.0</v>
      </c>
      <c r="K1101" s="13">
        <v>38105.0</v>
      </c>
      <c r="L1101" s="11">
        <f>ROUND(((K1101-B1101)/365)*12)</f>
        <v>20</v>
      </c>
      <c r="M1101" s="11">
        <v>111492.0</v>
      </c>
      <c r="N1101" s="11">
        <v>551.0</v>
      </c>
      <c r="O1101" s="4" t="s">
        <v>102</v>
      </c>
      <c r="P1101" s="11">
        <v>288.0</v>
      </c>
      <c r="Q1101" s="32">
        <v>317.0</v>
      </c>
      <c r="R1101" s="22">
        <v>0.0</v>
      </c>
      <c r="S1101">
        <f t="shared" si="1"/>
        <v>2002</v>
      </c>
      <c r="T1101">
        <f t="shared" si="2"/>
        <v>9</v>
      </c>
      <c r="AF1101" s="18"/>
      <c r="AG1101" s="19"/>
      <c r="AL1101" s="18"/>
      <c r="AM1101" s="19"/>
    </row>
    <row r="1102">
      <c r="A1102" s="4" t="s">
        <v>2439</v>
      </c>
      <c r="B1102" s="10">
        <v>37500.0</v>
      </c>
      <c r="C1102" s="11" t="s">
        <v>125</v>
      </c>
      <c r="D1102" s="11" t="s">
        <v>82</v>
      </c>
      <c r="E1102" s="22" t="s">
        <v>264</v>
      </c>
      <c r="F1102" s="11" t="s">
        <v>53</v>
      </c>
      <c r="G1102" s="14" t="s">
        <v>54</v>
      </c>
      <c r="H1102" s="11" t="s">
        <v>260</v>
      </c>
      <c r="I1102" s="11"/>
      <c r="J1102" s="11">
        <v>22.0</v>
      </c>
      <c r="K1102" s="13">
        <v>37622.0</v>
      </c>
      <c r="L1102" s="11"/>
      <c r="M1102" s="11">
        <v>407399.0</v>
      </c>
      <c r="N1102" s="11">
        <v>992.0</v>
      </c>
      <c r="P1102" s="11">
        <v>32.0</v>
      </c>
      <c r="Q1102" s="15">
        <v>63.0</v>
      </c>
      <c r="R1102" s="22">
        <v>0.0</v>
      </c>
      <c r="S1102">
        <f t="shared" si="1"/>
        <v>2002</v>
      </c>
      <c r="T1102">
        <f t="shared" si="2"/>
        <v>9</v>
      </c>
      <c r="AF1102" s="18"/>
      <c r="AG1102" s="19"/>
      <c r="AL1102" s="18"/>
      <c r="AM1102" s="19"/>
    </row>
    <row r="1103">
      <c r="A1103" s="4" t="s">
        <v>2440</v>
      </c>
      <c r="B1103" s="10">
        <v>37491.0</v>
      </c>
      <c r="C1103" s="11" t="s">
        <v>331</v>
      </c>
      <c r="D1103" s="11" t="s">
        <v>91</v>
      </c>
      <c r="E1103" s="14" t="s">
        <v>52</v>
      </c>
      <c r="F1103" s="11" t="s">
        <v>76</v>
      </c>
      <c r="G1103" s="22" t="s">
        <v>83</v>
      </c>
      <c r="H1103" s="14"/>
      <c r="I1103" s="14"/>
      <c r="J1103" s="11">
        <v>25.0</v>
      </c>
      <c r="K1103" s="13">
        <v>37622.0</v>
      </c>
      <c r="L1103" s="14"/>
      <c r="M1103" s="11">
        <v>407299.0</v>
      </c>
      <c r="N1103" s="11">
        <v>1000408.0</v>
      </c>
      <c r="P1103" s="11">
        <v>0.0</v>
      </c>
      <c r="Q1103" s="15">
        <v>0.0</v>
      </c>
      <c r="R1103" s="22">
        <v>0.0</v>
      </c>
      <c r="S1103">
        <f t="shared" si="1"/>
        <v>2002</v>
      </c>
      <c r="T1103">
        <f t="shared" si="2"/>
        <v>8</v>
      </c>
      <c r="AF1103" s="18"/>
      <c r="AG1103" s="19"/>
      <c r="AL1103" s="18"/>
      <c r="AM1103" s="19"/>
    </row>
    <row r="1104">
      <c r="A1104" s="4" t="s">
        <v>2441</v>
      </c>
      <c r="B1104" s="10">
        <v>37476.0</v>
      </c>
      <c r="C1104" s="11" t="s">
        <v>350</v>
      </c>
      <c r="D1104" s="11" t="s">
        <v>51</v>
      </c>
      <c r="E1104" s="14" t="s">
        <v>52</v>
      </c>
      <c r="F1104" s="11" t="s">
        <v>53</v>
      </c>
      <c r="G1104" s="14" t="s">
        <v>54</v>
      </c>
      <c r="H1104" s="11" t="s">
        <v>55</v>
      </c>
      <c r="I1104" s="11" t="s">
        <v>2442</v>
      </c>
      <c r="J1104" s="11">
        <v>32.0</v>
      </c>
      <c r="K1104" s="13">
        <v>38108.0</v>
      </c>
      <c r="L1104" s="11">
        <f>ROUND(((K1104-B1104)/365)*12)</f>
        <v>21</v>
      </c>
      <c r="M1104" s="11">
        <v>117758.0</v>
      </c>
      <c r="N1104" s="11">
        <v>287.0</v>
      </c>
      <c r="O1104" s="4" t="s">
        <v>59</v>
      </c>
      <c r="P1104" s="11">
        <v>129.0</v>
      </c>
      <c r="Q1104" s="15">
        <v>687.667</v>
      </c>
      <c r="R1104" s="22">
        <v>0.0</v>
      </c>
      <c r="S1104">
        <f t="shared" si="1"/>
        <v>2002</v>
      </c>
      <c r="T1104">
        <f t="shared" si="2"/>
        <v>8</v>
      </c>
      <c r="AF1104" s="18"/>
      <c r="AG1104" s="19"/>
      <c r="AL1104" s="18"/>
      <c r="AM1104" s="19"/>
    </row>
    <row r="1105">
      <c r="A1105" s="4" t="s">
        <v>2443</v>
      </c>
      <c r="B1105" s="10">
        <v>37475.0</v>
      </c>
      <c r="C1105" s="11" t="s">
        <v>350</v>
      </c>
      <c r="D1105" s="11" t="s">
        <v>75</v>
      </c>
      <c r="E1105" s="14" t="s">
        <v>52</v>
      </c>
      <c r="F1105" s="11" t="s">
        <v>53</v>
      </c>
      <c r="G1105" s="14" t="s">
        <v>54</v>
      </c>
      <c r="H1105" s="11" t="s">
        <v>154</v>
      </c>
      <c r="I1105" s="11" t="s">
        <v>2444</v>
      </c>
      <c r="J1105" s="11">
        <v>24.0</v>
      </c>
      <c r="K1105" s="13">
        <v>37987.0</v>
      </c>
      <c r="L1105" s="14"/>
      <c r="M1105" s="11">
        <v>400130.0</v>
      </c>
      <c r="N1105" s="11">
        <v>269.0</v>
      </c>
      <c r="P1105" s="11">
        <v>0.0</v>
      </c>
      <c r="Q1105" s="15">
        <v>0.0</v>
      </c>
      <c r="R1105" s="22">
        <v>0.0</v>
      </c>
      <c r="S1105">
        <f t="shared" si="1"/>
        <v>2002</v>
      </c>
      <c r="T1105">
        <f t="shared" si="2"/>
        <v>8</v>
      </c>
      <c r="AF1105" s="18"/>
      <c r="AG1105" s="19"/>
      <c r="AL1105" s="18"/>
      <c r="AM1105" s="19"/>
    </row>
    <row r="1106">
      <c r="A1106" s="4" t="s">
        <v>2445</v>
      </c>
      <c r="B1106" s="10">
        <v>37467.0</v>
      </c>
      <c r="C1106" s="11" t="s">
        <v>179</v>
      </c>
      <c r="D1106" s="11" t="s">
        <v>51</v>
      </c>
      <c r="E1106" s="14" t="s">
        <v>52</v>
      </c>
      <c r="F1106" s="11" t="s">
        <v>53</v>
      </c>
      <c r="G1106" s="22" t="s">
        <v>312</v>
      </c>
      <c r="H1106" s="14"/>
      <c r="I1106" s="14"/>
      <c r="J1106" s="11">
        <v>29.0</v>
      </c>
      <c r="K1106" s="13"/>
      <c r="L1106" s="14"/>
      <c r="M1106" s="11">
        <v>150293.0</v>
      </c>
      <c r="N1106" s="11">
        <v>1014446.0</v>
      </c>
      <c r="P1106" s="11">
        <v>0.0</v>
      </c>
      <c r="Q1106" s="32">
        <v>0.0</v>
      </c>
      <c r="R1106" s="22">
        <v>0.0</v>
      </c>
      <c r="S1106">
        <f t="shared" si="1"/>
        <v>2002</v>
      </c>
      <c r="T1106">
        <f t="shared" si="2"/>
        <v>7</v>
      </c>
      <c r="AF1106" s="18"/>
      <c r="AG1106" s="19"/>
      <c r="AL1106" s="18"/>
      <c r="AM1106" s="19"/>
    </row>
    <row r="1107">
      <c r="A1107" s="4" t="s">
        <v>2446</v>
      </c>
      <c r="B1107" s="10">
        <v>37438.0</v>
      </c>
      <c r="C1107" s="11" t="s">
        <v>350</v>
      </c>
      <c r="D1107" s="11" t="s">
        <v>82</v>
      </c>
      <c r="E1107" s="14" t="s">
        <v>52</v>
      </c>
      <c r="F1107" s="11" t="s">
        <v>53</v>
      </c>
      <c r="G1107" s="14" t="s">
        <v>54</v>
      </c>
      <c r="H1107" s="11" t="s">
        <v>250</v>
      </c>
      <c r="I1107" s="11" t="s">
        <v>371</v>
      </c>
      <c r="J1107" s="11">
        <v>24.0</v>
      </c>
      <c r="K1107" s="13">
        <v>37987.0</v>
      </c>
      <c r="L1107" s="14"/>
      <c r="M1107" s="11">
        <v>279908.0</v>
      </c>
      <c r="N1107" s="11"/>
      <c r="P1107" s="11">
        <v>0.0</v>
      </c>
      <c r="Q1107" s="15">
        <v>0.0</v>
      </c>
      <c r="R1107" s="22">
        <v>0.0</v>
      </c>
      <c r="S1107">
        <f t="shared" si="1"/>
        <v>2002</v>
      </c>
      <c r="T1107">
        <f t="shared" si="2"/>
        <v>7</v>
      </c>
      <c r="AF1107" s="18"/>
      <c r="AG1107" s="19"/>
      <c r="AL1107" s="18"/>
      <c r="AM1107" s="19"/>
    </row>
    <row r="1108">
      <c r="A1108" s="4" t="s">
        <v>2447</v>
      </c>
      <c r="B1108" s="10">
        <v>37435.0</v>
      </c>
      <c r="C1108" s="11" t="s">
        <v>159</v>
      </c>
      <c r="D1108" s="11" t="s">
        <v>51</v>
      </c>
      <c r="E1108" s="14" t="s">
        <v>52</v>
      </c>
      <c r="F1108" s="11" t="s">
        <v>53</v>
      </c>
      <c r="G1108" s="14" t="s">
        <v>54</v>
      </c>
      <c r="H1108" s="11" t="s">
        <v>92</v>
      </c>
      <c r="I1108" s="11" t="s">
        <v>2448</v>
      </c>
      <c r="J1108" s="11">
        <v>31.0</v>
      </c>
      <c r="K1108" s="13">
        <v>37821.0</v>
      </c>
      <c r="L1108" s="11">
        <f>ROUND(((K1108-B1108)/365)*12)</f>
        <v>13</v>
      </c>
      <c r="M1108" s="11">
        <v>120285.0</v>
      </c>
      <c r="N1108" s="11">
        <v>485.0</v>
      </c>
      <c r="P1108" s="11">
        <v>56.0</v>
      </c>
      <c r="Q1108" s="32">
        <v>59.333000000000006</v>
      </c>
      <c r="R1108" s="22">
        <v>0.0</v>
      </c>
      <c r="S1108">
        <f t="shared" si="1"/>
        <v>2002</v>
      </c>
      <c r="T1108">
        <f t="shared" si="2"/>
        <v>6</v>
      </c>
      <c r="AF1108" s="18"/>
      <c r="AG1108" s="19"/>
      <c r="AL1108" s="18"/>
      <c r="AM1108" s="19"/>
    </row>
    <row r="1109">
      <c r="A1109" s="4" t="s">
        <v>876</v>
      </c>
      <c r="B1109" s="10">
        <v>37426.0</v>
      </c>
      <c r="C1109" s="11" t="s">
        <v>109</v>
      </c>
      <c r="D1109" s="11" t="s">
        <v>75</v>
      </c>
      <c r="E1109" s="14" t="s">
        <v>52</v>
      </c>
      <c r="F1109" s="11" t="s">
        <v>53</v>
      </c>
      <c r="G1109" s="14" t="s">
        <v>54</v>
      </c>
      <c r="H1109" s="11" t="s">
        <v>1312</v>
      </c>
      <c r="I1109" s="11" t="s">
        <v>1312</v>
      </c>
      <c r="J1109" s="11">
        <v>24.0</v>
      </c>
      <c r="K1109" s="13">
        <v>37622.0</v>
      </c>
      <c r="L1109" s="14"/>
      <c r="M1109" s="11">
        <v>407884.0</v>
      </c>
      <c r="N1109" s="11">
        <v>1527.0</v>
      </c>
      <c r="P1109" s="11">
        <v>239.0</v>
      </c>
      <c r="Q1109" s="15">
        <v>248.0</v>
      </c>
      <c r="R1109" s="22">
        <v>0.0</v>
      </c>
      <c r="S1109">
        <f t="shared" si="1"/>
        <v>2002</v>
      </c>
      <c r="T1109">
        <f t="shared" si="2"/>
        <v>6</v>
      </c>
      <c r="AF1109" s="18"/>
      <c r="AG1109" s="19"/>
      <c r="AL1109" s="18"/>
      <c r="AM1109" s="19"/>
    </row>
    <row r="1110">
      <c r="A1110" s="4" t="s">
        <v>2449</v>
      </c>
      <c r="B1110" s="10">
        <v>37417.0</v>
      </c>
      <c r="C1110" s="11" t="s">
        <v>90</v>
      </c>
      <c r="D1110" s="11" t="s">
        <v>82</v>
      </c>
      <c r="E1110" s="14" t="s">
        <v>52</v>
      </c>
      <c r="F1110" s="11" t="s">
        <v>76</v>
      </c>
      <c r="G1110" s="14" t="s">
        <v>54</v>
      </c>
      <c r="H1110" s="11" t="s">
        <v>597</v>
      </c>
      <c r="I1110" s="11" t="s">
        <v>2450</v>
      </c>
      <c r="J1110" s="11">
        <v>25.0</v>
      </c>
      <c r="K1110" s="13">
        <v>37622.0</v>
      </c>
      <c r="L1110" s="14"/>
      <c r="M1110" s="11">
        <v>407819.0</v>
      </c>
      <c r="N1110" s="11">
        <v>1918.0</v>
      </c>
      <c r="P1110" s="11">
        <v>748.0</v>
      </c>
      <c r="Q1110" s="15">
        <v>662.667</v>
      </c>
      <c r="R1110" s="22">
        <v>1.0</v>
      </c>
      <c r="S1110">
        <f t="shared" si="1"/>
        <v>2002</v>
      </c>
      <c r="T1110">
        <f t="shared" si="2"/>
        <v>6</v>
      </c>
      <c r="AF1110" s="18"/>
      <c r="AG1110" s="19"/>
      <c r="AL1110" s="18"/>
      <c r="AM1110" s="19"/>
    </row>
    <row r="1111">
      <c r="A1111" s="4" t="s">
        <v>2451</v>
      </c>
      <c r="B1111" s="10">
        <v>37412.0</v>
      </c>
      <c r="C1111" s="11" t="s">
        <v>49</v>
      </c>
      <c r="D1111" s="11" t="s">
        <v>51</v>
      </c>
      <c r="E1111" s="14" t="s">
        <v>52</v>
      </c>
      <c r="F1111" s="11" t="s">
        <v>53</v>
      </c>
      <c r="G1111" s="14" t="s">
        <v>54</v>
      </c>
      <c r="H1111" s="11" t="s">
        <v>260</v>
      </c>
      <c r="I1111" s="11" t="s">
        <v>2452</v>
      </c>
      <c r="J1111" s="11">
        <v>29.0</v>
      </c>
      <c r="K1111" s="13">
        <v>37771.0</v>
      </c>
      <c r="L1111" s="11">
        <f t="shared" ref="L1111:L1114" si="109">ROUND(((K1111-B1111)/365)*12)</f>
        <v>12</v>
      </c>
      <c r="M1111" s="11">
        <v>328092.0</v>
      </c>
      <c r="N1111" s="11">
        <v>1055.0</v>
      </c>
      <c r="P1111" s="11">
        <v>3.0</v>
      </c>
      <c r="Q1111" s="32">
        <v>10.332999999999998</v>
      </c>
      <c r="R1111" s="22">
        <v>0.0</v>
      </c>
      <c r="S1111">
        <f t="shared" si="1"/>
        <v>2002</v>
      </c>
      <c r="T1111">
        <f t="shared" si="2"/>
        <v>6</v>
      </c>
      <c r="AF1111" s="18"/>
      <c r="AG1111" s="19"/>
      <c r="AL1111" s="18"/>
      <c r="AM1111" s="19"/>
    </row>
    <row r="1112">
      <c r="A1112" s="4" t="s">
        <v>2453</v>
      </c>
      <c r="B1112" s="10">
        <v>37406.0</v>
      </c>
      <c r="C1112" s="11" t="s">
        <v>270</v>
      </c>
      <c r="D1112" s="11" t="s">
        <v>51</v>
      </c>
      <c r="E1112" s="14" t="s">
        <v>52</v>
      </c>
      <c r="F1112" s="11" t="s">
        <v>76</v>
      </c>
      <c r="G1112" s="14" t="s">
        <v>54</v>
      </c>
      <c r="H1112" s="11" t="s">
        <v>302</v>
      </c>
      <c r="I1112" s="11" t="s">
        <v>2454</v>
      </c>
      <c r="J1112" s="11">
        <v>32.0</v>
      </c>
      <c r="K1112" s="13">
        <v>37776.0</v>
      </c>
      <c r="L1112" s="11">
        <f t="shared" si="109"/>
        <v>12</v>
      </c>
      <c r="M1112" s="11">
        <v>112270.0</v>
      </c>
      <c r="N1112" s="11">
        <v>1111.0</v>
      </c>
      <c r="O1112" s="4" t="s">
        <v>59</v>
      </c>
      <c r="P1112" s="11">
        <v>168.0</v>
      </c>
      <c r="Q1112" s="15">
        <v>107.667</v>
      </c>
      <c r="R1112" s="22">
        <v>0.0</v>
      </c>
      <c r="S1112">
        <f t="shared" si="1"/>
        <v>2002</v>
      </c>
      <c r="T1112">
        <f t="shared" si="2"/>
        <v>5</v>
      </c>
      <c r="AF1112" s="18"/>
      <c r="AG1112" s="19"/>
      <c r="AL1112" s="18"/>
      <c r="AM1112" s="19"/>
    </row>
    <row r="1113">
      <c r="A1113" s="4" t="s">
        <v>310</v>
      </c>
      <c r="B1113" s="10">
        <v>37393.0</v>
      </c>
      <c r="C1113" s="11" t="s">
        <v>96</v>
      </c>
      <c r="D1113" s="11" t="s">
        <v>75</v>
      </c>
      <c r="E1113" s="14" t="s">
        <v>52</v>
      </c>
      <c r="F1113" s="11" t="s">
        <v>76</v>
      </c>
      <c r="G1113" s="14" t="s">
        <v>54</v>
      </c>
      <c r="H1113" s="11" t="s">
        <v>337</v>
      </c>
      <c r="I1113" s="11" t="s">
        <v>668</v>
      </c>
      <c r="J1113" s="11">
        <v>23.0</v>
      </c>
      <c r="K1113" s="13">
        <v>37745.0</v>
      </c>
      <c r="L1113" s="11">
        <f t="shared" si="109"/>
        <v>12</v>
      </c>
      <c r="M1113" s="11">
        <v>425626.0</v>
      </c>
      <c r="N1113" s="11">
        <v>1701.0</v>
      </c>
      <c r="O1113" s="4" t="s">
        <v>59</v>
      </c>
      <c r="P1113" s="11">
        <v>124.0</v>
      </c>
      <c r="Q1113" s="15">
        <v>711.667</v>
      </c>
      <c r="R1113" s="22">
        <v>0.0</v>
      </c>
      <c r="S1113">
        <f t="shared" si="1"/>
        <v>2002</v>
      </c>
      <c r="T1113">
        <f t="shared" si="2"/>
        <v>5</v>
      </c>
      <c r="AF1113" s="18"/>
      <c r="AG1113" s="19"/>
      <c r="AL1113" s="18"/>
      <c r="AM1113" s="19"/>
    </row>
    <row r="1114">
      <c r="A1114" s="4" t="s">
        <v>2456</v>
      </c>
      <c r="B1114" s="10">
        <v>37391.0</v>
      </c>
      <c r="C1114" s="11" t="s">
        <v>109</v>
      </c>
      <c r="D1114" s="11" t="s">
        <v>51</v>
      </c>
      <c r="E1114" s="14" t="s">
        <v>52</v>
      </c>
      <c r="F1114" s="11" t="s">
        <v>76</v>
      </c>
      <c r="G1114" s="14" t="s">
        <v>54</v>
      </c>
      <c r="H1114" s="11" t="s">
        <v>153</v>
      </c>
      <c r="I1114" s="11" t="s">
        <v>2265</v>
      </c>
      <c r="J1114" s="11">
        <v>41.0</v>
      </c>
      <c r="K1114" s="13">
        <v>37771.0</v>
      </c>
      <c r="L1114" s="11">
        <f t="shared" si="109"/>
        <v>12</v>
      </c>
      <c r="M1114" s="11">
        <v>114374.0</v>
      </c>
      <c r="N1114" s="11">
        <v>874.0</v>
      </c>
      <c r="O1114" s="4" t="s">
        <v>704</v>
      </c>
      <c r="P1114" s="11">
        <v>121.0</v>
      </c>
      <c r="Q1114" s="32">
        <v>95.33299999999998</v>
      </c>
      <c r="R1114" s="22">
        <v>0.0</v>
      </c>
      <c r="S1114">
        <f t="shared" si="1"/>
        <v>2002</v>
      </c>
      <c r="T1114">
        <f t="shared" si="2"/>
        <v>5</v>
      </c>
      <c r="AF1114" s="18"/>
      <c r="AG1114" s="19"/>
      <c r="AL1114" s="18"/>
      <c r="AM1114" s="19"/>
    </row>
    <row r="1115">
      <c r="A1115" s="4" t="s">
        <v>395</v>
      </c>
      <c r="B1115" s="10">
        <v>37370.0</v>
      </c>
      <c r="C1115" s="11" t="s">
        <v>130</v>
      </c>
      <c r="D1115" s="11" t="s">
        <v>51</v>
      </c>
      <c r="E1115" s="14" t="s">
        <v>52</v>
      </c>
      <c r="F1115" s="11" t="s">
        <v>53</v>
      </c>
      <c r="G1115" s="14" t="s">
        <v>54</v>
      </c>
      <c r="H1115" s="11" t="s">
        <v>260</v>
      </c>
      <c r="I1115" s="11" t="s">
        <v>2457</v>
      </c>
      <c r="J1115" s="11">
        <v>35.0</v>
      </c>
      <c r="K1115" s="14"/>
      <c r="L1115" s="14"/>
      <c r="M1115" s="11">
        <v>113782.0</v>
      </c>
      <c r="N1115" s="11">
        <v>1003714.0</v>
      </c>
      <c r="O1115" s="4" t="s">
        <v>808</v>
      </c>
      <c r="P1115" s="11">
        <v>0.0</v>
      </c>
      <c r="Q1115" s="32">
        <v>0.0</v>
      </c>
      <c r="R1115" s="22">
        <v>0.0</v>
      </c>
      <c r="S1115">
        <f t="shared" si="1"/>
        <v>2002</v>
      </c>
      <c r="T1115">
        <f t="shared" si="2"/>
        <v>4</v>
      </c>
      <c r="AF1115" s="18"/>
      <c r="AG1115" s="19"/>
      <c r="AL1115" s="18"/>
      <c r="AM1115" s="19"/>
    </row>
    <row r="1116">
      <c r="A1116" s="4" t="s">
        <v>2458</v>
      </c>
      <c r="B1116" s="10">
        <v>37367.0</v>
      </c>
      <c r="C1116" s="11" t="s">
        <v>119</v>
      </c>
      <c r="D1116" s="11" t="s">
        <v>51</v>
      </c>
      <c r="E1116" s="14" t="s">
        <v>52</v>
      </c>
      <c r="F1116" s="11" t="s">
        <v>53</v>
      </c>
      <c r="G1116" s="14" t="s">
        <v>54</v>
      </c>
      <c r="H1116" s="11" t="s">
        <v>153</v>
      </c>
      <c r="I1116" s="11" t="s">
        <v>2459</v>
      </c>
      <c r="J1116" s="11">
        <v>35.0</v>
      </c>
      <c r="K1116" s="14"/>
      <c r="L1116" s="14"/>
      <c r="M1116" s="11">
        <v>115487.0</v>
      </c>
      <c r="N1116" s="11">
        <v>1005374.0</v>
      </c>
      <c r="O1116" s="4" t="s">
        <v>287</v>
      </c>
      <c r="P1116" s="11">
        <v>0.0</v>
      </c>
      <c r="Q1116" s="32">
        <v>0.0</v>
      </c>
      <c r="R1116" s="22">
        <v>0.0</v>
      </c>
      <c r="S1116">
        <f t="shared" si="1"/>
        <v>2002</v>
      </c>
      <c r="T1116">
        <f t="shared" si="2"/>
        <v>4</v>
      </c>
      <c r="AF1116" s="18"/>
      <c r="AG1116" s="19"/>
      <c r="AL1116" s="18"/>
      <c r="AM1116" s="19"/>
    </row>
    <row r="1117">
      <c r="A1117" s="4" t="s">
        <v>2460</v>
      </c>
      <c r="B1117" s="10">
        <v>37347.0</v>
      </c>
      <c r="C1117" s="11" t="s">
        <v>123</v>
      </c>
      <c r="D1117" s="11" t="s">
        <v>51</v>
      </c>
      <c r="E1117" s="11" t="s">
        <v>52</v>
      </c>
      <c r="F1117" s="11" t="s">
        <v>76</v>
      </c>
      <c r="G1117" s="11" t="s">
        <v>54</v>
      </c>
      <c r="H1117" s="11" t="s">
        <v>416</v>
      </c>
      <c r="I1117" s="11" t="s">
        <v>2461</v>
      </c>
      <c r="J1117" s="11">
        <v>27.0</v>
      </c>
      <c r="K1117" s="13"/>
      <c r="L1117" s="14"/>
      <c r="M1117" s="11">
        <v>137004.0</v>
      </c>
      <c r="N1117" s="11">
        <v>1003603.0</v>
      </c>
      <c r="P1117" s="11">
        <v>0.0</v>
      </c>
      <c r="Q1117" s="15">
        <v>0.0</v>
      </c>
      <c r="R1117" s="22">
        <v>0.0</v>
      </c>
      <c r="S1117">
        <f t="shared" si="1"/>
        <v>2002</v>
      </c>
      <c r="T1117">
        <f t="shared" si="2"/>
        <v>4</v>
      </c>
      <c r="AF1117" s="18"/>
      <c r="AG1117" s="19"/>
      <c r="AL1117" s="18"/>
      <c r="AM1117" s="19"/>
    </row>
    <row r="1118">
      <c r="A1118" s="4" t="s">
        <v>2462</v>
      </c>
      <c r="B1118" s="10">
        <v>37315.0</v>
      </c>
      <c r="C1118" s="11" t="s">
        <v>270</v>
      </c>
      <c r="D1118" s="11" t="s">
        <v>110</v>
      </c>
      <c r="E1118" s="14" t="s">
        <v>52</v>
      </c>
      <c r="F1118" s="11" t="s">
        <v>76</v>
      </c>
      <c r="G1118" s="14" t="s">
        <v>54</v>
      </c>
      <c r="H1118" s="11" t="s">
        <v>291</v>
      </c>
      <c r="I1118" s="11" t="s">
        <v>291</v>
      </c>
      <c r="J1118" s="11">
        <v>24.0</v>
      </c>
      <c r="K1118" s="13">
        <v>37622.0</v>
      </c>
      <c r="L1118" s="14"/>
      <c r="M1118" s="11">
        <v>435620.0</v>
      </c>
      <c r="N1118" s="11">
        <v>2766.0</v>
      </c>
      <c r="P1118" s="11">
        <v>222.0</v>
      </c>
      <c r="Q1118" s="15">
        <v>189.0</v>
      </c>
      <c r="R1118" s="22">
        <v>0.0</v>
      </c>
      <c r="S1118">
        <f t="shared" si="1"/>
        <v>2002</v>
      </c>
      <c r="T1118">
        <f t="shared" si="2"/>
        <v>2</v>
      </c>
      <c r="AF1118" s="18"/>
      <c r="AG1118" s="19"/>
      <c r="AL1118" s="18"/>
      <c r="AM1118" s="19"/>
    </row>
    <row r="1119">
      <c r="A1119" s="4" t="s">
        <v>2464</v>
      </c>
      <c r="B1119" s="10">
        <v>37272.0</v>
      </c>
      <c r="C1119" s="11" t="s">
        <v>350</v>
      </c>
      <c r="D1119" s="11" t="s">
        <v>51</v>
      </c>
      <c r="E1119" s="14" t="s">
        <v>52</v>
      </c>
      <c r="F1119" s="11" t="s">
        <v>76</v>
      </c>
      <c r="G1119" s="14" t="s">
        <v>54</v>
      </c>
      <c r="H1119" s="11" t="s">
        <v>341</v>
      </c>
      <c r="I1119" s="11" t="s">
        <v>223</v>
      </c>
      <c r="J1119" s="11">
        <v>24.0</v>
      </c>
      <c r="K1119" s="13">
        <v>38468.0</v>
      </c>
      <c r="L1119" s="11">
        <f>ROUND(((K1119-B1119)/365)*12)</f>
        <v>39</v>
      </c>
      <c r="M1119" s="11">
        <v>349193.0</v>
      </c>
      <c r="N1119" s="11">
        <v>296.0</v>
      </c>
      <c r="P1119" s="11">
        <v>466.0</v>
      </c>
      <c r="Q1119" s="32">
        <v>338.0</v>
      </c>
      <c r="R1119" s="22">
        <v>0.0</v>
      </c>
      <c r="S1119">
        <f t="shared" si="1"/>
        <v>2002</v>
      </c>
      <c r="T1119">
        <f t="shared" si="2"/>
        <v>1</v>
      </c>
      <c r="AF1119" s="18"/>
      <c r="AG1119" s="19"/>
      <c r="AL1119" s="18"/>
      <c r="AM1119" s="19"/>
    </row>
    <row r="1120">
      <c r="A1120" s="4" t="s">
        <v>219</v>
      </c>
      <c r="B1120" s="10">
        <v>37257.0</v>
      </c>
      <c r="C1120" s="11" t="s">
        <v>331</v>
      </c>
      <c r="D1120" s="11" t="s">
        <v>51</v>
      </c>
      <c r="E1120" s="14" t="s">
        <v>52</v>
      </c>
      <c r="F1120" s="11" t="s">
        <v>53</v>
      </c>
      <c r="G1120" s="14" t="s">
        <v>54</v>
      </c>
      <c r="H1120" s="11" t="s">
        <v>153</v>
      </c>
      <c r="I1120" s="11" t="s">
        <v>113</v>
      </c>
      <c r="J1120" s="11">
        <v>25.0</v>
      </c>
      <c r="K1120" s="13">
        <v>38226.0</v>
      </c>
      <c r="L1120" s="14"/>
      <c r="M1120" s="11">
        <v>276351.0</v>
      </c>
      <c r="N1120" s="11">
        <v>521.0</v>
      </c>
      <c r="O1120" s="4" t="s">
        <v>59</v>
      </c>
      <c r="P1120" s="11">
        <v>521.0</v>
      </c>
      <c r="Q1120" s="15">
        <v>594.333</v>
      </c>
      <c r="R1120" s="22">
        <v>1.0</v>
      </c>
      <c r="S1120">
        <f t="shared" si="1"/>
        <v>2002</v>
      </c>
      <c r="T1120">
        <f t="shared" si="2"/>
        <v>1</v>
      </c>
      <c r="AF1120" s="18"/>
      <c r="AG1120" s="19"/>
      <c r="AL1120" s="18"/>
      <c r="AM1120" s="19"/>
    </row>
    <row r="1121">
      <c r="A1121" s="4" t="s">
        <v>2465</v>
      </c>
      <c r="B1121" s="10">
        <v>37257.0</v>
      </c>
      <c r="C1121" s="11" t="s">
        <v>125</v>
      </c>
      <c r="D1121" s="11" t="s">
        <v>51</v>
      </c>
      <c r="E1121" s="14" t="s">
        <v>52</v>
      </c>
      <c r="F1121" s="11" t="s">
        <v>53</v>
      </c>
      <c r="G1121" s="14" t="s">
        <v>54</v>
      </c>
      <c r="H1121" s="11" t="s">
        <v>412</v>
      </c>
      <c r="I1121" s="11" t="s">
        <v>2466</v>
      </c>
      <c r="J1121" s="11">
        <v>24.0</v>
      </c>
      <c r="K1121" s="13">
        <v>37787.0</v>
      </c>
      <c r="L1121" s="14"/>
      <c r="M1121" s="11">
        <v>285064.0</v>
      </c>
      <c r="N1121" s="11">
        <v>1011.0</v>
      </c>
      <c r="O1121" s="4" t="s">
        <v>59</v>
      </c>
      <c r="P1121" s="11">
        <v>270.0</v>
      </c>
      <c r="Q1121" s="15">
        <v>1149.333</v>
      </c>
      <c r="R1121" s="22">
        <v>1.0</v>
      </c>
      <c r="S1121">
        <f t="shared" si="1"/>
        <v>2002</v>
      </c>
      <c r="T1121">
        <f t="shared" si="2"/>
        <v>1</v>
      </c>
      <c r="AF1121" s="18"/>
      <c r="AG1121" s="19"/>
      <c r="AL1121" s="18"/>
      <c r="AM1121" s="19"/>
    </row>
    <row r="1122">
      <c r="A1122" s="4" t="s">
        <v>2467</v>
      </c>
      <c r="B1122" s="10">
        <v>37257.0</v>
      </c>
      <c r="C1122" s="11" t="s">
        <v>49</v>
      </c>
      <c r="D1122" s="11" t="s">
        <v>51</v>
      </c>
      <c r="E1122" s="14" t="s">
        <v>52</v>
      </c>
      <c r="F1122" s="11" t="s">
        <v>53</v>
      </c>
      <c r="G1122" s="14" t="s">
        <v>54</v>
      </c>
      <c r="H1122" s="11" t="s">
        <v>476</v>
      </c>
      <c r="I1122" s="11" t="s">
        <v>991</v>
      </c>
      <c r="J1122" s="11">
        <v>32.0</v>
      </c>
      <c r="K1122" s="13">
        <v>37785.0</v>
      </c>
      <c r="L1122" s="14"/>
      <c r="M1122" s="11">
        <v>116496.0</v>
      </c>
      <c r="N1122" s="11">
        <v>1037.0</v>
      </c>
      <c r="P1122" s="11">
        <v>39.0</v>
      </c>
      <c r="Q1122" s="32">
        <v>138.33299999999997</v>
      </c>
      <c r="R1122" s="22">
        <v>0.0</v>
      </c>
      <c r="S1122">
        <f t="shared" si="1"/>
        <v>2002</v>
      </c>
      <c r="T1122">
        <f t="shared" si="2"/>
        <v>1</v>
      </c>
      <c r="AF1122" s="18"/>
      <c r="AG1122" s="19"/>
      <c r="AL1122" s="18"/>
      <c r="AM1122" s="19"/>
    </row>
    <row r="1123">
      <c r="A1123" s="4" t="s">
        <v>2468</v>
      </c>
      <c r="B1123" s="10">
        <v>37257.0</v>
      </c>
      <c r="C1123" s="11" t="s">
        <v>133</v>
      </c>
      <c r="D1123" s="11" t="s">
        <v>170</v>
      </c>
      <c r="E1123" s="14" t="s">
        <v>52</v>
      </c>
      <c r="F1123" s="11" t="s">
        <v>53</v>
      </c>
      <c r="G1123" s="22" t="s">
        <v>265</v>
      </c>
      <c r="H1123" s="14"/>
      <c r="I1123" s="14"/>
      <c r="J1123" s="11">
        <v>18.0</v>
      </c>
      <c r="K1123" s="13">
        <v>37987.0</v>
      </c>
      <c r="L1123" s="14"/>
      <c r="M1123" s="11">
        <v>445984.0</v>
      </c>
      <c r="N1123" s="11">
        <v>3308.0</v>
      </c>
      <c r="P1123" s="11">
        <v>2.0</v>
      </c>
      <c r="Q1123" s="15">
        <v>2.0</v>
      </c>
      <c r="R1123" s="22">
        <v>0.0</v>
      </c>
      <c r="S1123">
        <f t="shared" si="1"/>
        <v>2002</v>
      </c>
      <c r="T1123">
        <f t="shared" si="2"/>
        <v>1</v>
      </c>
      <c r="AF1123" s="18"/>
      <c r="AG1123" s="19"/>
      <c r="AL1123" s="18"/>
      <c r="AM1123" s="19"/>
    </row>
    <row r="1124">
      <c r="A1124" s="4" t="s">
        <v>2469</v>
      </c>
      <c r="B1124" s="10">
        <v>37257.0</v>
      </c>
      <c r="C1124" s="11" t="s">
        <v>350</v>
      </c>
      <c r="D1124" s="11" t="s">
        <v>75</v>
      </c>
      <c r="E1124" s="14" t="s">
        <v>52</v>
      </c>
      <c r="F1124" s="11" t="s">
        <v>76</v>
      </c>
      <c r="G1124" s="14" t="s">
        <v>54</v>
      </c>
      <c r="H1124" s="11" t="s">
        <v>157</v>
      </c>
      <c r="I1124" s="11" t="s">
        <v>2470</v>
      </c>
      <c r="J1124" s="11">
        <v>26.0</v>
      </c>
      <c r="K1124" s="13">
        <v>37759.0</v>
      </c>
      <c r="L1124" s="14"/>
      <c r="M1124" s="11">
        <v>150041.0</v>
      </c>
      <c r="N1124" s="11">
        <v>1714.0</v>
      </c>
      <c r="P1124" s="11">
        <v>90.0</v>
      </c>
      <c r="Q1124" s="15">
        <v>83.667</v>
      </c>
      <c r="R1124" s="22">
        <v>0.0</v>
      </c>
      <c r="S1124">
        <f t="shared" si="1"/>
        <v>2002</v>
      </c>
      <c r="T1124">
        <f t="shared" si="2"/>
        <v>1</v>
      </c>
      <c r="AF1124" s="18"/>
      <c r="AG1124" s="19"/>
      <c r="AL1124" s="18"/>
      <c r="AM1124" s="19"/>
    </row>
    <row r="1125">
      <c r="A1125" s="4" t="s">
        <v>2472</v>
      </c>
      <c r="B1125" s="10">
        <v>37257.0</v>
      </c>
      <c r="C1125" s="11" t="s">
        <v>259</v>
      </c>
      <c r="D1125" s="11" t="s">
        <v>82</v>
      </c>
      <c r="E1125" s="14" t="s">
        <v>52</v>
      </c>
      <c r="F1125" s="11" t="s">
        <v>53</v>
      </c>
      <c r="G1125" s="14" t="s">
        <v>54</v>
      </c>
      <c r="H1125" s="11" t="s">
        <v>92</v>
      </c>
      <c r="I1125" s="11" t="s">
        <v>2473</v>
      </c>
      <c r="J1125" s="11">
        <v>24.0</v>
      </c>
      <c r="K1125" s="13">
        <v>37622.0</v>
      </c>
      <c r="L1125" s="14"/>
      <c r="M1125" s="11">
        <v>434117.0</v>
      </c>
      <c r="N1125" s="11">
        <v>2920.0</v>
      </c>
      <c r="P1125" s="11">
        <v>14.0</v>
      </c>
      <c r="Q1125" s="15">
        <v>13.667</v>
      </c>
      <c r="R1125" s="22">
        <v>0.0</v>
      </c>
      <c r="S1125">
        <f t="shared" si="1"/>
        <v>2002</v>
      </c>
      <c r="T1125">
        <f t="shared" si="2"/>
        <v>1</v>
      </c>
      <c r="AF1125" s="18"/>
      <c r="AG1125" s="19"/>
      <c r="AL1125" s="18"/>
      <c r="AM1125" s="19"/>
    </row>
    <row r="1126">
      <c r="A1126" s="4" t="s">
        <v>2474</v>
      </c>
      <c r="B1126" s="10">
        <v>37257.0</v>
      </c>
      <c r="C1126" s="11" t="s">
        <v>159</v>
      </c>
      <c r="D1126" s="11" t="s">
        <v>110</v>
      </c>
      <c r="E1126" s="14" t="s">
        <v>52</v>
      </c>
      <c r="F1126" s="11" t="s">
        <v>53</v>
      </c>
      <c r="G1126" s="14" t="s">
        <v>54</v>
      </c>
      <c r="H1126" s="11" t="s">
        <v>597</v>
      </c>
      <c r="I1126" s="11" t="s">
        <v>500</v>
      </c>
      <c r="J1126" s="11">
        <v>23.0</v>
      </c>
      <c r="K1126" s="13">
        <v>37622.0</v>
      </c>
      <c r="L1126" s="14"/>
      <c r="M1126" s="11">
        <v>454598.0</v>
      </c>
      <c r="N1126" s="11"/>
      <c r="P1126" s="11">
        <v>0.0</v>
      </c>
      <c r="Q1126" s="15">
        <v>0.0</v>
      </c>
      <c r="R1126" s="22">
        <v>0.0</v>
      </c>
      <c r="S1126">
        <f t="shared" si="1"/>
        <v>2002</v>
      </c>
      <c r="T1126">
        <f t="shared" si="2"/>
        <v>1</v>
      </c>
      <c r="AF1126" s="18"/>
      <c r="AG1126" s="19"/>
      <c r="AL1126" s="18"/>
      <c r="AM1126" s="19"/>
    </row>
    <row r="1127">
      <c r="A1127" s="4" t="s">
        <v>2475</v>
      </c>
      <c r="B1127" s="10">
        <v>37257.0</v>
      </c>
      <c r="C1127" s="11" t="s">
        <v>331</v>
      </c>
      <c r="D1127" s="11" t="s">
        <v>75</v>
      </c>
      <c r="E1127" s="11" t="s">
        <v>52</v>
      </c>
      <c r="F1127" s="11" t="s">
        <v>53</v>
      </c>
      <c r="G1127" s="11" t="s">
        <v>54</v>
      </c>
      <c r="H1127" s="11" t="s">
        <v>204</v>
      </c>
      <c r="I1127" s="11" t="s">
        <v>2476</v>
      </c>
      <c r="J1127" s="11">
        <v>32.0</v>
      </c>
      <c r="K1127" s="13">
        <v>37622.0</v>
      </c>
      <c r="L1127" s="14"/>
      <c r="M1127" s="11">
        <v>459017.0</v>
      </c>
      <c r="N1127" s="11">
        <v>1012114.0</v>
      </c>
      <c r="P1127" s="11">
        <v>0.0</v>
      </c>
      <c r="Q1127" s="15">
        <v>0.0</v>
      </c>
      <c r="R1127" s="22">
        <v>0.0</v>
      </c>
      <c r="S1127">
        <f t="shared" si="1"/>
        <v>2002</v>
      </c>
      <c r="T1127">
        <f t="shared" si="2"/>
        <v>1</v>
      </c>
      <c r="AF1127" s="18"/>
      <c r="AG1127" s="19"/>
      <c r="AL1127" s="18"/>
      <c r="AM1127" s="19"/>
    </row>
    <row r="1128">
      <c r="A1128" s="4" t="s">
        <v>2477</v>
      </c>
      <c r="B1128" s="10">
        <v>37257.0</v>
      </c>
      <c r="C1128" s="11" t="s">
        <v>138</v>
      </c>
      <c r="D1128" s="11" t="s">
        <v>75</v>
      </c>
      <c r="E1128" s="14" t="s">
        <v>52</v>
      </c>
      <c r="F1128" s="11" t="s">
        <v>76</v>
      </c>
      <c r="G1128" s="14" t="s">
        <v>54</v>
      </c>
      <c r="H1128" s="11" t="s">
        <v>539</v>
      </c>
      <c r="I1128" s="11" t="s">
        <v>1108</v>
      </c>
      <c r="J1128" s="11">
        <v>23.0</v>
      </c>
      <c r="K1128" s="13">
        <v>37622.0</v>
      </c>
      <c r="L1128" s="14"/>
      <c r="M1128" s="11">
        <v>407799.0</v>
      </c>
      <c r="N1128" s="11">
        <v>814.0</v>
      </c>
      <c r="P1128" s="11">
        <v>58.0</v>
      </c>
      <c r="Q1128" s="15">
        <v>316.0</v>
      </c>
      <c r="R1128" s="22">
        <v>0.0</v>
      </c>
      <c r="S1128">
        <f t="shared" si="1"/>
        <v>2002</v>
      </c>
      <c r="T1128">
        <f t="shared" si="2"/>
        <v>1</v>
      </c>
      <c r="AF1128" s="18"/>
      <c r="AG1128" s="19"/>
      <c r="AL1128" s="18"/>
      <c r="AM1128" s="19"/>
    </row>
    <row r="1129">
      <c r="A1129" s="4" t="s">
        <v>2478</v>
      </c>
      <c r="B1129" s="10">
        <v>37257.0</v>
      </c>
      <c r="C1129" s="11" t="s">
        <v>90</v>
      </c>
      <c r="D1129" s="11" t="s">
        <v>110</v>
      </c>
      <c r="E1129" s="14" t="s">
        <v>52</v>
      </c>
      <c r="F1129" s="11" t="s">
        <v>53</v>
      </c>
      <c r="G1129" s="22" t="s">
        <v>1454</v>
      </c>
      <c r="H1129" s="14"/>
      <c r="I1129" s="14"/>
      <c r="J1129" s="11">
        <v>22.0</v>
      </c>
      <c r="K1129" s="13">
        <v>37622.0</v>
      </c>
      <c r="L1129" s="14"/>
      <c r="M1129" s="11">
        <v>430657.0</v>
      </c>
      <c r="N1129" s="11">
        <v>8214.0</v>
      </c>
      <c r="P1129" s="11">
        <v>59.0</v>
      </c>
      <c r="Q1129" s="15">
        <v>279.667</v>
      </c>
      <c r="R1129" s="22">
        <v>0.0</v>
      </c>
      <c r="S1129">
        <f t="shared" si="1"/>
        <v>2002</v>
      </c>
      <c r="T1129">
        <f t="shared" si="2"/>
        <v>1</v>
      </c>
      <c r="AF1129" s="18"/>
      <c r="AG1129" s="19"/>
      <c r="AL1129" s="18"/>
      <c r="AM1129" s="19"/>
    </row>
    <row r="1130">
      <c r="A1130" s="4" t="s">
        <v>589</v>
      </c>
      <c r="B1130" s="10">
        <v>37257.0</v>
      </c>
      <c r="C1130" s="11" t="s">
        <v>103</v>
      </c>
      <c r="D1130" s="11" t="s">
        <v>170</v>
      </c>
      <c r="E1130" s="11" t="s">
        <v>52</v>
      </c>
      <c r="F1130" s="11" t="s">
        <v>53</v>
      </c>
      <c r="G1130" s="11" t="s">
        <v>54</v>
      </c>
      <c r="H1130" s="11" t="s">
        <v>92</v>
      </c>
      <c r="I1130" s="11" t="s">
        <v>1512</v>
      </c>
      <c r="J1130" s="11">
        <v>16.0</v>
      </c>
      <c r="K1130" s="13">
        <v>39618.0</v>
      </c>
      <c r="L1130" s="14"/>
      <c r="M1130" s="11">
        <v>446421.0</v>
      </c>
      <c r="N1130" s="11" t="s">
        <v>1513</v>
      </c>
      <c r="P1130" s="11">
        <v>0.0</v>
      </c>
      <c r="Q1130" s="15">
        <v>0.0</v>
      </c>
      <c r="R1130" s="22">
        <v>0.0</v>
      </c>
      <c r="S1130">
        <f t="shared" si="1"/>
        <v>2002</v>
      </c>
      <c r="T1130">
        <f t="shared" si="2"/>
        <v>1</v>
      </c>
      <c r="AF1130" s="18"/>
      <c r="AG1130" s="19"/>
      <c r="AL1130" s="18"/>
      <c r="AM1130" s="19"/>
    </row>
    <row r="1131">
      <c r="A1131" s="4" t="s">
        <v>2479</v>
      </c>
      <c r="B1131" s="10">
        <v>37257.0</v>
      </c>
      <c r="C1131" s="11" t="s">
        <v>49</v>
      </c>
      <c r="D1131" s="11" t="s">
        <v>151</v>
      </c>
      <c r="E1131" s="11" t="s">
        <v>52</v>
      </c>
      <c r="F1131" s="11" t="s">
        <v>53</v>
      </c>
      <c r="G1131" s="11" t="s">
        <v>54</v>
      </c>
      <c r="H1131" s="11" t="s">
        <v>476</v>
      </c>
      <c r="I1131" s="11" t="s">
        <v>2480</v>
      </c>
      <c r="J1131" s="11">
        <v>18.0</v>
      </c>
      <c r="K1131" s="13">
        <v>37987.0</v>
      </c>
      <c r="L1131" s="14"/>
      <c r="M1131" s="11">
        <v>447755.0</v>
      </c>
      <c r="N1131" s="11">
        <v>11827.0</v>
      </c>
      <c r="P1131" s="11">
        <v>190.0</v>
      </c>
      <c r="Q1131" s="15">
        <v>194.667</v>
      </c>
      <c r="R1131" s="22">
        <v>1.0</v>
      </c>
      <c r="S1131">
        <f t="shared" si="1"/>
        <v>2002</v>
      </c>
      <c r="T1131">
        <f t="shared" si="2"/>
        <v>1</v>
      </c>
      <c r="AF1131" s="18"/>
      <c r="AG1131" s="19"/>
      <c r="AL1131" s="18"/>
      <c r="AM1131" s="19"/>
    </row>
    <row r="1132">
      <c r="A1132" s="4" t="s">
        <v>2481</v>
      </c>
      <c r="B1132" s="10">
        <v>37257.0</v>
      </c>
      <c r="C1132" s="11" t="s">
        <v>130</v>
      </c>
      <c r="D1132" s="11" t="s">
        <v>151</v>
      </c>
      <c r="E1132" s="14" t="s">
        <v>52</v>
      </c>
      <c r="F1132" s="11" t="s">
        <v>76</v>
      </c>
      <c r="G1132" s="14" t="s">
        <v>54</v>
      </c>
      <c r="H1132" s="11" t="s">
        <v>92</v>
      </c>
      <c r="I1132" s="11" t="s">
        <v>739</v>
      </c>
      <c r="J1132" s="11">
        <v>22.0</v>
      </c>
      <c r="K1132" s="13">
        <v>37622.0</v>
      </c>
      <c r="L1132" s="14"/>
      <c r="M1132" s="11">
        <v>450864.0</v>
      </c>
      <c r="N1132" s="11">
        <v>2744.0</v>
      </c>
      <c r="P1132" s="11">
        <v>9.0</v>
      </c>
      <c r="Q1132" s="15">
        <v>32.0</v>
      </c>
      <c r="R1132" s="22">
        <v>0.0</v>
      </c>
      <c r="S1132">
        <f t="shared" si="1"/>
        <v>2002</v>
      </c>
      <c r="T1132">
        <f t="shared" si="2"/>
        <v>1</v>
      </c>
      <c r="AF1132" s="18"/>
      <c r="AG1132" s="19"/>
      <c r="AL1132" s="18"/>
      <c r="AM1132" s="19"/>
    </row>
    <row r="1133">
      <c r="A1133" s="4" t="s">
        <v>2482</v>
      </c>
      <c r="B1133" s="10">
        <v>37257.0</v>
      </c>
      <c r="C1133" s="11" t="s">
        <v>74</v>
      </c>
      <c r="D1133" s="11" t="s">
        <v>170</v>
      </c>
      <c r="E1133" s="14" t="s">
        <v>52</v>
      </c>
      <c r="F1133" s="11" t="s">
        <v>53</v>
      </c>
      <c r="G1133" s="14" t="s">
        <v>54</v>
      </c>
      <c r="H1133" s="11" t="s">
        <v>322</v>
      </c>
      <c r="I1133" s="11" t="s">
        <v>56</v>
      </c>
      <c r="J1133" s="11">
        <v>18.0</v>
      </c>
      <c r="K1133" s="13">
        <v>39083.0</v>
      </c>
      <c r="L1133" s="14"/>
      <c r="M1133" s="11">
        <v>519338.0</v>
      </c>
      <c r="N1133" s="11" t="s">
        <v>2483</v>
      </c>
      <c r="P1133" s="11">
        <v>0.0</v>
      </c>
      <c r="Q1133" s="15">
        <v>0.0</v>
      </c>
      <c r="R1133" s="22">
        <v>0.0</v>
      </c>
      <c r="S1133">
        <f t="shared" si="1"/>
        <v>2002</v>
      </c>
      <c r="T1133">
        <f t="shared" si="2"/>
        <v>1</v>
      </c>
      <c r="AF1133" s="18"/>
      <c r="AG1133" s="19"/>
      <c r="AL1133" s="18"/>
      <c r="AM1133" s="19"/>
    </row>
    <row r="1134">
      <c r="A1134" s="4" t="s">
        <v>2484</v>
      </c>
      <c r="B1134" s="10">
        <v>37169.0</v>
      </c>
      <c r="C1134" s="11" t="s">
        <v>156</v>
      </c>
      <c r="D1134" s="11" t="s">
        <v>110</v>
      </c>
      <c r="E1134" s="14" t="s">
        <v>52</v>
      </c>
      <c r="F1134" s="11" t="s">
        <v>76</v>
      </c>
      <c r="G1134" s="14" t="s">
        <v>54</v>
      </c>
      <c r="H1134" s="11" t="s">
        <v>211</v>
      </c>
      <c r="I1134" s="11"/>
      <c r="J1134" s="11">
        <v>19.0</v>
      </c>
      <c r="K1134" s="13">
        <v>37622.0</v>
      </c>
      <c r="L1134" s="14"/>
      <c r="M1134" s="11">
        <v>429780.0</v>
      </c>
      <c r="N1134" s="11">
        <v>2141.0</v>
      </c>
      <c r="P1134" s="11">
        <v>97.0</v>
      </c>
      <c r="Q1134" s="15">
        <v>396.667</v>
      </c>
      <c r="R1134" s="22">
        <v>0.0</v>
      </c>
      <c r="S1134">
        <f t="shared" si="1"/>
        <v>2001</v>
      </c>
      <c r="T1134">
        <f t="shared" si="2"/>
        <v>10</v>
      </c>
      <c r="AF1134" s="18"/>
      <c r="AG1134" s="19"/>
      <c r="AL1134" s="18"/>
      <c r="AM1134" s="19"/>
    </row>
    <row r="1135">
      <c r="A1135" s="4" t="s">
        <v>2485</v>
      </c>
      <c r="B1135" s="10">
        <v>37166.0</v>
      </c>
      <c r="C1135" s="11" t="s">
        <v>130</v>
      </c>
      <c r="D1135" s="11" t="s">
        <v>75</v>
      </c>
      <c r="E1135" s="11" t="s">
        <v>52</v>
      </c>
      <c r="F1135" s="11" t="s">
        <v>53</v>
      </c>
      <c r="G1135" s="11" t="s">
        <v>54</v>
      </c>
      <c r="H1135" s="11" t="s">
        <v>337</v>
      </c>
      <c r="I1135" s="14"/>
      <c r="J1135" s="11">
        <v>25.0</v>
      </c>
      <c r="K1135" s="13">
        <v>37987.0</v>
      </c>
      <c r="L1135" s="11"/>
      <c r="M1135" s="11">
        <v>121450.0</v>
      </c>
      <c r="N1135" s="11">
        <v>1011201.0</v>
      </c>
      <c r="P1135" s="11">
        <v>0.0</v>
      </c>
      <c r="Q1135" s="15">
        <v>0.0</v>
      </c>
      <c r="R1135" s="22">
        <v>0.0</v>
      </c>
      <c r="S1135">
        <f t="shared" si="1"/>
        <v>2001</v>
      </c>
      <c r="T1135">
        <f t="shared" si="2"/>
        <v>10</v>
      </c>
      <c r="AF1135" s="18"/>
      <c r="AG1135" s="19"/>
      <c r="AL1135" s="18"/>
      <c r="AM1135" s="19"/>
    </row>
    <row r="1136">
      <c r="A1136" s="4" t="s">
        <v>2486</v>
      </c>
      <c r="B1136" s="10">
        <v>37165.0</v>
      </c>
      <c r="C1136" s="11" t="s">
        <v>711</v>
      </c>
      <c r="D1136" s="11" t="s">
        <v>51</v>
      </c>
      <c r="E1136" s="14" t="s">
        <v>52</v>
      </c>
      <c r="F1136" s="11" t="s">
        <v>76</v>
      </c>
      <c r="G1136" s="22" t="s">
        <v>2487</v>
      </c>
      <c r="H1136" s="14"/>
      <c r="I1136" s="14"/>
      <c r="J1136" s="11">
        <v>33.0</v>
      </c>
      <c r="K1136" s="13">
        <v>37713.0</v>
      </c>
      <c r="L1136" s="11">
        <f>ROUND(((K1136-B1136)/365)*12)</f>
        <v>18</v>
      </c>
      <c r="M1136" s="11">
        <v>120183.0</v>
      </c>
      <c r="N1136" s="11">
        <v>1675.0</v>
      </c>
      <c r="P1136" s="11">
        <v>22.0</v>
      </c>
      <c r="Q1136" s="32">
        <v>18.0</v>
      </c>
      <c r="R1136" s="22">
        <v>0.0</v>
      </c>
      <c r="S1136">
        <f t="shared" si="1"/>
        <v>2001</v>
      </c>
      <c r="T1136">
        <f t="shared" si="2"/>
        <v>10</v>
      </c>
      <c r="AF1136" s="18"/>
      <c r="AG1136" s="19"/>
      <c r="AL1136" s="18"/>
      <c r="AM1136" s="19"/>
    </row>
    <row r="1137">
      <c r="A1137" s="4" t="s">
        <v>2488</v>
      </c>
      <c r="B1137" s="10">
        <v>37165.0</v>
      </c>
      <c r="C1137" s="11" t="s">
        <v>125</v>
      </c>
      <c r="D1137" s="11" t="s">
        <v>110</v>
      </c>
      <c r="E1137" s="14" t="s">
        <v>52</v>
      </c>
      <c r="F1137" s="11" t="s">
        <v>53</v>
      </c>
      <c r="G1137" s="14" t="s">
        <v>54</v>
      </c>
      <c r="H1137" s="11" t="s">
        <v>260</v>
      </c>
      <c r="I1137" s="11"/>
      <c r="J1137" s="11">
        <v>20.0</v>
      </c>
      <c r="K1137" s="13">
        <v>37622.0</v>
      </c>
      <c r="L1137" s="14"/>
      <c r="M1137" s="11">
        <v>425490.0</v>
      </c>
      <c r="N1137" s="11"/>
      <c r="P1137" s="11">
        <v>0.0</v>
      </c>
      <c r="Q1137" s="15">
        <v>0.0</v>
      </c>
      <c r="R1137" s="22">
        <v>0.0</v>
      </c>
      <c r="S1137">
        <f t="shared" si="1"/>
        <v>2001</v>
      </c>
      <c r="T1137">
        <f t="shared" si="2"/>
        <v>10</v>
      </c>
      <c r="AF1137" s="18"/>
      <c r="AG1137" s="19"/>
      <c r="AL1137" s="18"/>
      <c r="AM1137" s="19"/>
    </row>
    <row r="1138">
      <c r="A1138" s="4" t="s">
        <v>2489</v>
      </c>
      <c r="B1138" s="10">
        <v>37124.0</v>
      </c>
      <c r="C1138" s="11" t="s">
        <v>49</v>
      </c>
      <c r="D1138" s="11" t="s">
        <v>51</v>
      </c>
      <c r="E1138" s="14" t="s">
        <v>52</v>
      </c>
      <c r="F1138" s="11" t="s">
        <v>53</v>
      </c>
      <c r="G1138" s="14" t="s">
        <v>54</v>
      </c>
      <c r="H1138" s="11" t="s">
        <v>316</v>
      </c>
      <c r="I1138" s="11"/>
      <c r="J1138" s="11">
        <v>23.0</v>
      </c>
      <c r="K1138" s="13">
        <v>37500.0</v>
      </c>
      <c r="L1138" s="11">
        <f t="shared" ref="L1138:L1143" si="110">ROUND(((K1138-B1138)/365)*12)</f>
        <v>12</v>
      </c>
      <c r="M1138" s="11">
        <v>284566.0</v>
      </c>
      <c r="N1138" s="11">
        <v>1029.0</v>
      </c>
      <c r="P1138" s="11">
        <v>170.0</v>
      </c>
      <c r="Q1138" s="32">
        <v>927.0</v>
      </c>
      <c r="R1138" s="22">
        <v>0.0</v>
      </c>
      <c r="S1138">
        <f t="shared" si="1"/>
        <v>2001</v>
      </c>
      <c r="T1138">
        <f t="shared" si="2"/>
        <v>8</v>
      </c>
      <c r="AF1138" s="18"/>
      <c r="AG1138" s="19"/>
      <c r="AL1138" s="18"/>
      <c r="AM1138" s="19"/>
    </row>
    <row r="1139">
      <c r="A1139" s="4" t="s">
        <v>2490</v>
      </c>
      <c r="B1139" s="10">
        <v>37112.0</v>
      </c>
      <c r="C1139" s="11" t="s">
        <v>209</v>
      </c>
      <c r="D1139" s="11" t="s">
        <v>51</v>
      </c>
      <c r="E1139" s="14" t="s">
        <v>52</v>
      </c>
      <c r="F1139" s="11" t="s">
        <v>53</v>
      </c>
      <c r="G1139" s="14" t="s">
        <v>54</v>
      </c>
      <c r="H1139" s="11" t="s">
        <v>597</v>
      </c>
      <c r="I1139" s="11"/>
      <c r="J1139" s="11">
        <v>32.0</v>
      </c>
      <c r="K1139" s="13">
        <v>37507.0</v>
      </c>
      <c r="L1139" s="11">
        <f t="shared" si="110"/>
        <v>13</v>
      </c>
      <c r="M1139" s="11">
        <v>115797.0</v>
      </c>
      <c r="N1139" s="11">
        <v>145.0</v>
      </c>
      <c r="O1139" s="4" t="s">
        <v>59</v>
      </c>
      <c r="P1139" s="11">
        <v>50.0</v>
      </c>
      <c r="Q1139" s="32">
        <v>263.0</v>
      </c>
      <c r="R1139" s="22">
        <v>0.0</v>
      </c>
      <c r="S1139">
        <f t="shared" si="1"/>
        <v>2001</v>
      </c>
      <c r="T1139">
        <f t="shared" si="2"/>
        <v>8</v>
      </c>
      <c r="AF1139" s="18"/>
      <c r="AG1139" s="19"/>
      <c r="AL1139" s="18"/>
      <c r="AM1139" s="19"/>
    </row>
    <row r="1140">
      <c r="A1140" s="4" t="s">
        <v>2491</v>
      </c>
      <c r="B1140" s="10">
        <v>37104.0</v>
      </c>
      <c r="C1140" s="11" t="s">
        <v>49</v>
      </c>
      <c r="D1140" s="11" t="s">
        <v>51</v>
      </c>
      <c r="E1140" s="14" t="s">
        <v>52</v>
      </c>
      <c r="F1140" s="11" t="s">
        <v>76</v>
      </c>
      <c r="G1140" s="14" t="s">
        <v>54</v>
      </c>
      <c r="H1140" s="11" t="s">
        <v>157</v>
      </c>
      <c r="I1140" s="11"/>
      <c r="J1140" s="11">
        <v>24.0</v>
      </c>
      <c r="K1140" s="13">
        <v>37477.0</v>
      </c>
      <c r="L1140" s="11">
        <f t="shared" si="110"/>
        <v>12</v>
      </c>
      <c r="M1140" s="11">
        <v>276526.0</v>
      </c>
      <c r="N1140" s="11">
        <v>1060.0</v>
      </c>
      <c r="O1140" s="4" t="s">
        <v>704</v>
      </c>
      <c r="P1140" s="11">
        <v>36.0</v>
      </c>
      <c r="Q1140" s="32">
        <v>23.333000000000006</v>
      </c>
      <c r="R1140" s="22">
        <v>0.0</v>
      </c>
      <c r="S1140">
        <f t="shared" si="1"/>
        <v>2001</v>
      </c>
      <c r="T1140">
        <f t="shared" si="2"/>
        <v>8</v>
      </c>
      <c r="AF1140" s="18"/>
      <c r="AG1140" s="19"/>
      <c r="AL1140" s="18"/>
      <c r="AM1140" s="19"/>
    </row>
    <row r="1141">
      <c r="A1141" s="4" t="s">
        <v>377</v>
      </c>
      <c r="B1141" s="10">
        <v>37081.0</v>
      </c>
      <c r="C1141" s="11" t="s">
        <v>81</v>
      </c>
      <c r="D1141" s="11" t="s">
        <v>51</v>
      </c>
      <c r="E1141" s="14" t="s">
        <v>52</v>
      </c>
      <c r="F1141" s="11" t="s">
        <v>53</v>
      </c>
      <c r="G1141" s="14" t="s">
        <v>54</v>
      </c>
      <c r="H1141" s="11" t="s">
        <v>250</v>
      </c>
      <c r="I1141" s="11" t="s">
        <v>371</v>
      </c>
      <c r="J1141" s="11">
        <v>29.0</v>
      </c>
      <c r="K1141" s="13">
        <v>37715.0</v>
      </c>
      <c r="L1141" s="11">
        <f t="shared" si="110"/>
        <v>21</v>
      </c>
      <c r="M1141" s="11">
        <v>113554.0</v>
      </c>
      <c r="N1141" s="11">
        <v>647.0</v>
      </c>
      <c r="O1141" s="4" t="s">
        <v>2252</v>
      </c>
      <c r="P1141" s="11">
        <v>70.0</v>
      </c>
      <c r="Q1141" s="32">
        <v>111.0</v>
      </c>
      <c r="R1141" s="22">
        <v>0.0</v>
      </c>
      <c r="S1141">
        <f t="shared" si="1"/>
        <v>2001</v>
      </c>
      <c r="T1141">
        <f t="shared" si="2"/>
        <v>7</v>
      </c>
      <c r="AF1141" s="18"/>
      <c r="AG1141" s="19"/>
      <c r="AL1141" s="18"/>
      <c r="AM1141" s="19"/>
    </row>
    <row r="1142">
      <c r="A1142" s="4" t="s">
        <v>2492</v>
      </c>
      <c r="B1142" s="10">
        <v>37061.0</v>
      </c>
      <c r="C1142" s="11" t="s">
        <v>96</v>
      </c>
      <c r="D1142" s="11" t="s">
        <v>51</v>
      </c>
      <c r="E1142" s="14" t="s">
        <v>52</v>
      </c>
      <c r="F1142" s="11" t="s">
        <v>53</v>
      </c>
      <c r="G1142" s="14" t="s">
        <v>54</v>
      </c>
      <c r="H1142" s="11" t="s">
        <v>597</v>
      </c>
      <c r="I1142" s="11"/>
      <c r="J1142" s="11">
        <v>27.0</v>
      </c>
      <c r="K1142" s="13">
        <v>37435.0</v>
      </c>
      <c r="L1142" s="11">
        <f t="shared" si="110"/>
        <v>12</v>
      </c>
      <c r="M1142" s="11">
        <v>118256.0</v>
      </c>
      <c r="N1142" s="11">
        <v>64.0</v>
      </c>
      <c r="P1142" s="11">
        <v>127.0</v>
      </c>
      <c r="Q1142" s="15">
        <v>118.667</v>
      </c>
      <c r="R1142" s="22">
        <v>0.0</v>
      </c>
      <c r="S1142">
        <f t="shared" si="1"/>
        <v>2001</v>
      </c>
      <c r="T1142">
        <f t="shared" si="2"/>
        <v>6</v>
      </c>
      <c r="AF1142" s="18"/>
      <c r="AG1142" s="19"/>
      <c r="AL1142" s="18"/>
      <c r="AM1142" s="19"/>
    </row>
    <row r="1143">
      <c r="A1143" s="4" t="s">
        <v>2493</v>
      </c>
      <c r="B1143" s="10">
        <v>37033.0</v>
      </c>
      <c r="C1143" s="11" t="s">
        <v>125</v>
      </c>
      <c r="D1143" s="11" t="s">
        <v>51</v>
      </c>
      <c r="E1143" s="14" t="s">
        <v>52</v>
      </c>
      <c r="F1143" s="11" t="s">
        <v>53</v>
      </c>
      <c r="G1143" s="14" t="s">
        <v>54</v>
      </c>
      <c r="H1143" s="11" t="s">
        <v>99</v>
      </c>
      <c r="I1143" s="11" t="s">
        <v>898</v>
      </c>
      <c r="J1143" s="11">
        <v>26.0</v>
      </c>
      <c r="K1143" s="13">
        <v>37389.0</v>
      </c>
      <c r="L1143" s="11">
        <f t="shared" si="110"/>
        <v>12</v>
      </c>
      <c r="M1143" s="11">
        <v>150249.0</v>
      </c>
      <c r="N1143" s="11">
        <v>982.0</v>
      </c>
      <c r="O1143" s="4" t="s">
        <v>59</v>
      </c>
      <c r="P1143" s="11">
        <v>143.0</v>
      </c>
      <c r="Q1143" s="32">
        <v>829.3330000000001</v>
      </c>
      <c r="R1143" s="22">
        <v>0.0</v>
      </c>
      <c r="S1143">
        <f t="shared" si="1"/>
        <v>2001</v>
      </c>
      <c r="T1143">
        <f t="shared" si="2"/>
        <v>5</v>
      </c>
      <c r="AF1143" s="18"/>
      <c r="AG1143" s="19"/>
      <c r="AL1143" s="18"/>
      <c r="AM1143" s="19"/>
    </row>
    <row r="1144">
      <c r="A1144" s="4" t="s">
        <v>395</v>
      </c>
      <c r="B1144" s="10">
        <v>37012.0</v>
      </c>
      <c r="C1144" s="11" t="s">
        <v>130</v>
      </c>
      <c r="D1144" s="11" t="s">
        <v>51</v>
      </c>
      <c r="E1144" s="14" t="s">
        <v>52</v>
      </c>
      <c r="F1144" s="11" t="s">
        <v>53</v>
      </c>
      <c r="G1144" s="14" t="s">
        <v>54</v>
      </c>
      <c r="H1144" s="11" t="s">
        <v>260</v>
      </c>
      <c r="I1144" s="11" t="s">
        <v>2457</v>
      </c>
      <c r="J1144" s="11">
        <v>34.0</v>
      </c>
      <c r="K1144" s="14"/>
      <c r="L1144" s="14"/>
      <c r="M1144" s="11">
        <v>113782.0</v>
      </c>
      <c r="N1144" s="11">
        <v>1003714.0</v>
      </c>
      <c r="O1144" s="4" t="s">
        <v>59</v>
      </c>
      <c r="P1144" s="11">
        <v>0.0</v>
      </c>
      <c r="Q1144" s="32">
        <v>0.0</v>
      </c>
      <c r="R1144" s="22">
        <v>0.0</v>
      </c>
      <c r="S1144">
        <f t="shared" si="1"/>
        <v>2001</v>
      </c>
      <c r="T1144">
        <f t="shared" si="2"/>
        <v>5</v>
      </c>
      <c r="AF1144" s="18"/>
      <c r="AG1144" s="19"/>
      <c r="AL1144" s="18"/>
      <c r="AM1144" s="19"/>
    </row>
    <row r="1145">
      <c r="A1145" s="4" t="s">
        <v>424</v>
      </c>
      <c r="B1145" s="10">
        <v>37008.0</v>
      </c>
      <c r="C1145" s="11" t="s">
        <v>159</v>
      </c>
      <c r="D1145" s="11" t="s">
        <v>51</v>
      </c>
      <c r="E1145" s="14" t="s">
        <v>52</v>
      </c>
      <c r="F1145" s="11" t="s">
        <v>53</v>
      </c>
      <c r="G1145" s="14" t="s">
        <v>54</v>
      </c>
      <c r="H1145" s="11" t="s">
        <v>341</v>
      </c>
      <c r="I1145" s="11" t="s">
        <v>650</v>
      </c>
      <c r="J1145" s="11">
        <v>35.0</v>
      </c>
      <c r="K1145" s="13"/>
      <c r="L1145" s="11"/>
      <c r="M1145" s="11">
        <v>111492.0</v>
      </c>
      <c r="N1145" s="11">
        <v>551.0</v>
      </c>
      <c r="O1145" s="4" t="s">
        <v>102</v>
      </c>
      <c r="P1145" s="11">
        <v>0.0</v>
      </c>
      <c r="Q1145" s="32">
        <v>0.0</v>
      </c>
      <c r="R1145" s="22">
        <v>0.0</v>
      </c>
      <c r="S1145">
        <f t="shared" si="1"/>
        <v>2001</v>
      </c>
      <c r="T1145">
        <f t="shared" si="2"/>
        <v>4</v>
      </c>
      <c r="AF1145" s="18"/>
      <c r="AG1145" s="19"/>
      <c r="AL1145" s="18"/>
      <c r="AM1145" s="19"/>
    </row>
    <row r="1146">
      <c r="A1146" s="4" t="s">
        <v>2495</v>
      </c>
      <c r="B1146" s="10">
        <v>36994.0</v>
      </c>
      <c r="C1146" s="11" t="s">
        <v>114</v>
      </c>
      <c r="D1146" s="11" t="s">
        <v>51</v>
      </c>
      <c r="E1146" s="11" t="s">
        <v>52</v>
      </c>
      <c r="F1146" s="11" t="s">
        <v>53</v>
      </c>
      <c r="G1146" s="11" t="s">
        <v>83</v>
      </c>
      <c r="H1146" s="11"/>
      <c r="I1146" s="11"/>
      <c r="J1146" s="11">
        <v>28.0</v>
      </c>
      <c r="K1146" s="13">
        <v>37395.0</v>
      </c>
      <c r="L1146" s="11">
        <f t="shared" ref="L1146:L1147" si="111">ROUND(((K1146-B1146)/365)*12)</f>
        <v>13</v>
      </c>
      <c r="M1146" s="11">
        <v>136304.0</v>
      </c>
      <c r="N1146" s="11">
        <v>681.0</v>
      </c>
      <c r="O1146" s="4"/>
      <c r="P1146" s="11">
        <v>148.0</v>
      </c>
      <c r="Q1146" s="15">
        <v>151.333</v>
      </c>
      <c r="R1146" s="22">
        <v>0.0</v>
      </c>
      <c r="S1146">
        <f t="shared" si="1"/>
        <v>2001</v>
      </c>
      <c r="T1146">
        <f t="shared" si="2"/>
        <v>4</v>
      </c>
      <c r="AF1146" s="18"/>
      <c r="AG1146" s="19"/>
      <c r="AL1146" s="18"/>
      <c r="AM1146" s="19"/>
    </row>
    <row r="1147">
      <c r="A1147" s="4" t="s">
        <v>747</v>
      </c>
      <c r="B1147" s="10">
        <v>36993.0</v>
      </c>
      <c r="C1147" s="11" t="s">
        <v>119</v>
      </c>
      <c r="D1147" s="11" t="s">
        <v>51</v>
      </c>
      <c r="E1147" s="14" t="s">
        <v>52</v>
      </c>
      <c r="F1147" s="11" t="s">
        <v>53</v>
      </c>
      <c r="G1147" s="14" t="s">
        <v>54</v>
      </c>
      <c r="H1147" s="11" t="s">
        <v>157</v>
      </c>
      <c r="I1147" s="11" t="s">
        <v>2315</v>
      </c>
      <c r="J1147" s="11">
        <v>25.0</v>
      </c>
      <c r="K1147" s="13">
        <v>37347.0</v>
      </c>
      <c r="L1147" s="11">
        <f t="shared" si="111"/>
        <v>12</v>
      </c>
      <c r="M1147" s="11">
        <v>150182.0</v>
      </c>
      <c r="N1147" s="11">
        <v>361.0</v>
      </c>
      <c r="O1147" s="4" t="s">
        <v>59</v>
      </c>
      <c r="P1147" s="11">
        <v>157.0</v>
      </c>
      <c r="Q1147" s="32">
        <v>165.33299999999997</v>
      </c>
      <c r="R1147" s="22">
        <v>0.0</v>
      </c>
      <c r="S1147">
        <f t="shared" si="1"/>
        <v>2001</v>
      </c>
      <c r="T1147">
        <f t="shared" si="2"/>
        <v>4</v>
      </c>
      <c r="AF1147" s="18"/>
      <c r="AG1147" s="19"/>
      <c r="AL1147" s="18"/>
      <c r="AM1147" s="19"/>
    </row>
    <row r="1148">
      <c r="A1148" s="4" t="s">
        <v>2496</v>
      </c>
      <c r="B1148" s="10">
        <v>36892.0</v>
      </c>
      <c r="C1148" s="11" t="s">
        <v>133</v>
      </c>
      <c r="D1148" s="11" t="s">
        <v>51</v>
      </c>
      <c r="E1148" s="14" t="s">
        <v>52</v>
      </c>
      <c r="F1148" s="11" t="s">
        <v>53</v>
      </c>
      <c r="G1148" s="14" t="s">
        <v>54</v>
      </c>
      <c r="H1148" s="11" t="s">
        <v>92</v>
      </c>
      <c r="I1148" s="11"/>
      <c r="J1148" s="11">
        <v>32.0</v>
      </c>
      <c r="K1148" s="13">
        <v>37776.0</v>
      </c>
      <c r="L1148" s="14"/>
      <c r="M1148" s="11">
        <v>110763.0</v>
      </c>
      <c r="N1148" s="11">
        <v>1730.0</v>
      </c>
      <c r="O1148" s="4" t="s">
        <v>704</v>
      </c>
      <c r="P1148" s="11">
        <v>62.0</v>
      </c>
      <c r="Q1148" s="32">
        <v>59.333000000000006</v>
      </c>
      <c r="R1148" s="22">
        <v>0.0</v>
      </c>
      <c r="S1148">
        <f t="shared" si="1"/>
        <v>2001</v>
      </c>
      <c r="T1148">
        <f t="shared" si="2"/>
        <v>1</v>
      </c>
      <c r="AF1148" s="18"/>
      <c r="AG1148" s="19"/>
      <c r="AL1148" s="18"/>
      <c r="AM1148" s="19"/>
    </row>
    <row r="1149">
      <c r="A1149" s="4" t="s">
        <v>2497</v>
      </c>
      <c r="B1149" s="10">
        <v>36892.0</v>
      </c>
      <c r="C1149" s="11" t="s">
        <v>125</v>
      </c>
      <c r="D1149" s="11" t="s">
        <v>51</v>
      </c>
      <c r="E1149" s="11" t="s">
        <v>1248</v>
      </c>
      <c r="F1149" s="11" t="s">
        <v>53</v>
      </c>
      <c r="G1149" s="11" t="s">
        <v>54</v>
      </c>
      <c r="H1149" s="11" t="s">
        <v>92</v>
      </c>
      <c r="I1149" s="11" t="s">
        <v>2498</v>
      </c>
      <c r="J1149" s="11">
        <v>35.0</v>
      </c>
      <c r="K1149" s="13">
        <v>37347.0</v>
      </c>
      <c r="L1149" s="14"/>
      <c r="M1149" s="11">
        <v>110862.0</v>
      </c>
      <c r="N1149" s="11">
        <v>981.0</v>
      </c>
      <c r="O1149" s="4" t="s">
        <v>704</v>
      </c>
      <c r="P1149" s="11">
        <v>108.0</v>
      </c>
      <c r="Q1149" s="15">
        <v>130.0</v>
      </c>
      <c r="R1149" s="22">
        <v>0.0</v>
      </c>
      <c r="S1149">
        <f t="shared" si="1"/>
        <v>2001</v>
      </c>
      <c r="T1149">
        <f t="shared" si="2"/>
        <v>1</v>
      </c>
      <c r="AF1149" s="18"/>
      <c r="AG1149" s="19"/>
      <c r="AL1149" s="18"/>
      <c r="AM1149" s="19"/>
    </row>
    <row r="1150">
      <c r="A1150" s="4" t="s">
        <v>2499</v>
      </c>
      <c r="B1150" s="10">
        <v>36892.0</v>
      </c>
      <c r="C1150" s="11" t="s">
        <v>156</v>
      </c>
      <c r="D1150" s="11" t="s">
        <v>51</v>
      </c>
      <c r="E1150" s="14" t="s">
        <v>52</v>
      </c>
      <c r="F1150" s="11" t="s">
        <v>53</v>
      </c>
      <c r="G1150" s="14" t="s">
        <v>54</v>
      </c>
      <c r="H1150" s="11" t="s">
        <v>251</v>
      </c>
      <c r="I1150" s="11" t="s">
        <v>2500</v>
      </c>
      <c r="J1150" s="11">
        <v>29.0</v>
      </c>
      <c r="K1150" s="13">
        <v>37349.0</v>
      </c>
      <c r="L1150" s="14"/>
      <c r="M1150" s="11">
        <v>122751.0</v>
      </c>
      <c r="N1150" s="11">
        <v>1185.0</v>
      </c>
      <c r="P1150" s="11">
        <v>44.0</v>
      </c>
      <c r="Q1150" s="32">
        <v>219.33299999999997</v>
      </c>
      <c r="R1150" s="22">
        <v>0.0</v>
      </c>
      <c r="S1150">
        <f t="shared" si="1"/>
        <v>2001</v>
      </c>
      <c r="T1150">
        <f t="shared" si="2"/>
        <v>1</v>
      </c>
      <c r="AF1150" s="18"/>
      <c r="AG1150" s="19"/>
      <c r="AL1150" s="18"/>
      <c r="AM1150" s="19"/>
    </row>
    <row r="1151">
      <c r="A1151" s="4" t="s">
        <v>2501</v>
      </c>
      <c r="B1151" s="10">
        <v>36892.0</v>
      </c>
      <c r="C1151" s="11" t="s">
        <v>74</v>
      </c>
      <c r="D1151" s="11" t="s">
        <v>51</v>
      </c>
      <c r="E1151" s="14" t="s">
        <v>52</v>
      </c>
      <c r="F1151" s="11" t="s">
        <v>76</v>
      </c>
      <c r="G1151" s="14" t="s">
        <v>54</v>
      </c>
      <c r="H1151" s="11" t="s">
        <v>476</v>
      </c>
      <c r="I1151" s="11" t="s">
        <v>476</v>
      </c>
      <c r="J1151" s="11">
        <v>25.0</v>
      </c>
      <c r="K1151" s="13">
        <v>37843.0</v>
      </c>
      <c r="L1151" s="14"/>
      <c r="M1151" s="11">
        <v>275933.0</v>
      </c>
      <c r="N1151" s="11">
        <v>773.0</v>
      </c>
      <c r="P1151" s="11">
        <v>600.0</v>
      </c>
      <c r="Q1151" s="32">
        <v>654.3330000000001</v>
      </c>
      <c r="R1151" s="22">
        <v>0.0</v>
      </c>
      <c r="S1151">
        <f t="shared" si="1"/>
        <v>2001</v>
      </c>
      <c r="T1151">
        <f t="shared" si="2"/>
        <v>1</v>
      </c>
      <c r="AF1151" s="18"/>
      <c r="AG1151" s="19"/>
      <c r="AL1151" s="18"/>
      <c r="AM1151" s="19"/>
    </row>
    <row r="1152">
      <c r="A1152" s="4" t="s">
        <v>2502</v>
      </c>
      <c r="B1152" s="10">
        <v>36892.0</v>
      </c>
      <c r="C1152" s="11" t="s">
        <v>142</v>
      </c>
      <c r="D1152" s="11" t="s">
        <v>75</v>
      </c>
      <c r="E1152" s="11" t="s">
        <v>52</v>
      </c>
      <c r="F1152" s="11" t="s">
        <v>53</v>
      </c>
      <c r="G1152" s="11" t="s">
        <v>54</v>
      </c>
      <c r="H1152" s="11" t="s">
        <v>449</v>
      </c>
      <c r="I1152" s="11" t="s">
        <v>2503</v>
      </c>
      <c r="J1152" s="11">
        <v>25.0</v>
      </c>
      <c r="K1152" s="13">
        <v>37257.0</v>
      </c>
      <c r="L1152" s="14"/>
      <c r="M1152" s="11"/>
      <c r="N1152" s="11"/>
      <c r="P1152" s="11">
        <v>0.0</v>
      </c>
      <c r="Q1152" s="15">
        <v>0.0</v>
      </c>
      <c r="R1152" s="22">
        <v>0.0</v>
      </c>
      <c r="S1152">
        <f t="shared" si="1"/>
        <v>2001</v>
      </c>
      <c r="T1152">
        <f t="shared" si="2"/>
        <v>1</v>
      </c>
      <c r="AF1152" s="18"/>
      <c r="AG1152" s="19"/>
      <c r="AL1152" s="18"/>
      <c r="AM1152" s="19"/>
    </row>
    <row r="1153">
      <c r="A1153" s="4" t="s">
        <v>2504</v>
      </c>
      <c r="B1153" s="10">
        <v>36892.0</v>
      </c>
      <c r="C1153" s="11" t="s">
        <v>142</v>
      </c>
      <c r="D1153" s="11" t="s">
        <v>91</v>
      </c>
      <c r="E1153" s="14" t="s">
        <v>52</v>
      </c>
      <c r="F1153" s="11" t="s">
        <v>53</v>
      </c>
      <c r="G1153" s="22" t="s">
        <v>83</v>
      </c>
      <c r="H1153" s="14"/>
      <c r="I1153" s="14"/>
      <c r="J1153" s="11">
        <v>20.0</v>
      </c>
      <c r="K1153" s="13">
        <v>37622.0</v>
      </c>
      <c r="L1153" s="14"/>
      <c r="M1153" s="11">
        <v>430642.0</v>
      </c>
      <c r="N1153" s="11">
        <v>2236.0</v>
      </c>
      <c r="P1153" s="11">
        <v>99.0</v>
      </c>
      <c r="Q1153" s="15">
        <v>123.333</v>
      </c>
      <c r="R1153" s="22">
        <v>0.0</v>
      </c>
      <c r="S1153">
        <f t="shared" si="1"/>
        <v>2001</v>
      </c>
      <c r="T1153">
        <f t="shared" si="2"/>
        <v>1</v>
      </c>
      <c r="AF1153" s="18"/>
      <c r="AG1153" s="19"/>
      <c r="AL1153" s="18"/>
      <c r="AM1153" s="19"/>
    </row>
    <row r="1154">
      <c r="A1154" s="4" t="s">
        <v>2505</v>
      </c>
      <c r="B1154" s="10">
        <v>36892.0</v>
      </c>
      <c r="C1154" s="11" t="s">
        <v>169</v>
      </c>
      <c r="D1154" s="11" t="s">
        <v>151</v>
      </c>
      <c r="E1154" s="11" t="s">
        <v>160</v>
      </c>
      <c r="F1154" s="11" t="s">
        <v>53</v>
      </c>
      <c r="G1154" s="14" t="s">
        <v>54</v>
      </c>
      <c r="H1154" s="11" t="s">
        <v>260</v>
      </c>
      <c r="I1154" s="11" t="s">
        <v>2506</v>
      </c>
      <c r="J1154" s="11">
        <v>23.0</v>
      </c>
      <c r="K1154" s="13">
        <v>37257.0</v>
      </c>
      <c r="L1154" s="14"/>
      <c r="M1154" s="11">
        <v>432928.0</v>
      </c>
      <c r="N1154" s="11">
        <v>3469.0</v>
      </c>
      <c r="P1154" s="11">
        <v>889.0</v>
      </c>
      <c r="Q1154" s="15">
        <v>3193.0</v>
      </c>
      <c r="R1154" s="22">
        <v>0.0</v>
      </c>
      <c r="S1154">
        <f t="shared" si="1"/>
        <v>2001</v>
      </c>
      <c r="T1154">
        <f t="shared" si="2"/>
        <v>1</v>
      </c>
      <c r="AF1154" s="18"/>
      <c r="AG1154" s="19"/>
      <c r="AL1154" s="18"/>
      <c r="AM1154" s="19"/>
    </row>
    <row r="1155">
      <c r="A1155" s="4" t="s">
        <v>2507</v>
      </c>
      <c r="B1155" s="10">
        <v>36892.0</v>
      </c>
      <c r="C1155" s="11" t="s">
        <v>382</v>
      </c>
      <c r="D1155" s="11" t="s">
        <v>110</v>
      </c>
      <c r="E1155" s="22" t="s">
        <v>160</v>
      </c>
      <c r="F1155" s="11" t="s">
        <v>53</v>
      </c>
      <c r="G1155" s="14" t="s">
        <v>54</v>
      </c>
      <c r="H1155" s="11" t="s">
        <v>218</v>
      </c>
      <c r="I1155" s="11"/>
      <c r="J1155" s="11">
        <v>21.0</v>
      </c>
      <c r="K1155" s="13">
        <v>37257.0</v>
      </c>
      <c r="L1155" s="14"/>
      <c r="M1155" s="11">
        <v>407812.0</v>
      </c>
      <c r="N1155" s="11">
        <v>1873.0</v>
      </c>
      <c r="P1155" s="11">
        <v>1773.0</v>
      </c>
      <c r="Q1155" s="15">
        <v>7489.0</v>
      </c>
      <c r="R1155" s="22">
        <v>1.0</v>
      </c>
      <c r="S1155">
        <f t="shared" si="1"/>
        <v>2001</v>
      </c>
      <c r="T1155">
        <f t="shared" si="2"/>
        <v>1</v>
      </c>
      <c r="AF1155" s="18"/>
      <c r="AG1155" s="19"/>
      <c r="AL1155" s="18"/>
      <c r="AM1155" s="19"/>
    </row>
    <row r="1156">
      <c r="A1156" s="4" t="s">
        <v>1271</v>
      </c>
      <c r="B1156" s="10">
        <v>36892.0</v>
      </c>
      <c r="C1156" s="11" t="s">
        <v>382</v>
      </c>
      <c r="D1156" s="11" t="s">
        <v>110</v>
      </c>
      <c r="E1156" s="14" t="s">
        <v>52</v>
      </c>
      <c r="F1156" s="11" t="s">
        <v>53</v>
      </c>
      <c r="G1156" s="22" t="s">
        <v>436</v>
      </c>
      <c r="H1156" s="14"/>
      <c r="I1156" s="14"/>
      <c r="J1156" s="11">
        <v>20.0</v>
      </c>
      <c r="K1156" s="13">
        <v>37257.0</v>
      </c>
      <c r="L1156" s="14"/>
      <c r="M1156" s="11">
        <v>425835.0</v>
      </c>
      <c r="N1156" s="11">
        <v>1776.0</v>
      </c>
      <c r="P1156" s="11">
        <v>57.0</v>
      </c>
      <c r="Q1156" s="15">
        <v>97.0</v>
      </c>
      <c r="R1156" s="22">
        <v>1.0</v>
      </c>
      <c r="S1156">
        <f t="shared" si="1"/>
        <v>2001</v>
      </c>
      <c r="T1156">
        <f t="shared" si="2"/>
        <v>1</v>
      </c>
      <c r="AF1156" s="18"/>
      <c r="AG1156" s="19"/>
      <c r="AL1156" s="18"/>
      <c r="AM1156" s="19"/>
    </row>
    <row r="1157">
      <c r="A1157" s="4" t="s">
        <v>2508</v>
      </c>
      <c r="B1157" s="10">
        <v>36892.0</v>
      </c>
      <c r="C1157" s="11" t="s">
        <v>108</v>
      </c>
      <c r="D1157" s="11" t="s">
        <v>75</v>
      </c>
      <c r="E1157" s="14" t="s">
        <v>52</v>
      </c>
      <c r="F1157" s="11" t="s">
        <v>53</v>
      </c>
      <c r="G1157" s="22" t="s">
        <v>312</v>
      </c>
      <c r="H1157" s="14"/>
      <c r="I1157" s="14"/>
      <c r="J1157" s="11">
        <v>23.0</v>
      </c>
      <c r="K1157" s="13">
        <v>37622.0</v>
      </c>
      <c r="L1157" s="14"/>
      <c r="M1157" s="11">
        <v>279561.0</v>
      </c>
      <c r="N1157" s="11">
        <v>1005012.0</v>
      </c>
      <c r="P1157" s="11">
        <v>0.0</v>
      </c>
      <c r="Q1157" s="15">
        <v>0.0</v>
      </c>
      <c r="R1157" s="22">
        <v>0.0</v>
      </c>
      <c r="S1157">
        <f t="shared" si="1"/>
        <v>2001</v>
      </c>
      <c r="T1157">
        <f t="shared" si="2"/>
        <v>1</v>
      </c>
      <c r="AF1157" s="18"/>
      <c r="AG1157" s="19"/>
      <c r="AL1157" s="18"/>
      <c r="AM1157" s="19"/>
    </row>
    <row r="1158">
      <c r="A1158" s="4" t="s">
        <v>692</v>
      </c>
      <c r="B1158" s="10">
        <v>36892.0</v>
      </c>
      <c r="C1158" s="11" t="s">
        <v>81</v>
      </c>
      <c r="D1158" s="11" t="s">
        <v>82</v>
      </c>
      <c r="E1158" s="14" t="s">
        <v>52</v>
      </c>
      <c r="F1158" s="11" t="s">
        <v>76</v>
      </c>
      <c r="G1158" s="14" t="s">
        <v>54</v>
      </c>
      <c r="H1158" s="11" t="s">
        <v>449</v>
      </c>
      <c r="I1158" s="11"/>
      <c r="J1158" s="11">
        <v>26.0</v>
      </c>
      <c r="K1158" s="13">
        <v>37257.0</v>
      </c>
      <c r="L1158" s="14"/>
      <c r="M1158" s="11">
        <v>429280.0</v>
      </c>
      <c r="N1158" s="11">
        <v>1700.0</v>
      </c>
      <c r="P1158" s="106">
        <v>22.0</v>
      </c>
      <c r="Q1158" s="107">
        <v>20.333</v>
      </c>
      <c r="R1158" s="22">
        <v>0.0</v>
      </c>
      <c r="S1158">
        <f t="shared" si="1"/>
        <v>2001</v>
      </c>
      <c r="T1158">
        <f t="shared" si="2"/>
        <v>1</v>
      </c>
      <c r="AF1158" s="18"/>
      <c r="AG1158" s="19"/>
      <c r="AL1158" s="18"/>
      <c r="AM1158" s="19"/>
    </row>
    <row r="1159">
      <c r="A1159" s="4" t="s">
        <v>2509</v>
      </c>
      <c r="B1159" s="10">
        <v>36892.0</v>
      </c>
      <c r="C1159" s="11" t="s">
        <v>138</v>
      </c>
      <c r="D1159" s="11" t="s">
        <v>210</v>
      </c>
      <c r="E1159" s="14" t="s">
        <v>52</v>
      </c>
      <c r="F1159" s="11" t="s">
        <v>76</v>
      </c>
      <c r="G1159" s="14" t="s">
        <v>54</v>
      </c>
      <c r="H1159" s="11" t="s">
        <v>157</v>
      </c>
      <c r="I1159" s="11" t="s">
        <v>2510</v>
      </c>
      <c r="J1159" s="11">
        <v>20.0</v>
      </c>
      <c r="K1159" s="13">
        <v>37622.0</v>
      </c>
      <c r="L1159" s="14"/>
      <c r="M1159" s="11">
        <v>430675.0</v>
      </c>
      <c r="N1159" s="11">
        <v>2147.0</v>
      </c>
      <c r="P1159" s="11">
        <v>64.0</v>
      </c>
      <c r="Q1159" s="15">
        <v>83.667</v>
      </c>
      <c r="R1159" s="22">
        <v>0.0</v>
      </c>
      <c r="S1159">
        <f t="shared" si="1"/>
        <v>2001</v>
      </c>
      <c r="T1159">
        <f t="shared" si="2"/>
        <v>1</v>
      </c>
      <c r="AF1159" s="18"/>
      <c r="AG1159" s="19"/>
      <c r="AL1159" s="18"/>
      <c r="AM1159" s="19"/>
    </row>
    <row r="1160">
      <c r="A1160" s="4" t="s">
        <v>2511</v>
      </c>
      <c r="B1160" s="10">
        <v>36892.0</v>
      </c>
      <c r="C1160" s="11" t="s">
        <v>125</v>
      </c>
      <c r="D1160" s="11" t="s">
        <v>75</v>
      </c>
      <c r="E1160" s="11" t="s">
        <v>52</v>
      </c>
      <c r="F1160" s="11" t="s">
        <v>53</v>
      </c>
      <c r="G1160" s="11" t="s">
        <v>582</v>
      </c>
      <c r="H1160" s="11"/>
      <c r="I1160" s="11"/>
      <c r="J1160" s="11">
        <v>29.0</v>
      </c>
      <c r="K1160" s="13">
        <v>37257.0</v>
      </c>
      <c r="L1160" s="14"/>
      <c r="M1160" s="11">
        <v>456492.0</v>
      </c>
      <c r="N1160" s="11">
        <v>1002623.0</v>
      </c>
      <c r="O1160" s="4" t="s">
        <v>704</v>
      </c>
      <c r="P1160" s="11">
        <v>0.0</v>
      </c>
      <c r="Q1160" s="15">
        <v>0.0</v>
      </c>
      <c r="R1160" s="22">
        <v>0.0</v>
      </c>
      <c r="S1160">
        <f t="shared" si="1"/>
        <v>2001</v>
      </c>
      <c r="T1160">
        <f t="shared" si="2"/>
        <v>1</v>
      </c>
      <c r="AF1160" s="18"/>
      <c r="AG1160" s="19"/>
      <c r="AL1160" s="18"/>
      <c r="AM1160" s="19"/>
    </row>
    <row r="1161">
      <c r="A1161" s="4" t="s">
        <v>907</v>
      </c>
      <c r="B1161" s="10">
        <v>36892.0</v>
      </c>
      <c r="C1161" s="11" t="s">
        <v>49</v>
      </c>
      <c r="D1161" s="11" t="s">
        <v>110</v>
      </c>
      <c r="E1161" s="22" t="s">
        <v>872</v>
      </c>
      <c r="F1161" s="11" t="s">
        <v>53</v>
      </c>
      <c r="G1161" s="14" t="s">
        <v>54</v>
      </c>
      <c r="H1161" s="11" t="s">
        <v>92</v>
      </c>
      <c r="I1161" s="11" t="s">
        <v>139</v>
      </c>
      <c r="J1161" s="11">
        <v>22.0</v>
      </c>
      <c r="K1161" s="13">
        <v>37257.0</v>
      </c>
      <c r="L1161" s="14"/>
      <c r="M1161" s="11">
        <v>294558.0</v>
      </c>
      <c r="N1161" s="11">
        <v>1658.0</v>
      </c>
      <c r="O1161" s="4" t="s">
        <v>704</v>
      </c>
      <c r="P1161" s="11">
        <v>678.0</v>
      </c>
      <c r="Q1161" s="15">
        <v>2462.0</v>
      </c>
      <c r="R1161" s="22">
        <v>0.0</v>
      </c>
      <c r="S1161">
        <f t="shared" si="1"/>
        <v>2001</v>
      </c>
      <c r="T1161">
        <f t="shared" si="2"/>
        <v>1</v>
      </c>
      <c r="AF1161" s="18"/>
      <c r="AG1161" s="19"/>
      <c r="AL1161" s="18"/>
      <c r="AM1161" s="19"/>
    </row>
    <row r="1162">
      <c r="A1162" s="4" t="s">
        <v>2512</v>
      </c>
      <c r="B1162" s="10">
        <v>36892.0</v>
      </c>
      <c r="C1162" s="11" t="s">
        <v>49</v>
      </c>
      <c r="D1162" s="11" t="s">
        <v>124</v>
      </c>
      <c r="E1162" s="14" t="s">
        <v>52</v>
      </c>
      <c r="F1162" s="11" t="s">
        <v>53</v>
      </c>
      <c r="G1162" s="14" t="s">
        <v>54</v>
      </c>
      <c r="H1162" s="11" t="s">
        <v>316</v>
      </c>
      <c r="I1162" s="11"/>
      <c r="J1162" s="11">
        <v>21.0</v>
      </c>
      <c r="K1162" s="14"/>
      <c r="L1162" s="14"/>
      <c r="M1162" s="11">
        <v>457377.0</v>
      </c>
      <c r="N1162" s="11"/>
      <c r="P1162" s="11">
        <v>0.0</v>
      </c>
      <c r="Q1162" s="15">
        <v>0.0</v>
      </c>
      <c r="R1162" s="22">
        <v>0.0</v>
      </c>
      <c r="S1162">
        <f t="shared" si="1"/>
        <v>2001</v>
      </c>
      <c r="T1162">
        <f t="shared" si="2"/>
        <v>1</v>
      </c>
      <c r="AF1162" s="18"/>
      <c r="AG1162" s="19"/>
      <c r="AL1162" s="18"/>
      <c r="AM1162" s="19"/>
    </row>
    <row r="1163">
      <c r="A1163" s="4" t="s">
        <v>2513</v>
      </c>
      <c r="B1163" s="10">
        <v>36892.0</v>
      </c>
      <c r="C1163" s="11" t="s">
        <v>156</v>
      </c>
      <c r="D1163" s="11" t="s">
        <v>110</v>
      </c>
      <c r="E1163" s="14" t="s">
        <v>52</v>
      </c>
      <c r="F1163" s="11" t="s">
        <v>53</v>
      </c>
      <c r="G1163" s="14" t="s">
        <v>54</v>
      </c>
      <c r="H1163" s="11" t="s">
        <v>157</v>
      </c>
      <c r="I1163" s="11" t="s">
        <v>724</v>
      </c>
      <c r="J1163" s="11">
        <v>22.0</v>
      </c>
      <c r="K1163" s="13">
        <v>37622.0</v>
      </c>
      <c r="L1163" s="14"/>
      <c r="M1163" s="11">
        <v>407865.0</v>
      </c>
      <c r="N1163" s="11"/>
      <c r="P1163" s="11">
        <v>0.0</v>
      </c>
      <c r="Q1163" s="15">
        <v>0.0</v>
      </c>
      <c r="R1163" s="22">
        <v>0.0</v>
      </c>
      <c r="S1163">
        <f t="shared" si="1"/>
        <v>2001</v>
      </c>
      <c r="T1163">
        <f t="shared" si="2"/>
        <v>1</v>
      </c>
      <c r="AF1163" s="18"/>
      <c r="AG1163" s="19"/>
      <c r="AL1163" s="18"/>
      <c r="AM1163" s="19"/>
    </row>
    <row r="1164">
      <c r="A1164" s="4" t="s">
        <v>2514</v>
      </c>
      <c r="B1164" s="10">
        <v>36892.0</v>
      </c>
      <c r="C1164" s="11" t="s">
        <v>156</v>
      </c>
      <c r="D1164" s="11" t="s">
        <v>151</v>
      </c>
      <c r="E1164" s="11" t="s">
        <v>52</v>
      </c>
      <c r="F1164" s="11" t="s">
        <v>53</v>
      </c>
      <c r="G1164" s="11" t="s">
        <v>1454</v>
      </c>
      <c r="H1164" s="11"/>
      <c r="I1164" s="11"/>
      <c r="J1164" s="11">
        <v>18.0</v>
      </c>
      <c r="K1164" s="13">
        <v>38353.0</v>
      </c>
      <c r="L1164" s="14"/>
      <c r="M1164" s="11">
        <v>493200.0</v>
      </c>
      <c r="N1164" s="11">
        <v>18719.0</v>
      </c>
      <c r="P1164" s="11">
        <v>76.0</v>
      </c>
      <c r="Q1164" s="15">
        <v>79.667</v>
      </c>
      <c r="R1164" s="22">
        <v>1.0</v>
      </c>
      <c r="S1164">
        <f t="shared" si="1"/>
        <v>2001</v>
      </c>
      <c r="T1164">
        <f t="shared" si="2"/>
        <v>1</v>
      </c>
      <c r="AF1164" s="18"/>
      <c r="AG1164" s="19"/>
      <c r="AL1164" s="18"/>
      <c r="AM1164" s="19"/>
    </row>
    <row r="1165">
      <c r="A1165" s="4" t="s">
        <v>472</v>
      </c>
      <c r="B1165" s="10">
        <v>36892.0</v>
      </c>
      <c r="C1165" s="11" t="s">
        <v>711</v>
      </c>
      <c r="D1165" s="11" t="s">
        <v>124</v>
      </c>
      <c r="E1165" s="14" t="s">
        <v>52</v>
      </c>
      <c r="F1165" s="11" t="s">
        <v>53</v>
      </c>
      <c r="G1165" s="14" t="s">
        <v>54</v>
      </c>
      <c r="H1165" s="11" t="s">
        <v>344</v>
      </c>
      <c r="I1165" s="11" t="s">
        <v>1797</v>
      </c>
      <c r="J1165" s="11">
        <v>23.0</v>
      </c>
      <c r="K1165" s="13">
        <v>37257.0</v>
      </c>
      <c r="L1165" s="14"/>
      <c r="M1165" s="11">
        <v>430630.0</v>
      </c>
      <c r="N1165" s="11">
        <v>1906.0</v>
      </c>
      <c r="P1165" s="11">
        <v>679.0</v>
      </c>
      <c r="Q1165" s="15">
        <v>646.667</v>
      </c>
      <c r="R1165" s="11">
        <v>0.0</v>
      </c>
      <c r="S1165">
        <f t="shared" si="1"/>
        <v>2001</v>
      </c>
      <c r="T1165">
        <f t="shared" si="2"/>
        <v>1</v>
      </c>
      <c r="AF1165" s="18"/>
      <c r="AG1165" s="19"/>
      <c r="AL1165" s="18"/>
      <c r="AM1165" s="19"/>
    </row>
    <row r="1166">
      <c r="A1166" s="4" t="s">
        <v>2515</v>
      </c>
      <c r="B1166" s="10">
        <v>36882.0</v>
      </c>
      <c r="C1166" s="11" t="s">
        <v>259</v>
      </c>
      <c r="D1166" s="11" t="s">
        <v>51</v>
      </c>
      <c r="E1166" s="14" t="s">
        <v>52</v>
      </c>
      <c r="F1166" s="11" t="s">
        <v>53</v>
      </c>
      <c r="G1166" s="14" t="s">
        <v>54</v>
      </c>
      <c r="H1166" s="11" t="s">
        <v>92</v>
      </c>
      <c r="I1166" s="11" t="s">
        <v>1793</v>
      </c>
      <c r="J1166" s="11">
        <v>28.0</v>
      </c>
      <c r="K1166" s="14"/>
      <c r="L1166" s="14"/>
      <c r="M1166" s="11">
        <v>122239.0</v>
      </c>
      <c r="N1166" s="11">
        <v>1011977.0</v>
      </c>
      <c r="P1166" s="11">
        <v>0.0</v>
      </c>
      <c r="Q1166" s="32">
        <v>0.0</v>
      </c>
      <c r="R1166" s="22">
        <v>0.0</v>
      </c>
      <c r="S1166">
        <f t="shared" si="1"/>
        <v>2000</v>
      </c>
      <c r="T1166">
        <f t="shared" si="2"/>
        <v>12</v>
      </c>
      <c r="AF1166" s="18"/>
      <c r="AG1166" s="19"/>
      <c r="AL1166" s="18"/>
      <c r="AM1166" s="19"/>
    </row>
    <row r="1167">
      <c r="A1167" s="4" t="s">
        <v>2516</v>
      </c>
      <c r="B1167" s="10">
        <v>36776.0</v>
      </c>
      <c r="C1167" s="11" t="s">
        <v>229</v>
      </c>
      <c r="D1167" s="11" t="s">
        <v>110</v>
      </c>
      <c r="E1167" s="14" t="s">
        <v>52</v>
      </c>
      <c r="F1167" s="11" t="s">
        <v>53</v>
      </c>
      <c r="G1167" s="14" t="s">
        <v>54</v>
      </c>
      <c r="H1167" s="11" t="s">
        <v>260</v>
      </c>
      <c r="I1167" s="11" t="s">
        <v>211</v>
      </c>
      <c r="J1167" s="11">
        <v>22.0</v>
      </c>
      <c r="K1167" s="13">
        <v>37257.0</v>
      </c>
      <c r="L1167" s="14"/>
      <c r="M1167" s="11">
        <v>216897.0</v>
      </c>
      <c r="N1167" s="11">
        <v>1689.0</v>
      </c>
      <c r="P1167" s="11">
        <v>93.0</v>
      </c>
      <c r="Q1167" s="15">
        <v>237.667</v>
      </c>
      <c r="R1167" s="22">
        <v>0.0</v>
      </c>
      <c r="S1167">
        <f t="shared" si="1"/>
        <v>2000</v>
      </c>
      <c r="T1167">
        <f t="shared" si="2"/>
        <v>9</v>
      </c>
      <c r="AF1167" s="18"/>
      <c r="AG1167" s="19"/>
      <c r="AL1167" s="18"/>
      <c r="AM1167" s="19"/>
    </row>
    <row r="1168">
      <c r="A1168" s="4" t="s">
        <v>666</v>
      </c>
      <c r="B1168" s="10">
        <v>36770.0</v>
      </c>
      <c r="C1168" s="11" t="s">
        <v>209</v>
      </c>
      <c r="D1168" s="11" t="s">
        <v>75</v>
      </c>
      <c r="E1168" s="14" t="s">
        <v>52</v>
      </c>
      <c r="F1168" s="11" t="s">
        <v>76</v>
      </c>
      <c r="G1168" s="14" t="s">
        <v>54</v>
      </c>
      <c r="H1168" s="11" t="s">
        <v>92</v>
      </c>
      <c r="I1168" s="11" t="s">
        <v>1870</v>
      </c>
      <c r="J1168" s="11">
        <v>20.0</v>
      </c>
      <c r="K1168" s="13">
        <v>37622.0</v>
      </c>
      <c r="L1168" s="14"/>
      <c r="M1168" s="11">
        <v>235494.0</v>
      </c>
      <c r="N1168" s="11">
        <v>164.0</v>
      </c>
      <c r="P1168" s="11">
        <v>23.0</v>
      </c>
      <c r="Q1168" s="15">
        <v>86.667</v>
      </c>
      <c r="R1168" s="22">
        <v>0.0</v>
      </c>
      <c r="S1168">
        <f t="shared" si="1"/>
        <v>2000</v>
      </c>
      <c r="T1168">
        <f t="shared" si="2"/>
        <v>9</v>
      </c>
      <c r="AF1168" s="18"/>
      <c r="AG1168" s="19"/>
      <c r="AL1168" s="18"/>
      <c r="AM1168" s="19"/>
    </row>
    <row r="1169">
      <c r="A1169" s="4" t="s">
        <v>2517</v>
      </c>
      <c r="B1169" s="10">
        <v>36746.0</v>
      </c>
      <c r="C1169" s="11" t="s">
        <v>209</v>
      </c>
      <c r="D1169" s="11" t="s">
        <v>51</v>
      </c>
      <c r="E1169" s="14" t="s">
        <v>52</v>
      </c>
      <c r="F1169" s="11" t="s">
        <v>53</v>
      </c>
      <c r="G1169" s="14" t="s">
        <v>54</v>
      </c>
      <c r="H1169" s="11" t="s">
        <v>92</v>
      </c>
      <c r="I1169" s="11" t="s">
        <v>2518</v>
      </c>
      <c r="J1169" s="11">
        <v>32.0</v>
      </c>
      <c r="K1169" s="13">
        <v>37347.0</v>
      </c>
      <c r="L1169" s="11">
        <f t="shared" ref="L1169:L1172" si="112">ROUND(((K1169-B1169)/365)*12)</f>
        <v>20</v>
      </c>
      <c r="M1169" s="11">
        <v>113884.0</v>
      </c>
      <c r="N1169" s="11">
        <v>137.0</v>
      </c>
      <c r="O1169" s="4" t="s">
        <v>704</v>
      </c>
      <c r="P1169" s="11">
        <v>63.0</v>
      </c>
      <c r="Q1169" s="32">
        <v>254.33299999999997</v>
      </c>
      <c r="R1169" s="22">
        <v>0.0</v>
      </c>
      <c r="S1169">
        <f t="shared" si="1"/>
        <v>2000</v>
      </c>
      <c r="T1169">
        <f t="shared" si="2"/>
        <v>8</v>
      </c>
      <c r="AF1169" s="18"/>
      <c r="AG1169" s="19"/>
      <c r="AL1169" s="18"/>
      <c r="AM1169" s="19"/>
    </row>
    <row r="1170">
      <c r="A1170" s="4" t="s">
        <v>2519</v>
      </c>
      <c r="B1170" s="10">
        <v>36707.0</v>
      </c>
      <c r="C1170" s="11" t="s">
        <v>90</v>
      </c>
      <c r="D1170" s="11" t="s">
        <v>51</v>
      </c>
      <c r="E1170" s="11" t="s">
        <v>264</v>
      </c>
      <c r="F1170" s="11" t="s">
        <v>53</v>
      </c>
      <c r="G1170" s="11" t="s">
        <v>54</v>
      </c>
      <c r="H1170" s="11" t="s">
        <v>316</v>
      </c>
      <c r="I1170" s="11" t="s">
        <v>2520</v>
      </c>
      <c r="J1170" s="11">
        <v>36.0</v>
      </c>
      <c r="K1170" s="13">
        <v>36984.0</v>
      </c>
      <c r="L1170" s="11">
        <f t="shared" si="112"/>
        <v>9</v>
      </c>
      <c r="M1170" s="11">
        <v>117442.0</v>
      </c>
      <c r="N1170" s="11">
        <v>1043.0</v>
      </c>
      <c r="P1170" s="11">
        <v>183.0</v>
      </c>
      <c r="Q1170" s="15">
        <v>558.0</v>
      </c>
      <c r="R1170" s="22">
        <v>0.0</v>
      </c>
      <c r="S1170">
        <f t="shared" si="1"/>
        <v>2000</v>
      </c>
      <c r="T1170">
        <f t="shared" si="2"/>
        <v>6</v>
      </c>
      <c r="AF1170" s="18"/>
      <c r="AG1170" s="19"/>
      <c r="AL1170" s="18"/>
      <c r="AM1170" s="19"/>
    </row>
    <row r="1171">
      <c r="A1171" s="4" t="s">
        <v>2521</v>
      </c>
      <c r="B1171" s="10">
        <v>36690.0</v>
      </c>
      <c r="C1171" s="11" t="s">
        <v>179</v>
      </c>
      <c r="D1171" s="11" t="s">
        <v>51</v>
      </c>
      <c r="E1171" s="14" t="s">
        <v>52</v>
      </c>
      <c r="F1171" s="11" t="s">
        <v>53</v>
      </c>
      <c r="G1171" s="14" t="s">
        <v>54</v>
      </c>
      <c r="H1171" s="11" t="s">
        <v>344</v>
      </c>
      <c r="I1171" s="11" t="s">
        <v>2522</v>
      </c>
      <c r="J1171" s="11">
        <v>25.0</v>
      </c>
      <c r="K1171" s="13">
        <v>37122.0</v>
      </c>
      <c r="L1171" s="11">
        <f t="shared" si="112"/>
        <v>14</v>
      </c>
      <c r="M1171" s="11">
        <v>150285.0</v>
      </c>
      <c r="N1171" s="11">
        <v>1257.0</v>
      </c>
      <c r="P1171" s="11">
        <v>273.0</v>
      </c>
      <c r="Q1171" s="32">
        <v>255.0</v>
      </c>
      <c r="R1171" s="22">
        <v>0.0</v>
      </c>
      <c r="S1171">
        <f t="shared" si="1"/>
        <v>2000</v>
      </c>
      <c r="T1171">
        <f t="shared" si="2"/>
        <v>6</v>
      </c>
      <c r="AF1171" s="18"/>
      <c r="AG1171" s="19"/>
      <c r="AL1171" s="18"/>
      <c r="AM1171" s="19"/>
    </row>
    <row r="1172">
      <c r="A1172" s="4" t="s">
        <v>2523</v>
      </c>
      <c r="B1172" s="10">
        <v>36687.0</v>
      </c>
      <c r="C1172" s="11" t="s">
        <v>156</v>
      </c>
      <c r="D1172" s="11" t="s">
        <v>51</v>
      </c>
      <c r="E1172" s="14" t="s">
        <v>52</v>
      </c>
      <c r="F1172" s="11" t="s">
        <v>76</v>
      </c>
      <c r="G1172" s="14" t="s">
        <v>54</v>
      </c>
      <c r="H1172" s="11" t="s">
        <v>92</v>
      </c>
      <c r="I1172" s="11"/>
      <c r="J1172" s="11">
        <v>32.0</v>
      </c>
      <c r="K1172" s="13">
        <v>37136.0</v>
      </c>
      <c r="L1172" s="11">
        <f t="shared" si="112"/>
        <v>15</v>
      </c>
      <c r="M1172" s="11">
        <v>120877.0</v>
      </c>
      <c r="N1172" s="11">
        <v>1010641.0</v>
      </c>
      <c r="P1172" s="11">
        <v>2.0</v>
      </c>
      <c r="Q1172" s="32">
        <v>2.0</v>
      </c>
      <c r="R1172" s="22">
        <v>0.0</v>
      </c>
      <c r="S1172">
        <f t="shared" si="1"/>
        <v>2000</v>
      </c>
      <c r="T1172">
        <f t="shared" si="2"/>
        <v>6</v>
      </c>
      <c r="AF1172" s="18"/>
      <c r="AG1172" s="19"/>
      <c r="AL1172" s="18"/>
      <c r="AM1172" s="19"/>
    </row>
    <row r="1173">
      <c r="A1173" s="4" t="s">
        <v>2525</v>
      </c>
      <c r="B1173" s="10">
        <v>36678.0</v>
      </c>
      <c r="C1173" s="11" t="s">
        <v>114</v>
      </c>
      <c r="D1173" s="11" t="s">
        <v>124</v>
      </c>
      <c r="E1173" s="14" t="s">
        <v>52</v>
      </c>
      <c r="F1173" s="11" t="s">
        <v>53</v>
      </c>
      <c r="G1173" s="14" t="s">
        <v>54</v>
      </c>
      <c r="H1173" s="11" t="s">
        <v>112</v>
      </c>
      <c r="I1173" s="11"/>
      <c r="J1173" s="11">
        <v>20.0</v>
      </c>
      <c r="K1173" s="13">
        <v>37257.0</v>
      </c>
      <c r="L1173" s="14"/>
      <c r="M1173" s="11">
        <v>444062.0</v>
      </c>
      <c r="N1173" s="11"/>
      <c r="P1173" s="11">
        <v>0.0</v>
      </c>
      <c r="Q1173" s="15">
        <v>0.0</v>
      </c>
      <c r="R1173" s="22">
        <v>0.0</v>
      </c>
      <c r="S1173">
        <f t="shared" si="1"/>
        <v>2000</v>
      </c>
      <c r="T1173">
        <f t="shared" si="2"/>
        <v>6</v>
      </c>
      <c r="AF1173" s="18"/>
      <c r="AG1173" s="19"/>
      <c r="AL1173" s="18"/>
      <c r="AM1173" s="19"/>
    </row>
    <row r="1174">
      <c r="A1174" s="4" t="s">
        <v>2527</v>
      </c>
      <c r="B1174" s="10">
        <v>36647.0</v>
      </c>
      <c r="C1174" s="11" t="s">
        <v>96</v>
      </c>
      <c r="D1174" s="11" t="s">
        <v>75</v>
      </c>
      <c r="E1174" s="14" t="s">
        <v>52</v>
      </c>
      <c r="F1174" s="11" t="s">
        <v>76</v>
      </c>
      <c r="G1174" s="14" t="s">
        <v>54</v>
      </c>
      <c r="H1174" s="11" t="s">
        <v>157</v>
      </c>
      <c r="I1174" s="11"/>
      <c r="J1174" s="11">
        <v>22.0</v>
      </c>
      <c r="K1174" s="13">
        <v>36892.0</v>
      </c>
      <c r="L1174" s="14"/>
      <c r="M1174" s="11">
        <v>279568.0</v>
      </c>
      <c r="N1174" s="11">
        <v>71.0</v>
      </c>
      <c r="P1174" s="11">
        <v>88.0</v>
      </c>
      <c r="Q1174" s="15">
        <v>454.333</v>
      </c>
      <c r="R1174" s="22">
        <v>0.0</v>
      </c>
      <c r="S1174">
        <f t="shared" si="1"/>
        <v>2000</v>
      </c>
      <c r="T1174">
        <f t="shared" si="2"/>
        <v>5</v>
      </c>
      <c r="AF1174" s="18"/>
      <c r="AG1174" s="19"/>
      <c r="AL1174" s="18"/>
      <c r="AM1174" s="19"/>
    </row>
    <row r="1175">
      <c r="A1175" s="4" t="s">
        <v>2528</v>
      </c>
      <c r="B1175" s="10">
        <v>36617.0</v>
      </c>
      <c r="C1175" s="11" t="s">
        <v>331</v>
      </c>
      <c r="D1175" s="11" t="s">
        <v>51</v>
      </c>
      <c r="E1175" s="14" t="s">
        <v>52</v>
      </c>
      <c r="F1175" s="11" t="s">
        <v>76</v>
      </c>
      <c r="G1175" s="11" t="s">
        <v>299</v>
      </c>
      <c r="H1175" s="11"/>
      <c r="I1175" s="11"/>
      <c r="J1175" s="11">
        <v>23.0</v>
      </c>
      <c r="K1175" s="13">
        <v>37349.0</v>
      </c>
      <c r="L1175" s="11">
        <f>ROUND(((K1175-B1175)/365)*12)</f>
        <v>24</v>
      </c>
      <c r="M1175" s="11">
        <v>150373.0</v>
      </c>
      <c r="N1175" s="11">
        <v>542.0</v>
      </c>
      <c r="P1175" s="11">
        <v>98.0</v>
      </c>
      <c r="Q1175" s="32">
        <v>232.0</v>
      </c>
      <c r="R1175" s="22">
        <v>0.0</v>
      </c>
      <c r="S1175">
        <f t="shared" si="1"/>
        <v>2000</v>
      </c>
      <c r="T1175">
        <f t="shared" si="2"/>
        <v>4</v>
      </c>
      <c r="AF1175" s="18"/>
      <c r="AG1175" s="19"/>
      <c r="AL1175" s="18"/>
      <c r="AM1175" s="19"/>
    </row>
    <row r="1176">
      <c r="A1176" s="4" t="s">
        <v>2529</v>
      </c>
      <c r="B1176" s="10">
        <v>36600.0</v>
      </c>
      <c r="C1176" s="11" t="s">
        <v>96</v>
      </c>
      <c r="D1176" s="11" t="s">
        <v>124</v>
      </c>
      <c r="E1176" s="11" t="s">
        <v>52</v>
      </c>
      <c r="F1176" s="11" t="s">
        <v>53</v>
      </c>
      <c r="G1176" s="11" t="s">
        <v>54</v>
      </c>
      <c r="H1176" s="11" t="s">
        <v>92</v>
      </c>
      <c r="I1176" s="11"/>
      <c r="J1176" s="11">
        <v>20.0</v>
      </c>
      <c r="K1176" s="13">
        <v>36892.0</v>
      </c>
      <c r="L1176" s="11"/>
      <c r="M1176" s="11">
        <v>425627.0</v>
      </c>
      <c r="N1176" s="11">
        <v>1690.0</v>
      </c>
      <c r="O1176" s="4"/>
      <c r="P1176" s="11">
        <v>35.0</v>
      </c>
      <c r="Q1176" s="15">
        <v>112.0</v>
      </c>
      <c r="R1176" s="22">
        <v>0.0</v>
      </c>
      <c r="S1176">
        <f t="shared" si="1"/>
        <v>2000</v>
      </c>
      <c r="T1176">
        <f t="shared" si="2"/>
        <v>3</v>
      </c>
      <c r="AF1176" s="18"/>
      <c r="AG1176" s="19"/>
      <c r="AL1176" s="18"/>
      <c r="AM1176" s="19"/>
    </row>
    <row r="1177">
      <c r="A1177" s="4" t="s">
        <v>2531</v>
      </c>
      <c r="B1177" s="10">
        <v>36600.0</v>
      </c>
      <c r="C1177" s="11" t="s">
        <v>350</v>
      </c>
      <c r="D1177" s="11" t="s">
        <v>110</v>
      </c>
      <c r="E1177" s="14" t="s">
        <v>52</v>
      </c>
      <c r="F1177" s="11" t="s">
        <v>76</v>
      </c>
      <c r="G1177" s="11" t="s">
        <v>54</v>
      </c>
      <c r="H1177" s="11" t="s">
        <v>157</v>
      </c>
      <c r="I1177" s="11" t="s">
        <v>650</v>
      </c>
      <c r="J1177" s="11">
        <v>24.0</v>
      </c>
      <c r="K1177" s="13">
        <v>37622.0</v>
      </c>
      <c r="L1177" s="14"/>
      <c r="M1177" s="11">
        <v>430942.0</v>
      </c>
      <c r="N1177" s="11">
        <v>2362.0</v>
      </c>
      <c r="P1177" s="11">
        <v>97.0</v>
      </c>
      <c r="Q1177" s="15">
        <v>82.0</v>
      </c>
      <c r="R1177" s="22">
        <v>0.0</v>
      </c>
      <c r="S1177">
        <f t="shared" si="1"/>
        <v>2000</v>
      </c>
      <c r="T1177">
        <f t="shared" si="2"/>
        <v>3</v>
      </c>
      <c r="AF1177" s="18"/>
      <c r="AG1177" s="19"/>
      <c r="AL1177" s="18"/>
      <c r="AM1177" s="19"/>
    </row>
    <row r="1178">
      <c r="A1178" s="4" t="s">
        <v>2532</v>
      </c>
      <c r="B1178" s="10">
        <v>36586.0</v>
      </c>
      <c r="C1178" s="11" t="s">
        <v>142</v>
      </c>
      <c r="D1178" s="11" t="s">
        <v>51</v>
      </c>
      <c r="E1178" s="14" t="s">
        <v>52</v>
      </c>
      <c r="F1178" s="11" t="s">
        <v>53</v>
      </c>
      <c r="G1178" s="14" t="s">
        <v>54</v>
      </c>
      <c r="H1178" s="11" t="s">
        <v>597</v>
      </c>
      <c r="I1178" s="11"/>
      <c r="J1178" s="11">
        <v>33.0</v>
      </c>
      <c r="K1178" s="13">
        <v>37028.0</v>
      </c>
      <c r="L1178" s="11">
        <f>ROUND(((K1178-B1178)/365)*12)</f>
        <v>15</v>
      </c>
      <c r="M1178" s="11">
        <v>122477.0</v>
      </c>
      <c r="N1178" s="11">
        <v>115.0</v>
      </c>
      <c r="O1178" s="4" t="s">
        <v>59</v>
      </c>
      <c r="P1178" s="11">
        <v>367.0</v>
      </c>
      <c r="Q1178" s="15">
        <v>1058.667</v>
      </c>
      <c r="R1178" s="22">
        <v>0.0</v>
      </c>
      <c r="S1178">
        <f t="shared" si="1"/>
        <v>2000</v>
      </c>
      <c r="T1178">
        <f t="shared" si="2"/>
        <v>3</v>
      </c>
      <c r="AF1178" s="18"/>
      <c r="AG1178" s="19"/>
      <c r="AL1178" s="18"/>
      <c r="AM1178" s="19"/>
    </row>
    <row r="1179">
      <c r="A1179" s="4" t="s">
        <v>2533</v>
      </c>
      <c r="B1179" s="10">
        <v>36526.0</v>
      </c>
      <c r="C1179" s="11" t="s">
        <v>142</v>
      </c>
      <c r="D1179" s="11" t="s">
        <v>51</v>
      </c>
      <c r="E1179" s="14" t="s">
        <v>52</v>
      </c>
      <c r="F1179" s="11" t="s">
        <v>53</v>
      </c>
      <c r="G1179" s="11" t="s">
        <v>582</v>
      </c>
      <c r="H1179" s="11"/>
      <c r="I1179" s="11"/>
      <c r="J1179" s="11">
        <v>26.0</v>
      </c>
      <c r="K1179" s="13">
        <v>37847.0</v>
      </c>
      <c r="L1179" s="14"/>
      <c r="M1179" s="11">
        <v>233694.0</v>
      </c>
      <c r="N1179" s="11">
        <v>1798.0</v>
      </c>
      <c r="P1179" s="11">
        <v>82.0</v>
      </c>
      <c r="Q1179" s="15">
        <v>85.333</v>
      </c>
      <c r="R1179" s="22">
        <v>0.0</v>
      </c>
      <c r="S1179">
        <f t="shared" si="1"/>
        <v>2000</v>
      </c>
      <c r="T1179">
        <f t="shared" si="2"/>
        <v>1</v>
      </c>
      <c r="AF1179" s="18"/>
      <c r="AG1179" s="19"/>
      <c r="AL1179" s="18"/>
      <c r="AM1179" s="19"/>
    </row>
    <row r="1180">
      <c r="A1180" s="4" t="s">
        <v>2534</v>
      </c>
      <c r="B1180" s="10">
        <v>36526.0</v>
      </c>
      <c r="C1180" s="11" t="s">
        <v>142</v>
      </c>
      <c r="D1180" s="11" t="s">
        <v>51</v>
      </c>
      <c r="E1180" s="14" t="s">
        <v>52</v>
      </c>
      <c r="F1180" s="11" t="s">
        <v>76</v>
      </c>
      <c r="G1180" s="22" t="s">
        <v>83</v>
      </c>
      <c r="H1180" s="11"/>
      <c r="I1180" s="11"/>
      <c r="J1180" s="11">
        <v>22.0</v>
      </c>
      <c r="K1180" s="13">
        <v>36986.0</v>
      </c>
      <c r="L1180" s="14"/>
      <c r="M1180" s="11">
        <v>136602.0</v>
      </c>
      <c r="N1180" s="11">
        <v>668.0</v>
      </c>
      <c r="O1180" s="4" t="s">
        <v>59</v>
      </c>
      <c r="P1180" s="11">
        <v>224.0</v>
      </c>
      <c r="Q1180" s="32">
        <v>1231.3329999999996</v>
      </c>
      <c r="R1180" s="22">
        <v>0.0</v>
      </c>
      <c r="S1180">
        <f t="shared" si="1"/>
        <v>2000</v>
      </c>
      <c r="T1180">
        <f t="shared" si="2"/>
        <v>1</v>
      </c>
      <c r="AF1180" s="18"/>
      <c r="AG1180" s="19"/>
      <c r="AL1180" s="18"/>
      <c r="AM1180" s="19"/>
    </row>
    <row r="1181">
      <c r="A1181" s="4" t="s">
        <v>2535</v>
      </c>
      <c r="B1181" s="10">
        <v>36526.0</v>
      </c>
      <c r="C1181" s="11" t="s">
        <v>133</v>
      </c>
      <c r="D1181" s="11" t="s">
        <v>51</v>
      </c>
      <c r="E1181" s="14" t="s">
        <v>52</v>
      </c>
      <c r="F1181" s="11" t="s">
        <v>53</v>
      </c>
      <c r="G1181" s="22" t="s">
        <v>83</v>
      </c>
      <c r="H1181" s="14"/>
      <c r="I1181" s="14"/>
      <c r="J1181" s="11">
        <v>23.0</v>
      </c>
      <c r="K1181" s="14"/>
      <c r="L1181" s="14"/>
      <c r="M1181" s="11">
        <v>150170.0</v>
      </c>
      <c r="N1181" s="11" t="s">
        <v>2536</v>
      </c>
      <c r="O1181" s="4" t="s">
        <v>704</v>
      </c>
      <c r="P1181" s="11">
        <v>0.0</v>
      </c>
      <c r="Q1181" s="32">
        <v>0.0</v>
      </c>
      <c r="R1181" s="22">
        <v>0.0</v>
      </c>
      <c r="S1181">
        <f t="shared" si="1"/>
        <v>2000</v>
      </c>
      <c r="T1181">
        <f t="shared" si="2"/>
        <v>1</v>
      </c>
      <c r="AF1181" s="18"/>
      <c r="AG1181" s="19"/>
      <c r="AL1181" s="18"/>
      <c r="AM1181" s="19"/>
    </row>
    <row r="1182">
      <c r="A1182" s="4" t="s">
        <v>642</v>
      </c>
      <c r="B1182" s="10">
        <v>36526.0</v>
      </c>
      <c r="C1182" s="11" t="s">
        <v>229</v>
      </c>
      <c r="D1182" s="11" t="s">
        <v>51</v>
      </c>
      <c r="E1182" s="14" t="s">
        <v>52</v>
      </c>
      <c r="F1182" s="11" t="s">
        <v>53</v>
      </c>
      <c r="G1182" s="14" t="s">
        <v>54</v>
      </c>
      <c r="H1182" s="11" t="s">
        <v>260</v>
      </c>
      <c r="I1182" s="11" t="s">
        <v>2384</v>
      </c>
      <c r="J1182" s="11">
        <v>25.0</v>
      </c>
      <c r="K1182" s="13">
        <v>37500.0</v>
      </c>
      <c r="L1182" s="14"/>
      <c r="M1182" s="11">
        <v>238796.0</v>
      </c>
      <c r="N1182" s="11">
        <v>1592.0</v>
      </c>
      <c r="P1182" s="11">
        <v>175.0</v>
      </c>
      <c r="Q1182" s="15">
        <v>248.333</v>
      </c>
      <c r="R1182" s="22">
        <v>0.0</v>
      </c>
      <c r="S1182">
        <f t="shared" si="1"/>
        <v>2000</v>
      </c>
      <c r="T1182">
        <f t="shared" si="2"/>
        <v>1</v>
      </c>
      <c r="AF1182" s="18"/>
      <c r="AG1182" s="19"/>
      <c r="AL1182" s="18"/>
      <c r="AM1182" s="19"/>
    </row>
    <row r="1183">
      <c r="A1183" s="4" t="s">
        <v>2537</v>
      </c>
      <c r="B1183" s="10">
        <v>36526.0</v>
      </c>
      <c r="C1183" s="11" t="s">
        <v>229</v>
      </c>
      <c r="D1183" s="11" t="s">
        <v>51</v>
      </c>
      <c r="E1183" s="14" t="s">
        <v>52</v>
      </c>
      <c r="F1183" s="11" t="s">
        <v>53</v>
      </c>
      <c r="G1183" s="22" t="s">
        <v>265</v>
      </c>
      <c r="H1183" s="14"/>
      <c r="I1183" s="14"/>
      <c r="J1183" s="11">
        <v>23.0</v>
      </c>
      <c r="K1183" s="13">
        <v>37867.0</v>
      </c>
      <c r="L1183" s="14"/>
      <c r="M1183" s="11">
        <v>150205.0</v>
      </c>
      <c r="N1183" s="11">
        <v>617.0</v>
      </c>
      <c r="P1183" s="11">
        <v>40.0</v>
      </c>
      <c r="Q1183" s="15">
        <v>42.667</v>
      </c>
      <c r="R1183" s="22">
        <v>0.0</v>
      </c>
      <c r="S1183">
        <f t="shared" si="1"/>
        <v>2000</v>
      </c>
      <c r="T1183">
        <f t="shared" si="2"/>
        <v>1</v>
      </c>
      <c r="AF1183" s="18"/>
      <c r="AG1183" s="19"/>
      <c r="AL1183" s="18"/>
      <c r="AM1183" s="19"/>
    </row>
    <row r="1184">
      <c r="A1184" s="4" t="s">
        <v>2538</v>
      </c>
      <c r="B1184" s="10">
        <v>36526.0</v>
      </c>
      <c r="C1184" s="11" t="s">
        <v>114</v>
      </c>
      <c r="D1184" s="11" t="s">
        <v>51</v>
      </c>
      <c r="E1184" s="14" t="s">
        <v>52</v>
      </c>
      <c r="F1184" s="11" t="s">
        <v>53</v>
      </c>
      <c r="G1184" s="14" t="s">
        <v>54</v>
      </c>
      <c r="H1184" s="11" t="s">
        <v>157</v>
      </c>
      <c r="I1184" s="11" t="s">
        <v>775</v>
      </c>
      <c r="J1184" s="11">
        <v>26.0</v>
      </c>
      <c r="K1184" s="13">
        <v>37124.0</v>
      </c>
      <c r="L1184" s="14"/>
      <c r="M1184" s="11">
        <v>112662.0</v>
      </c>
      <c r="N1184" s="11">
        <v>1002604.0</v>
      </c>
      <c r="O1184" s="4" t="s">
        <v>59</v>
      </c>
      <c r="P1184" s="11">
        <v>8.0</v>
      </c>
      <c r="Q1184" s="15">
        <v>22.667</v>
      </c>
      <c r="R1184" s="22">
        <v>0.0</v>
      </c>
      <c r="S1184">
        <f t="shared" si="1"/>
        <v>2000</v>
      </c>
      <c r="T1184">
        <f t="shared" si="2"/>
        <v>1</v>
      </c>
      <c r="AF1184" s="18"/>
      <c r="AG1184" s="19"/>
      <c r="AL1184" s="18"/>
      <c r="AM1184" s="19"/>
    </row>
    <row r="1185">
      <c r="A1185" s="4" t="s">
        <v>2539</v>
      </c>
      <c r="B1185" s="10">
        <v>36526.0</v>
      </c>
      <c r="C1185" s="11" t="s">
        <v>49</v>
      </c>
      <c r="D1185" s="11" t="s">
        <v>51</v>
      </c>
      <c r="E1185" s="14" t="s">
        <v>52</v>
      </c>
      <c r="F1185" s="11" t="s">
        <v>76</v>
      </c>
      <c r="G1185" s="14" t="s">
        <v>54</v>
      </c>
      <c r="H1185" s="11" t="s">
        <v>260</v>
      </c>
      <c r="I1185" s="11"/>
      <c r="J1185" s="11">
        <v>29.0</v>
      </c>
      <c r="K1185" s="13">
        <v>37076.0</v>
      </c>
      <c r="L1185" s="14"/>
      <c r="M1185" s="11">
        <v>115982.0</v>
      </c>
      <c r="N1185" s="11">
        <v>824.0</v>
      </c>
      <c r="O1185" s="4" t="s">
        <v>704</v>
      </c>
      <c r="P1185" s="11">
        <v>72.0</v>
      </c>
      <c r="Q1185" s="15">
        <v>218.667</v>
      </c>
      <c r="R1185" s="22">
        <v>0.0</v>
      </c>
      <c r="S1185">
        <f t="shared" si="1"/>
        <v>2000</v>
      </c>
      <c r="T1185">
        <f t="shared" si="2"/>
        <v>1</v>
      </c>
      <c r="AF1185" s="18"/>
      <c r="AG1185" s="19"/>
      <c r="AL1185" s="18"/>
      <c r="AM1185" s="19"/>
    </row>
    <row r="1186">
      <c r="A1186" s="4" t="s">
        <v>2540</v>
      </c>
      <c r="B1186" s="10">
        <v>36526.0</v>
      </c>
      <c r="C1186" s="11" t="s">
        <v>90</v>
      </c>
      <c r="D1186" s="11" t="s">
        <v>51</v>
      </c>
      <c r="E1186" s="14" t="s">
        <v>52</v>
      </c>
      <c r="F1186" s="11" t="s">
        <v>53</v>
      </c>
      <c r="G1186" s="14" t="s">
        <v>54</v>
      </c>
      <c r="H1186" s="11" t="s">
        <v>251</v>
      </c>
      <c r="I1186" s="11"/>
      <c r="J1186" s="11">
        <v>25.0</v>
      </c>
      <c r="K1186" s="14"/>
      <c r="L1186" s="14"/>
      <c r="M1186" s="11">
        <v>112415.0</v>
      </c>
      <c r="N1186" s="11">
        <v>1002362.0</v>
      </c>
      <c r="O1186" s="4" t="s">
        <v>704</v>
      </c>
      <c r="P1186" s="11">
        <v>0.0</v>
      </c>
      <c r="Q1186" s="32">
        <v>0.0</v>
      </c>
      <c r="R1186" s="22">
        <v>0.0</v>
      </c>
      <c r="S1186">
        <f t="shared" si="1"/>
        <v>2000</v>
      </c>
      <c r="T1186">
        <f t="shared" si="2"/>
        <v>1</v>
      </c>
      <c r="AF1186" s="18"/>
      <c r="AG1186" s="19"/>
      <c r="AL1186" s="18"/>
      <c r="AM1186" s="19"/>
    </row>
    <row r="1187">
      <c r="A1187" s="4" t="s">
        <v>2541</v>
      </c>
      <c r="B1187" s="10">
        <v>36526.0</v>
      </c>
      <c r="C1187" s="11" t="s">
        <v>270</v>
      </c>
      <c r="D1187" s="11" t="s">
        <v>51</v>
      </c>
      <c r="E1187" s="14" t="s">
        <v>52</v>
      </c>
      <c r="F1187" s="11" t="s">
        <v>53</v>
      </c>
      <c r="G1187" s="14" t="s">
        <v>54</v>
      </c>
      <c r="H1187" s="11" t="s">
        <v>597</v>
      </c>
      <c r="I1187" s="11"/>
      <c r="J1187" s="11">
        <v>28.0</v>
      </c>
      <c r="K1187" s="13">
        <v>37448.0</v>
      </c>
      <c r="L1187" s="14"/>
      <c r="M1187" s="11">
        <v>121258.0</v>
      </c>
      <c r="N1187" s="11">
        <v>969.0</v>
      </c>
      <c r="P1187" s="11">
        <v>90.0</v>
      </c>
      <c r="Q1187" s="15">
        <v>192.667</v>
      </c>
      <c r="R1187" s="22">
        <v>0.0</v>
      </c>
      <c r="S1187">
        <f t="shared" si="1"/>
        <v>2000</v>
      </c>
      <c r="T1187">
        <f t="shared" si="2"/>
        <v>1</v>
      </c>
      <c r="AF1187" s="18"/>
      <c r="AG1187" s="19"/>
      <c r="AL1187" s="18"/>
      <c r="AM1187" s="19"/>
    </row>
    <row r="1188">
      <c r="A1188" s="4" t="s">
        <v>2543</v>
      </c>
      <c r="B1188" s="10">
        <v>36526.0</v>
      </c>
      <c r="C1188" s="11" t="s">
        <v>142</v>
      </c>
      <c r="D1188" s="11" t="s">
        <v>91</v>
      </c>
      <c r="E1188" s="14" t="s">
        <v>52</v>
      </c>
      <c r="F1188" s="11" t="s">
        <v>53</v>
      </c>
      <c r="G1188" s="14" t="s">
        <v>54</v>
      </c>
      <c r="H1188" s="11" t="s">
        <v>597</v>
      </c>
      <c r="I1188" s="11"/>
      <c r="J1188" s="11">
        <v>19.0</v>
      </c>
      <c r="K1188" s="13">
        <v>36892.0</v>
      </c>
      <c r="L1188" s="14"/>
      <c r="M1188" s="11">
        <v>408046.0</v>
      </c>
      <c r="N1188" s="11">
        <v>2115.0</v>
      </c>
      <c r="P1188" s="11">
        <v>73.0</v>
      </c>
      <c r="Q1188" s="15">
        <v>86.667</v>
      </c>
      <c r="R1188" s="22">
        <v>0.0</v>
      </c>
      <c r="S1188">
        <f t="shared" si="1"/>
        <v>2000</v>
      </c>
      <c r="T1188">
        <f t="shared" si="2"/>
        <v>1</v>
      </c>
      <c r="AF1188" s="18"/>
      <c r="AG1188" s="19"/>
      <c r="AL1188" s="18"/>
      <c r="AM1188" s="19"/>
    </row>
    <row r="1189">
      <c r="A1189" s="4" t="s">
        <v>2544</v>
      </c>
      <c r="B1189" s="10">
        <v>36526.0</v>
      </c>
      <c r="C1189" s="11" t="s">
        <v>142</v>
      </c>
      <c r="D1189" s="11" t="s">
        <v>82</v>
      </c>
      <c r="E1189" s="11" t="s">
        <v>52</v>
      </c>
      <c r="F1189" s="11" t="s">
        <v>53</v>
      </c>
      <c r="G1189" s="11" t="s">
        <v>54</v>
      </c>
      <c r="H1189" s="11" t="s">
        <v>344</v>
      </c>
      <c r="I1189" s="11" t="s">
        <v>2545</v>
      </c>
      <c r="J1189" s="11">
        <v>22.0</v>
      </c>
      <c r="K1189" s="13">
        <v>36892.0</v>
      </c>
      <c r="L1189" s="14"/>
      <c r="M1189" s="11">
        <v>279574.0</v>
      </c>
      <c r="N1189" s="11">
        <v>1012257.0</v>
      </c>
      <c r="O1189" s="4"/>
      <c r="P1189" s="11">
        <v>1.0</v>
      </c>
      <c r="Q1189" s="15">
        <v>1.0</v>
      </c>
      <c r="R1189" s="22">
        <v>0.0</v>
      </c>
      <c r="S1189">
        <f t="shared" si="1"/>
        <v>2000</v>
      </c>
      <c r="T1189">
        <f t="shared" si="2"/>
        <v>1</v>
      </c>
      <c r="AF1189" s="18"/>
      <c r="AG1189" s="19"/>
      <c r="AL1189" s="18"/>
      <c r="AM1189" s="19"/>
    </row>
    <row r="1190">
      <c r="A1190" s="4" t="s">
        <v>2546</v>
      </c>
      <c r="B1190" s="10">
        <v>36526.0</v>
      </c>
      <c r="C1190" s="11" t="s">
        <v>259</v>
      </c>
      <c r="D1190" s="11" t="s">
        <v>124</v>
      </c>
      <c r="E1190" s="14" t="s">
        <v>52</v>
      </c>
      <c r="F1190" s="11" t="s">
        <v>53</v>
      </c>
      <c r="G1190" s="14" t="s">
        <v>54</v>
      </c>
      <c r="H1190" s="11" t="s">
        <v>316</v>
      </c>
      <c r="I1190" s="11"/>
      <c r="J1190" s="11">
        <v>19.0</v>
      </c>
      <c r="K1190" s="13">
        <v>37257.0</v>
      </c>
      <c r="L1190" s="14"/>
      <c r="M1190" s="11">
        <v>455643.0</v>
      </c>
      <c r="N1190" s="11"/>
      <c r="P1190" s="11">
        <v>0.0</v>
      </c>
      <c r="Q1190" s="15">
        <v>0.0</v>
      </c>
      <c r="R1190" s="22">
        <v>0.0</v>
      </c>
      <c r="S1190">
        <f t="shared" si="1"/>
        <v>2000</v>
      </c>
      <c r="T1190">
        <f t="shared" si="2"/>
        <v>1</v>
      </c>
      <c r="AF1190" s="18"/>
      <c r="AG1190" s="19"/>
      <c r="AL1190" s="18"/>
      <c r="AM1190" s="19"/>
    </row>
    <row r="1191">
      <c r="A1191" s="4" t="s">
        <v>2547</v>
      </c>
      <c r="B1191" s="10">
        <v>36526.0</v>
      </c>
      <c r="C1191" s="11" t="s">
        <v>382</v>
      </c>
      <c r="D1191" s="11" t="s">
        <v>151</v>
      </c>
      <c r="E1191" s="11" t="s">
        <v>872</v>
      </c>
      <c r="F1191" s="11" t="s">
        <v>53</v>
      </c>
      <c r="G1191" s="14" t="s">
        <v>54</v>
      </c>
      <c r="H1191" s="11" t="s">
        <v>260</v>
      </c>
      <c r="I1191" s="11" t="s">
        <v>260</v>
      </c>
      <c r="J1191" s="11">
        <v>20.0</v>
      </c>
      <c r="K1191" s="13">
        <v>37257.0</v>
      </c>
      <c r="L1191" s="14"/>
      <c r="M1191" s="11">
        <v>434626.0</v>
      </c>
      <c r="N1191" s="11">
        <v>4443.0</v>
      </c>
      <c r="P1191" s="11">
        <v>169.0</v>
      </c>
      <c r="Q1191" s="15">
        <v>598.0</v>
      </c>
      <c r="R1191" s="22">
        <v>0.0</v>
      </c>
      <c r="S1191">
        <f t="shared" si="1"/>
        <v>2000</v>
      </c>
      <c r="T1191">
        <f t="shared" si="2"/>
        <v>1</v>
      </c>
      <c r="AF1191" s="18"/>
      <c r="AG1191" s="19"/>
      <c r="AL1191" s="18"/>
      <c r="AM1191" s="19"/>
    </row>
    <row r="1192">
      <c r="A1192" s="4" t="s">
        <v>454</v>
      </c>
      <c r="B1192" s="10">
        <v>36526.0</v>
      </c>
      <c r="C1192" s="11" t="s">
        <v>81</v>
      </c>
      <c r="D1192" s="11" t="s">
        <v>110</v>
      </c>
      <c r="E1192" s="14" t="s">
        <v>52</v>
      </c>
      <c r="F1192" s="11" t="s">
        <v>76</v>
      </c>
      <c r="G1192" s="22" t="s">
        <v>436</v>
      </c>
      <c r="H1192" s="14"/>
      <c r="I1192" s="14"/>
      <c r="J1192" s="11">
        <v>18.0</v>
      </c>
      <c r="K1192" s="13">
        <v>37257.0</v>
      </c>
      <c r="L1192" s="14"/>
      <c r="M1192" s="11">
        <v>425539.0</v>
      </c>
      <c r="N1192" s="11">
        <v>7016.0</v>
      </c>
      <c r="P1192" s="11">
        <v>218.0</v>
      </c>
      <c r="Q1192" s="15">
        <v>292.333</v>
      </c>
      <c r="R1192" s="22">
        <v>0.0</v>
      </c>
      <c r="S1192">
        <f t="shared" si="1"/>
        <v>2000</v>
      </c>
      <c r="T1192">
        <f t="shared" si="2"/>
        <v>1</v>
      </c>
      <c r="AF1192" s="18"/>
      <c r="AG1192" s="19"/>
      <c r="AL1192" s="18"/>
      <c r="AM1192" s="19"/>
    </row>
    <row r="1193">
      <c r="A1193" s="4" t="s">
        <v>2548</v>
      </c>
      <c r="B1193" s="10">
        <v>36526.0</v>
      </c>
      <c r="C1193" s="11" t="s">
        <v>109</v>
      </c>
      <c r="D1193" s="11" t="s">
        <v>110</v>
      </c>
      <c r="E1193" s="14" t="s">
        <v>52</v>
      </c>
      <c r="F1193" s="11" t="s">
        <v>53</v>
      </c>
      <c r="G1193" s="22" t="s">
        <v>1454</v>
      </c>
      <c r="H1193" s="14"/>
      <c r="I1193" s="14"/>
      <c r="J1193" s="11">
        <v>23.0</v>
      </c>
      <c r="K1193" s="13">
        <v>36892.0</v>
      </c>
      <c r="L1193" s="14"/>
      <c r="M1193" s="11">
        <v>150242.0</v>
      </c>
      <c r="N1193" s="11">
        <v>895.0</v>
      </c>
      <c r="P1193" s="11">
        <v>118.0</v>
      </c>
      <c r="Q1193" s="15">
        <v>606.333</v>
      </c>
      <c r="R1193" s="22">
        <v>0.0</v>
      </c>
      <c r="S1193">
        <f t="shared" si="1"/>
        <v>2000</v>
      </c>
      <c r="T1193">
        <f t="shared" si="2"/>
        <v>1</v>
      </c>
      <c r="AF1193" s="18"/>
      <c r="AG1193" s="19"/>
      <c r="AL1193" s="18"/>
      <c r="AM1193" s="19"/>
    </row>
    <row r="1194">
      <c r="A1194" s="4" t="s">
        <v>2549</v>
      </c>
      <c r="B1194" s="10">
        <v>36526.0</v>
      </c>
      <c r="C1194" s="11" t="s">
        <v>90</v>
      </c>
      <c r="D1194" s="11" t="s">
        <v>170</v>
      </c>
      <c r="E1194" s="11" t="s">
        <v>52</v>
      </c>
      <c r="F1194" s="11" t="s">
        <v>53</v>
      </c>
      <c r="G1194" s="11" t="s">
        <v>54</v>
      </c>
      <c r="H1194" s="11" t="s">
        <v>260</v>
      </c>
      <c r="I1194" s="11" t="s">
        <v>810</v>
      </c>
      <c r="J1194" s="11">
        <v>17.0</v>
      </c>
      <c r="K1194" s="13">
        <v>37257.0</v>
      </c>
      <c r="L1194" s="11"/>
      <c r="M1194" s="11">
        <v>459332.0</v>
      </c>
      <c r="N1194" s="11" t="s">
        <v>2551</v>
      </c>
      <c r="O1194" s="4" t="s">
        <v>2344</v>
      </c>
      <c r="P1194" s="11">
        <v>0.0</v>
      </c>
      <c r="Q1194" s="15">
        <v>0.0</v>
      </c>
      <c r="R1194" s="22">
        <v>0.0</v>
      </c>
      <c r="S1194">
        <f t="shared" si="1"/>
        <v>2000</v>
      </c>
      <c r="T1194">
        <f t="shared" si="2"/>
        <v>1</v>
      </c>
      <c r="AF1194" s="18"/>
      <c r="AG1194" s="19"/>
      <c r="AL1194" s="18"/>
      <c r="AM1194" s="19"/>
    </row>
    <row r="1195">
      <c r="A1195" s="4" t="s">
        <v>2552</v>
      </c>
      <c r="B1195" s="10">
        <v>36507.0</v>
      </c>
      <c r="C1195" s="11" t="s">
        <v>133</v>
      </c>
      <c r="D1195" s="11" t="s">
        <v>51</v>
      </c>
      <c r="E1195" s="14" t="s">
        <v>52</v>
      </c>
      <c r="F1195" s="11" t="s">
        <v>53</v>
      </c>
      <c r="G1195" s="14" t="s">
        <v>54</v>
      </c>
      <c r="H1195" s="11" t="s">
        <v>260</v>
      </c>
      <c r="I1195" s="11"/>
      <c r="J1195" s="11">
        <v>31.0</v>
      </c>
      <c r="K1195" s="13">
        <v>37014.0</v>
      </c>
      <c r="L1195" s="11">
        <f>ROUND(((K1195-B1195)/365)*12)</f>
        <v>17</v>
      </c>
      <c r="M1195" s="11">
        <v>114971.0</v>
      </c>
      <c r="N1195" s="11">
        <v>282.0</v>
      </c>
      <c r="O1195" s="4" t="s">
        <v>59</v>
      </c>
      <c r="P1195" s="11">
        <v>446.0</v>
      </c>
      <c r="Q1195" s="32">
        <v>463.0</v>
      </c>
      <c r="R1195" s="22">
        <v>0.0</v>
      </c>
      <c r="S1195">
        <f t="shared" si="1"/>
        <v>1999</v>
      </c>
      <c r="T1195">
        <f t="shared" si="2"/>
        <v>12</v>
      </c>
      <c r="AF1195" s="18"/>
      <c r="AG1195" s="19"/>
      <c r="AL1195" s="18"/>
      <c r="AM1195" s="19"/>
    </row>
    <row r="1196">
      <c r="A1196" s="4" t="s">
        <v>653</v>
      </c>
      <c r="B1196" s="10">
        <v>36424.0</v>
      </c>
      <c r="C1196" s="11" t="s">
        <v>103</v>
      </c>
      <c r="D1196" s="11" t="s">
        <v>51</v>
      </c>
      <c r="E1196" s="14" t="s">
        <v>52</v>
      </c>
      <c r="F1196" s="11" t="s">
        <v>76</v>
      </c>
      <c r="G1196" s="14" t="s">
        <v>54</v>
      </c>
      <c r="H1196" s="11" t="s">
        <v>157</v>
      </c>
      <c r="I1196" s="11" t="s">
        <v>2556</v>
      </c>
      <c r="J1196" s="11">
        <v>27.0</v>
      </c>
      <c r="K1196" s="14"/>
      <c r="L1196" s="14"/>
      <c r="M1196" s="11">
        <v>110788.0</v>
      </c>
      <c r="N1196" s="11">
        <v>1000770.0</v>
      </c>
      <c r="P1196" s="11">
        <v>0.0</v>
      </c>
      <c r="Q1196" s="32">
        <v>0.0</v>
      </c>
      <c r="R1196" s="22">
        <v>0.0</v>
      </c>
      <c r="S1196">
        <f t="shared" si="1"/>
        <v>1999</v>
      </c>
      <c r="T1196">
        <f t="shared" si="2"/>
        <v>9</v>
      </c>
      <c r="AF1196" s="18"/>
      <c r="AG1196" s="19"/>
      <c r="AL1196" s="18"/>
      <c r="AM1196" s="19"/>
    </row>
    <row r="1197">
      <c r="A1197" s="4" t="s">
        <v>2557</v>
      </c>
      <c r="B1197" s="10">
        <v>36393.0</v>
      </c>
      <c r="C1197" s="11" t="s">
        <v>142</v>
      </c>
      <c r="D1197" s="11" t="s">
        <v>75</v>
      </c>
      <c r="E1197" s="14" t="s">
        <v>52</v>
      </c>
      <c r="F1197" s="11" t="s">
        <v>53</v>
      </c>
      <c r="G1197" s="14" t="s">
        <v>54</v>
      </c>
      <c r="H1197" s="11" t="s">
        <v>92</v>
      </c>
      <c r="I1197" s="11" t="s">
        <v>1372</v>
      </c>
      <c r="J1197" s="11">
        <v>24.0</v>
      </c>
      <c r="K1197" s="13">
        <v>36892.0</v>
      </c>
      <c r="L1197" s="14"/>
      <c r="M1197" s="11">
        <v>406874.0</v>
      </c>
      <c r="N1197" s="11">
        <v>108.0</v>
      </c>
      <c r="P1197" s="11">
        <v>157.0</v>
      </c>
      <c r="Q1197" s="15">
        <v>152.0</v>
      </c>
      <c r="R1197" s="22">
        <v>0.0</v>
      </c>
      <c r="S1197">
        <f t="shared" si="1"/>
        <v>1999</v>
      </c>
      <c r="T1197">
        <f t="shared" si="2"/>
        <v>8</v>
      </c>
      <c r="AF1197" s="18"/>
      <c r="AG1197" s="19"/>
      <c r="AL1197" s="18"/>
      <c r="AM1197" s="19"/>
    </row>
    <row r="1198">
      <c r="A1198" s="4" t="s">
        <v>858</v>
      </c>
      <c r="B1198" s="10">
        <v>36373.0</v>
      </c>
      <c r="C1198" s="11" t="s">
        <v>119</v>
      </c>
      <c r="D1198" s="11" t="s">
        <v>91</v>
      </c>
      <c r="E1198" s="14" t="s">
        <v>52</v>
      </c>
      <c r="F1198" s="11" t="s">
        <v>53</v>
      </c>
      <c r="G1198" s="14" t="s">
        <v>54</v>
      </c>
      <c r="H1198" s="11" t="s">
        <v>211</v>
      </c>
      <c r="I1198" s="11"/>
      <c r="J1198" s="11">
        <v>18.0</v>
      </c>
      <c r="K1198" s="13">
        <v>36892.0</v>
      </c>
      <c r="L1198" s="14"/>
      <c r="M1198" s="11">
        <v>434298.0</v>
      </c>
      <c r="N1198" s="11">
        <v>2467.0</v>
      </c>
      <c r="P1198" s="11">
        <v>461.0</v>
      </c>
      <c r="Q1198" s="15">
        <v>438.667</v>
      </c>
      <c r="R1198" s="22">
        <v>0.0</v>
      </c>
      <c r="S1198">
        <f t="shared" si="1"/>
        <v>1999</v>
      </c>
      <c r="T1198">
        <f t="shared" si="2"/>
        <v>8</v>
      </c>
      <c r="AF1198" s="18"/>
      <c r="AG1198" s="19"/>
      <c r="AL1198" s="18"/>
      <c r="AM1198" s="19"/>
    </row>
    <row r="1199">
      <c r="A1199" s="4" t="s">
        <v>284</v>
      </c>
      <c r="B1199" s="10">
        <v>36368.0</v>
      </c>
      <c r="C1199" s="11" t="s">
        <v>114</v>
      </c>
      <c r="D1199" s="11" t="s">
        <v>51</v>
      </c>
      <c r="E1199" s="14" t="s">
        <v>52</v>
      </c>
      <c r="F1199" s="11" t="s">
        <v>53</v>
      </c>
      <c r="G1199" s="14" t="s">
        <v>54</v>
      </c>
      <c r="H1199" s="11" t="s">
        <v>157</v>
      </c>
      <c r="I1199" s="11" t="s">
        <v>2558</v>
      </c>
      <c r="J1199" s="11">
        <v>28.0</v>
      </c>
      <c r="K1199" s="13">
        <v>36995.0</v>
      </c>
      <c r="L1199" s="11">
        <f t="shared" ref="L1199:L1200" si="113">ROUND(((K1199-B1199)/365)*12)</f>
        <v>21</v>
      </c>
      <c r="M1199" s="11">
        <v>114354.0</v>
      </c>
      <c r="N1199" s="11">
        <v>684.0</v>
      </c>
      <c r="O1199" s="4" t="s">
        <v>59</v>
      </c>
      <c r="P1199" s="11">
        <v>134.0</v>
      </c>
      <c r="Q1199" s="32">
        <v>137.0</v>
      </c>
      <c r="R1199" s="22">
        <v>0.0</v>
      </c>
      <c r="S1199">
        <f t="shared" si="1"/>
        <v>1999</v>
      </c>
      <c r="T1199">
        <f t="shared" si="2"/>
        <v>7</v>
      </c>
      <c r="AF1199" s="18"/>
      <c r="AG1199" s="19"/>
      <c r="AL1199" s="18"/>
      <c r="AM1199" s="19"/>
    </row>
    <row r="1200">
      <c r="A1200" s="4" t="s">
        <v>2560</v>
      </c>
      <c r="B1200" s="10">
        <v>36347.0</v>
      </c>
      <c r="C1200" s="11" t="s">
        <v>142</v>
      </c>
      <c r="D1200" s="11" t="s">
        <v>51</v>
      </c>
      <c r="E1200" s="14" t="s">
        <v>52</v>
      </c>
      <c r="F1200" s="11" t="s">
        <v>53</v>
      </c>
      <c r="G1200" s="14" t="s">
        <v>54</v>
      </c>
      <c r="H1200" s="11" t="s">
        <v>337</v>
      </c>
      <c r="I1200" s="11"/>
      <c r="J1200" s="11">
        <v>29.0</v>
      </c>
      <c r="K1200" s="13">
        <v>36726.0</v>
      </c>
      <c r="L1200" s="11">
        <f t="shared" si="113"/>
        <v>12</v>
      </c>
      <c r="M1200" s="11">
        <v>124498.0</v>
      </c>
      <c r="N1200" s="11">
        <v>414.0</v>
      </c>
      <c r="O1200" s="4" t="s">
        <v>59</v>
      </c>
      <c r="P1200" s="11">
        <v>145.0</v>
      </c>
      <c r="Q1200" s="32">
        <v>167.0</v>
      </c>
      <c r="R1200" s="22">
        <v>0.0</v>
      </c>
      <c r="S1200">
        <f t="shared" si="1"/>
        <v>1999</v>
      </c>
      <c r="T1200">
        <f t="shared" si="2"/>
        <v>7</v>
      </c>
      <c r="AF1200" s="18"/>
      <c r="AG1200" s="19"/>
      <c r="AL1200" s="18"/>
      <c r="AM1200" s="19"/>
    </row>
    <row r="1201">
      <c r="A1201" s="4" t="s">
        <v>2561</v>
      </c>
      <c r="B1201" s="10">
        <v>36343.0</v>
      </c>
      <c r="C1201" s="11" t="s">
        <v>350</v>
      </c>
      <c r="D1201" s="11" t="s">
        <v>75</v>
      </c>
      <c r="E1201" s="14" t="s">
        <v>52</v>
      </c>
      <c r="F1201" s="11" t="s">
        <v>53</v>
      </c>
      <c r="G1201" s="22" t="s">
        <v>265</v>
      </c>
      <c r="H1201" s="11"/>
      <c r="I1201" s="11"/>
      <c r="J1201" s="11">
        <v>24.0</v>
      </c>
      <c r="K1201" s="13">
        <v>37257.0</v>
      </c>
      <c r="L1201" s="11"/>
      <c r="M1201" s="11">
        <v>114928.0</v>
      </c>
      <c r="N1201" s="11">
        <v>1711.0</v>
      </c>
      <c r="P1201" s="11">
        <v>88.0</v>
      </c>
      <c r="Q1201" s="15">
        <v>318.667</v>
      </c>
      <c r="R1201" s="22">
        <v>0.0</v>
      </c>
      <c r="S1201">
        <f t="shared" si="1"/>
        <v>1999</v>
      </c>
      <c r="T1201">
        <f t="shared" si="2"/>
        <v>7</v>
      </c>
      <c r="AF1201" s="18"/>
      <c r="AG1201" s="19"/>
      <c r="AL1201" s="18"/>
      <c r="AM1201" s="19"/>
    </row>
    <row r="1202">
      <c r="A1202" s="4" t="s">
        <v>2562</v>
      </c>
      <c r="B1202" s="10">
        <v>36326.0</v>
      </c>
      <c r="C1202" s="11" t="s">
        <v>159</v>
      </c>
      <c r="D1202" s="11" t="s">
        <v>75</v>
      </c>
      <c r="E1202" s="14" t="s">
        <v>52</v>
      </c>
      <c r="F1202" s="11" t="s">
        <v>53</v>
      </c>
      <c r="G1202" s="14" t="s">
        <v>54</v>
      </c>
      <c r="H1202" s="11" t="s">
        <v>416</v>
      </c>
      <c r="I1202" s="11" t="s">
        <v>416</v>
      </c>
      <c r="J1202" s="11">
        <v>23.0</v>
      </c>
      <c r="K1202" s="13">
        <v>37372.0</v>
      </c>
      <c r="L1202" s="11">
        <f t="shared" ref="L1202:L1206" si="114">ROUND(((K1202-B1202)/365)*12)</f>
        <v>34</v>
      </c>
      <c r="M1202" s="11">
        <v>133960.0</v>
      </c>
      <c r="N1202" s="11">
        <v>467.0</v>
      </c>
      <c r="P1202" s="11">
        <v>21.0</v>
      </c>
      <c r="Q1202" s="15">
        <v>93.667</v>
      </c>
      <c r="R1202" s="22">
        <v>0.0</v>
      </c>
      <c r="S1202">
        <f t="shared" si="1"/>
        <v>1999</v>
      </c>
      <c r="T1202">
        <f t="shared" si="2"/>
        <v>6</v>
      </c>
      <c r="AF1202" s="18"/>
      <c r="AG1202" s="19"/>
      <c r="AL1202" s="18"/>
      <c r="AM1202" s="19"/>
    </row>
    <row r="1203">
      <c r="A1203" s="4" t="s">
        <v>2563</v>
      </c>
      <c r="B1203" s="10">
        <v>36273.0</v>
      </c>
      <c r="C1203" s="11" t="s">
        <v>229</v>
      </c>
      <c r="D1203" s="11" t="s">
        <v>51</v>
      </c>
      <c r="E1203" s="11" t="s">
        <v>52</v>
      </c>
      <c r="F1203" s="11" t="s">
        <v>53</v>
      </c>
      <c r="G1203" s="11" t="s">
        <v>83</v>
      </c>
      <c r="H1203" s="11"/>
      <c r="I1203" s="11"/>
      <c r="J1203" s="11">
        <v>29.0</v>
      </c>
      <c r="K1203" s="13">
        <v>36677.0</v>
      </c>
      <c r="L1203" s="11">
        <f t="shared" si="114"/>
        <v>13</v>
      </c>
      <c r="M1203" s="11">
        <v>120539.0</v>
      </c>
      <c r="N1203" s="11">
        <v>1472.0</v>
      </c>
      <c r="O1203" s="4"/>
      <c r="P1203" s="11">
        <v>69.0</v>
      </c>
      <c r="Q1203" s="15">
        <v>100.0</v>
      </c>
      <c r="R1203" s="22">
        <v>0.0</v>
      </c>
      <c r="S1203">
        <f t="shared" si="1"/>
        <v>1999</v>
      </c>
      <c r="T1203">
        <f t="shared" si="2"/>
        <v>4</v>
      </c>
      <c r="AF1203" s="18"/>
      <c r="AG1203" s="19"/>
      <c r="AL1203" s="18"/>
      <c r="AM1203" s="19"/>
    </row>
    <row r="1204">
      <c r="A1204" s="4" t="s">
        <v>2564</v>
      </c>
      <c r="B1204" s="10">
        <v>36263.0</v>
      </c>
      <c r="C1204" s="11" t="s">
        <v>156</v>
      </c>
      <c r="D1204" s="11" t="s">
        <v>51</v>
      </c>
      <c r="E1204" s="14" t="s">
        <v>52</v>
      </c>
      <c r="F1204" s="11" t="s">
        <v>53</v>
      </c>
      <c r="G1204" s="14" t="s">
        <v>54</v>
      </c>
      <c r="H1204" s="11" t="s">
        <v>153</v>
      </c>
      <c r="I1204" s="11" t="s">
        <v>113</v>
      </c>
      <c r="J1204" s="11">
        <v>24.0</v>
      </c>
      <c r="K1204" s="13">
        <v>36676.0</v>
      </c>
      <c r="L1204" s="11">
        <f t="shared" si="114"/>
        <v>14</v>
      </c>
      <c r="M1204" s="11">
        <v>119403.0</v>
      </c>
      <c r="N1204" s="11">
        <v>1172.0</v>
      </c>
      <c r="O1204" s="4" t="s">
        <v>59</v>
      </c>
      <c r="P1204" s="11">
        <v>257.0</v>
      </c>
      <c r="Q1204" s="32">
        <v>1475.3329999999996</v>
      </c>
      <c r="R1204" s="22">
        <v>0.0</v>
      </c>
      <c r="S1204">
        <f t="shared" si="1"/>
        <v>1999</v>
      </c>
      <c r="T1204">
        <f t="shared" si="2"/>
        <v>4</v>
      </c>
      <c r="AF1204" s="18"/>
      <c r="AG1204" s="19"/>
      <c r="AL1204" s="18"/>
      <c r="AM1204" s="19"/>
    </row>
    <row r="1205">
      <c r="A1205" s="4" t="s">
        <v>2566</v>
      </c>
      <c r="B1205" s="10">
        <v>36258.0</v>
      </c>
      <c r="C1205" s="11" t="s">
        <v>350</v>
      </c>
      <c r="D1205" s="11" t="s">
        <v>51</v>
      </c>
      <c r="E1205" s="14" t="s">
        <v>52</v>
      </c>
      <c r="F1205" s="11" t="s">
        <v>53</v>
      </c>
      <c r="G1205" s="14" t="s">
        <v>54</v>
      </c>
      <c r="H1205" s="11" t="s">
        <v>157</v>
      </c>
      <c r="I1205" s="11"/>
      <c r="J1205" s="11">
        <v>22.0</v>
      </c>
      <c r="K1205" s="13">
        <v>36648.0</v>
      </c>
      <c r="L1205" s="11">
        <f t="shared" si="114"/>
        <v>13</v>
      </c>
      <c r="M1205" s="11">
        <v>134268.0</v>
      </c>
      <c r="N1205" s="11">
        <v>304.0</v>
      </c>
      <c r="O1205" s="4" t="s">
        <v>59</v>
      </c>
      <c r="P1205" s="11">
        <v>420.0</v>
      </c>
      <c r="Q1205" s="32">
        <v>1213.3329999999996</v>
      </c>
      <c r="R1205" s="22">
        <v>0.0</v>
      </c>
      <c r="S1205">
        <f t="shared" si="1"/>
        <v>1999</v>
      </c>
      <c r="T1205">
        <f t="shared" si="2"/>
        <v>4</v>
      </c>
      <c r="AF1205" s="18"/>
      <c r="AG1205" s="19"/>
      <c r="AL1205" s="18"/>
      <c r="AM1205" s="19"/>
    </row>
    <row r="1206">
      <c r="A1206" s="4" t="s">
        <v>2567</v>
      </c>
      <c r="B1206" s="10">
        <v>36256.0</v>
      </c>
      <c r="C1206" s="11" t="s">
        <v>142</v>
      </c>
      <c r="D1206" s="11" t="s">
        <v>51</v>
      </c>
      <c r="E1206" s="14" t="s">
        <v>52</v>
      </c>
      <c r="F1206" s="11" t="s">
        <v>53</v>
      </c>
      <c r="G1206" s="14" t="s">
        <v>54</v>
      </c>
      <c r="H1206" s="11" t="s">
        <v>232</v>
      </c>
      <c r="I1206" s="11" t="s">
        <v>232</v>
      </c>
      <c r="J1206" s="11">
        <v>28.0</v>
      </c>
      <c r="K1206" s="13">
        <v>36621.0</v>
      </c>
      <c r="L1206" s="11">
        <f t="shared" si="114"/>
        <v>12</v>
      </c>
      <c r="M1206" s="11">
        <v>117763.0</v>
      </c>
      <c r="N1206" s="11">
        <v>100.0</v>
      </c>
      <c r="O1206" s="4" t="s">
        <v>59</v>
      </c>
      <c r="P1206" s="11">
        <v>296.0</v>
      </c>
      <c r="Q1206" s="15">
        <v>302.667</v>
      </c>
      <c r="R1206" s="22">
        <v>0.0</v>
      </c>
      <c r="S1206">
        <f t="shared" si="1"/>
        <v>1999</v>
      </c>
      <c r="T1206">
        <f t="shared" si="2"/>
        <v>4</v>
      </c>
      <c r="AF1206" s="18"/>
      <c r="AG1206" s="19"/>
      <c r="AL1206" s="18"/>
      <c r="AM1206" s="19"/>
    </row>
    <row r="1207">
      <c r="A1207" s="4" t="s">
        <v>2568</v>
      </c>
      <c r="B1207" s="10">
        <v>36221.0</v>
      </c>
      <c r="C1207" s="11" t="s">
        <v>259</v>
      </c>
      <c r="D1207" s="11" t="s">
        <v>110</v>
      </c>
      <c r="E1207" s="14" t="s">
        <v>52</v>
      </c>
      <c r="F1207" s="11" t="s">
        <v>53</v>
      </c>
      <c r="G1207" s="14" t="s">
        <v>54</v>
      </c>
      <c r="H1207" s="11" t="s">
        <v>92</v>
      </c>
      <c r="I1207" s="11" t="s">
        <v>739</v>
      </c>
      <c r="J1207" s="11">
        <v>23.0</v>
      </c>
      <c r="K1207" s="13">
        <v>36526.0</v>
      </c>
      <c r="L1207" s="14"/>
      <c r="M1207" s="11">
        <v>335092.0</v>
      </c>
      <c r="N1207" s="11">
        <v>223.0</v>
      </c>
      <c r="P1207" s="11">
        <v>198.0</v>
      </c>
      <c r="Q1207" s="15">
        <v>378.667</v>
      </c>
      <c r="R1207" s="22">
        <v>0.0</v>
      </c>
      <c r="S1207">
        <f t="shared" si="1"/>
        <v>1999</v>
      </c>
      <c r="T1207">
        <f t="shared" si="2"/>
        <v>3</v>
      </c>
      <c r="AF1207" s="18"/>
      <c r="AG1207" s="19"/>
      <c r="AL1207" s="18"/>
      <c r="AM1207" s="19"/>
    </row>
    <row r="1208">
      <c r="A1208" s="4" t="s">
        <v>2569</v>
      </c>
      <c r="B1208" s="10">
        <v>36161.0</v>
      </c>
      <c r="C1208" s="11" t="s">
        <v>209</v>
      </c>
      <c r="D1208" s="11" t="s">
        <v>51</v>
      </c>
      <c r="E1208" s="14" t="s">
        <v>52</v>
      </c>
      <c r="F1208" s="11" t="s">
        <v>53</v>
      </c>
      <c r="G1208" s="14" t="s">
        <v>54</v>
      </c>
      <c r="H1208" s="11" t="s">
        <v>316</v>
      </c>
      <c r="I1208" s="11"/>
      <c r="J1208" s="11">
        <v>21.0</v>
      </c>
      <c r="K1208" s="13">
        <v>38104.0</v>
      </c>
      <c r="L1208" s="14"/>
      <c r="M1208" s="11">
        <v>237346.0</v>
      </c>
      <c r="N1208" s="11">
        <v>1859.0</v>
      </c>
      <c r="P1208" s="11">
        <v>62.0</v>
      </c>
      <c r="Q1208" s="15">
        <v>72.667</v>
      </c>
      <c r="R1208" s="22">
        <v>0.0</v>
      </c>
      <c r="S1208">
        <f t="shared" si="1"/>
        <v>1999</v>
      </c>
      <c r="T1208">
        <f t="shared" si="2"/>
        <v>1</v>
      </c>
      <c r="AF1208" s="18"/>
      <c r="AG1208" s="19"/>
      <c r="AL1208" s="18"/>
      <c r="AM1208" s="19"/>
    </row>
    <row r="1209">
      <c r="A1209" s="4" t="s">
        <v>2570</v>
      </c>
      <c r="B1209" s="10">
        <v>36161.0</v>
      </c>
      <c r="C1209" s="11" t="s">
        <v>125</v>
      </c>
      <c r="D1209" s="11" t="s">
        <v>51</v>
      </c>
      <c r="E1209" s="11" t="s">
        <v>52</v>
      </c>
      <c r="F1209" s="11" t="s">
        <v>76</v>
      </c>
      <c r="G1209" s="11" t="s">
        <v>54</v>
      </c>
      <c r="H1209" s="11" t="s">
        <v>305</v>
      </c>
      <c r="I1209" s="11" t="s">
        <v>463</v>
      </c>
      <c r="J1209" s="11">
        <v>35.0</v>
      </c>
      <c r="K1209" s="13">
        <v>36983.0</v>
      </c>
      <c r="L1209" s="11">
        <f>ROUND(((K1209-B1209)/365)*12)</f>
        <v>27</v>
      </c>
      <c r="M1209" s="11">
        <v>123068.0</v>
      </c>
      <c r="N1209" s="11">
        <v>1012802.0</v>
      </c>
      <c r="P1209" s="11">
        <v>8.0</v>
      </c>
      <c r="Q1209" s="15">
        <v>3.667</v>
      </c>
      <c r="R1209" s="22">
        <v>0.0</v>
      </c>
      <c r="S1209">
        <f t="shared" si="1"/>
        <v>1999</v>
      </c>
      <c r="T1209">
        <f t="shared" si="2"/>
        <v>1</v>
      </c>
      <c r="AF1209" s="18"/>
      <c r="AG1209" s="19"/>
      <c r="AL1209" s="18"/>
      <c r="AM1209" s="19"/>
    </row>
    <row r="1210">
      <c r="A1210" s="4" t="s">
        <v>2572</v>
      </c>
      <c r="B1210" s="10">
        <v>36161.0</v>
      </c>
      <c r="C1210" s="11" t="s">
        <v>259</v>
      </c>
      <c r="D1210" s="11" t="s">
        <v>124</v>
      </c>
      <c r="E1210" s="14" t="s">
        <v>52</v>
      </c>
      <c r="F1210" s="11" t="s">
        <v>53</v>
      </c>
      <c r="G1210" s="14" t="s">
        <v>54</v>
      </c>
      <c r="H1210" s="11" t="s">
        <v>55</v>
      </c>
      <c r="I1210" s="11" t="s">
        <v>2573</v>
      </c>
      <c r="J1210" s="11">
        <v>22.0</v>
      </c>
      <c r="K1210" s="13">
        <v>36526.0</v>
      </c>
      <c r="L1210" s="14"/>
      <c r="M1210" s="11">
        <v>407826.0</v>
      </c>
      <c r="N1210" s="11" t="s">
        <v>2574</v>
      </c>
      <c r="P1210" s="11">
        <v>0.0</v>
      </c>
      <c r="Q1210" s="15">
        <v>0.0</v>
      </c>
      <c r="R1210" s="22">
        <v>0.0</v>
      </c>
      <c r="S1210">
        <f t="shared" si="1"/>
        <v>1999</v>
      </c>
      <c r="T1210">
        <f t="shared" si="2"/>
        <v>1</v>
      </c>
      <c r="AF1210" s="18"/>
      <c r="AG1210" s="19"/>
      <c r="AL1210" s="18"/>
      <c r="AM1210" s="19"/>
    </row>
    <row r="1211">
      <c r="A1211" s="4" t="s">
        <v>692</v>
      </c>
      <c r="B1211" s="10">
        <v>36161.0</v>
      </c>
      <c r="C1211" s="11" t="s">
        <v>81</v>
      </c>
      <c r="D1211" s="11" t="s">
        <v>82</v>
      </c>
      <c r="E1211" s="14" t="s">
        <v>52</v>
      </c>
      <c r="F1211" s="11" t="s">
        <v>76</v>
      </c>
      <c r="G1211" s="14" t="s">
        <v>54</v>
      </c>
      <c r="H1211" s="11" t="s">
        <v>449</v>
      </c>
      <c r="I1211" s="11"/>
      <c r="J1211" s="11">
        <v>24.0</v>
      </c>
      <c r="K1211" s="13">
        <v>37257.0</v>
      </c>
      <c r="L1211" s="14"/>
      <c r="M1211" s="11">
        <v>429280.0</v>
      </c>
      <c r="N1211" s="11">
        <v>1700.0</v>
      </c>
      <c r="P1211" s="11">
        <v>0.0</v>
      </c>
      <c r="Q1211" s="15">
        <v>0.0</v>
      </c>
      <c r="R1211" s="22">
        <v>0.0</v>
      </c>
      <c r="S1211">
        <f t="shared" si="1"/>
        <v>1999</v>
      </c>
      <c r="T1211">
        <f t="shared" si="2"/>
        <v>1</v>
      </c>
      <c r="AF1211" s="18"/>
      <c r="AG1211" s="19"/>
      <c r="AL1211" s="18"/>
      <c r="AM1211" s="19"/>
    </row>
    <row r="1212">
      <c r="A1212" s="4" t="s">
        <v>2575</v>
      </c>
      <c r="B1212" s="10">
        <v>36161.0</v>
      </c>
      <c r="C1212" s="11" t="s">
        <v>109</v>
      </c>
      <c r="D1212" s="11" t="s">
        <v>75</v>
      </c>
      <c r="E1212" s="14" t="s">
        <v>52</v>
      </c>
      <c r="F1212" s="11" t="s">
        <v>53</v>
      </c>
      <c r="G1212" s="14" t="s">
        <v>54</v>
      </c>
      <c r="H1212" s="11" t="s">
        <v>260</v>
      </c>
      <c r="I1212" s="11" t="s">
        <v>1815</v>
      </c>
      <c r="J1212" s="11">
        <v>26.0</v>
      </c>
      <c r="K1212" s="13">
        <v>36526.0</v>
      </c>
      <c r="L1212" s="14"/>
      <c r="M1212" s="11">
        <v>124417.0</v>
      </c>
      <c r="N1212" s="11">
        <v>1234.0</v>
      </c>
      <c r="P1212" s="11">
        <v>144.0</v>
      </c>
      <c r="Q1212" s="15">
        <v>792.667</v>
      </c>
      <c r="R1212" s="22">
        <v>0.0</v>
      </c>
      <c r="S1212">
        <f t="shared" si="1"/>
        <v>1999</v>
      </c>
      <c r="T1212">
        <f t="shared" si="2"/>
        <v>1</v>
      </c>
      <c r="AF1212" s="18"/>
      <c r="AG1212" s="19"/>
      <c r="AL1212" s="18"/>
      <c r="AM1212" s="19"/>
    </row>
    <row r="1213">
      <c r="A1213" s="4" t="s">
        <v>2576</v>
      </c>
      <c r="B1213" s="10">
        <v>36161.0</v>
      </c>
      <c r="C1213" s="11" t="s">
        <v>156</v>
      </c>
      <c r="D1213" s="11" t="s">
        <v>151</v>
      </c>
      <c r="E1213" s="14" t="s">
        <v>52</v>
      </c>
      <c r="F1213" s="11" t="s">
        <v>53</v>
      </c>
      <c r="G1213" s="14" t="s">
        <v>54</v>
      </c>
      <c r="H1213" s="11" t="s">
        <v>305</v>
      </c>
      <c r="I1213" s="11" t="s">
        <v>344</v>
      </c>
      <c r="J1213" s="11">
        <v>21.0</v>
      </c>
      <c r="K1213" s="13">
        <v>36526.0</v>
      </c>
      <c r="L1213" s="14"/>
      <c r="M1213" s="11">
        <v>407867.0</v>
      </c>
      <c r="N1213" s="11">
        <v>1161.0</v>
      </c>
      <c r="P1213" s="11">
        <v>12.0</v>
      </c>
      <c r="Q1213" s="15">
        <v>13.333</v>
      </c>
      <c r="R1213" s="22">
        <v>0.0</v>
      </c>
      <c r="S1213">
        <f t="shared" si="1"/>
        <v>1999</v>
      </c>
      <c r="T1213">
        <f t="shared" si="2"/>
        <v>1</v>
      </c>
      <c r="AF1213" s="18"/>
      <c r="AG1213" s="19"/>
      <c r="AL1213" s="18"/>
      <c r="AM1213" s="19"/>
    </row>
    <row r="1214">
      <c r="A1214" s="4" t="s">
        <v>653</v>
      </c>
      <c r="B1214" s="10">
        <v>36049.0</v>
      </c>
      <c r="C1214" s="11" t="s">
        <v>103</v>
      </c>
      <c r="D1214" s="11" t="s">
        <v>51</v>
      </c>
      <c r="E1214" s="14" t="s">
        <v>52</v>
      </c>
      <c r="F1214" s="11" t="s">
        <v>76</v>
      </c>
      <c r="G1214" s="14" t="s">
        <v>54</v>
      </c>
      <c r="H1214" s="11" t="s">
        <v>157</v>
      </c>
      <c r="I1214" s="11" t="s">
        <v>2556</v>
      </c>
      <c r="J1214" s="11">
        <v>26.0</v>
      </c>
      <c r="K1214" s="14"/>
      <c r="L1214" s="14"/>
      <c r="M1214" s="11">
        <v>110788.0</v>
      </c>
      <c r="N1214" s="11">
        <v>1000770.0</v>
      </c>
      <c r="O1214" s="4" t="s">
        <v>704</v>
      </c>
      <c r="P1214" s="11">
        <v>0.0</v>
      </c>
      <c r="Q1214" s="32">
        <v>0.0</v>
      </c>
      <c r="R1214" s="22">
        <v>0.0</v>
      </c>
      <c r="S1214">
        <f t="shared" si="1"/>
        <v>1998</v>
      </c>
      <c r="T1214">
        <f t="shared" si="2"/>
        <v>9</v>
      </c>
      <c r="AF1214" s="18"/>
      <c r="AG1214" s="19"/>
      <c r="AL1214" s="18"/>
      <c r="AM1214" s="19"/>
    </row>
    <row r="1215">
      <c r="A1215" s="4" t="s">
        <v>2577</v>
      </c>
      <c r="B1215" s="10">
        <v>36048.0</v>
      </c>
      <c r="C1215" s="11" t="s">
        <v>90</v>
      </c>
      <c r="D1215" s="11" t="s">
        <v>51</v>
      </c>
      <c r="E1215" s="22" t="s">
        <v>160</v>
      </c>
      <c r="F1215" s="11" t="s">
        <v>53</v>
      </c>
      <c r="G1215" s="14" t="s">
        <v>54</v>
      </c>
      <c r="H1215" s="11" t="s">
        <v>157</v>
      </c>
      <c r="I1215" s="11" t="s">
        <v>2510</v>
      </c>
      <c r="J1215" s="11">
        <v>33.0</v>
      </c>
      <c r="K1215" s="13">
        <v>36255.0</v>
      </c>
      <c r="L1215" s="11">
        <f>ROUND(((K1215-B1215)/365)*12)</f>
        <v>7</v>
      </c>
      <c r="M1215" s="11">
        <v>111676.0</v>
      </c>
      <c r="N1215" s="11">
        <v>1001638.0</v>
      </c>
      <c r="O1215" s="4" t="s">
        <v>2578</v>
      </c>
      <c r="P1215" s="11">
        <v>218.0</v>
      </c>
      <c r="Q1215" s="32">
        <v>826.0</v>
      </c>
      <c r="R1215" s="22">
        <v>0.0</v>
      </c>
      <c r="S1215">
        <f t="shared" si="1"/>
        <v>1998</v>
      </c>
      <c r="T1215">
        <f t="shared" si="2"/>
        <v>9</v>
      </c>
      <c r="AF1215" s="18"/>
      <c r="AG1215" s="19"/>
      <c r="AL1215" s="18"/>
      <c r="AM1215" s="19"/>
    </row>
    <row r="1216">
      <c r="A1216" s="4" t="s">
        <v>2579</v>
      </c>
      <c r="B1216" s="10">
        <v>36039.0</v>
      </c>
      <c r="C1216" s="11" t="s">
        <v>259</v>
      </c>
      <c r="D1216" s="11" t="s">
        <v>91</v>
      </c>
      <c r="E1216" s="14" t="s">
        <v>52</v>
      </c>
      <c r="F1216" s="11" t="s">
        <v>53</v>
      </c>
      <c r="G1216" s="22" t="s">
        <v>83</v>
      </c>
      <c r="H1216" s="14"/>
      <c r="I1216" s="14"/>
      <c r="J1216" s="11">
        <v>20.0</v>
      </c>
      <c r="K1216" s="13">
        <v>36161.0</v>
      </c>
      <c r="L1216" s="14"/>
      <c r="M1216" s="11">
        <v>150311.0</v>
      </c>
      <c r="N1216" s="11">
        <v>1435.0</v>
      </c>
      <c r="P1216" s="11">
        <v>43.0</v>
      </c>
      <c r="Q1216" s="15">
        <v>66.0</v>
      </c>
      <c r="R1216" s="22">
        <v>0.0</v>
      </c>
      <c r="S1216">
        <f t="shared" si="1"/>
        <v>1998</v>
      </c>
      <c r="T1216">
        <f t="shared" si="2"/>
        <v>9</v>
      </c>
      <c r="AF1216" s="18"/>
      <c r="AG1216" s="19"/>
      <c r="AL1216" s="18"/>
      <c r="AM1216" s="19"/>
    </row>
    <row r="1217">
      <c r="A1217" s="4" t="s">
        <v>2580</v>
      </c>
      <c r="B1217" s="10">
        <v>35985.0</v>
      </c>
      <c r="C1217" s="11" t="s">
        <v>108</v>
      </c>
      <c r="D1217" s="11" t="s">
        <v>51</v>
      </c>
      <c r="E1217" s="11" t="s">
        <v>52</v>
      </c>
      <c r="F1217" s="11" t="s">
        <v>53</v>
      </c>
      <c r="G1217" s="11" t="s">
        <v>54</v>
      </c>
      <c r="H1217" s="11" t="s">
        <v>260</v>
      </c>
      <c r="I1217" s="11" t="s">
        <v>2581</v>
      </c>
      <c r="J1217" s="11">
        <v>30.0</v>
      </c>
      <c r="K1217" s="13">
        <v>36629.0</v>
      </c>
      <c r="L1217" s="11">
        <f t="shared" ref="L1217:L1221" si="115">ROUND(((K1217-B1217)/365)*12)</f>
        <v>21</v>
      </c>
      <c r="M1217" s="11">
        <v>116480.0</v>
      </c>
      <c r="N1217" s="11">
        <v>1453.0</v>
      </c>
      <c r="P1217" s="11">
        <v>104.0</v>
      </c>
      <c r="Q1217" s="15">
        <v>100.667</v>
      </c>
      <c r="R1217" s="22">
        <v>0.0</v>
      </c>
      <c r="S1217">
        <f t="shared" si="1"/>
        <v>1998</v>
      </c>
      <c r="T1217">
        <f t="shared" si="2"/>
        <v>7</v>
      </c>
      <c r="AF1217" s="18"/>
      <c r="AG1217" s="19"/>
      <c r="AL1217" s="18"/>
      <c r="AM1217" s="19"/>
    </row>
    <row r="1218">
      <c r="A1218" s="4" t="s">
        <v>2582</v>
      </c>
      <c r="B1218" s="10">
        <v>35984.0</v>
      </c>
      <c r="C1218" s="11" t="s">
        <v>74</v>
      </c>
      <c r="D1218" s="11" t="s">
        <v>51</v>
      </c>
      <c r="E1218" s="11" t="s">
        <v>52</v>
      </c>
      <c r="F1218" s="11" t="s">
        <v>53</v>
      </c>
      <c r="G1218" s="11" t="s">
        <v>54</v>
      </c>
      <c r="H1218" s="11" t="s">
        <v>260</v>
      </c>
      <c r="I1218" s="11" t="s">
        <v>260</v>
      </c>
      <c r="J1218" s="11">
        <v>26.0</v>
      </c>
      <c r="K1218" s="13">
        <v>36674.0</v>
      </c>
      <c r="L1218" s="11">
        <f t="shared" si="115"/>
        <v>23</v>
      </c>
      <c r="M1218" s="11">
        <v>123596.0</v>
      </c>
      <c r="N1218" s="11">
        <v>1013313.0</v>
      </c>
      <c r="O1218" s="4"/>
      <c r="P1218" s="11">
        <v>62.0</v>
      </c>
      <c r="Q1218" s="15">
        <v>63.667</v>
      </c>
      <c r="R1218" s="22">
        <v>0.0</v>
      </c>
      <c r="S1218">
        <f t="shared" si="1"/>
        <v>1998</v>
      </c>
      <c r="T1218">
        <f t="shared" si="2"/>
        <v>7</v>
      </c>
      <c r="AF1218" s="18"/>
      <c r="AG1218" s="19"/>
      <c r="AL1218" s="18"/>
      <c r="AM1218" s="19"/>
    </row>
    <row r="1219">
      <c r="A1219" s="4" t="s">
        <v>2583</v>
      </c>
      <c r="B1219" s="10">
        <v>35922.0</v>
      </c>
      <c r="C1219" s="11" t="s">
        <v>270</v>
      </c>
      <c r="D1219" s="11" t="s">
        <v>51</v>
      </c>
      <c r="E1219" s="11" t="s">
        <v>52</v>
      </c>
      <c r="F1219" s="11" t="s">
        <v>53</v>
      </c>
      <c r="G1219" s="11" t="s">
        <v>299</v>
      </c>
      <c r="H1219" s="11"/>
      <c r="I1219" s="11"/>
      <c r="J1219" s="11">
        <v>29.0</v>
      </c>
      <c r="K1219" s="13">
        <v>36659.0</v>
      </c>
      <c r="L1219" s="11">
        <f t="shared" si="115"/>
        <v>24</v>
      </c>
      <c r="M1219" s="11">
        <v>114080.0</v>
      </c>
      <c r="N1219" s="11">
        <v>1004000.0</v>
      </c>
      <c r="O1219" s="4" t="s">
        <v>2252</v>
      </c>
      <c r="P1219" s="11">
        <v>35.0</v>
      </c>
      <c r="Q1219" s="15">
        <v>159.0</v>
      </c>
      <c r="R1219" s="22">
        <v>0.0</v>
      </c>
      <c r="S1219">
        <f t="shared" si="1"/>
        <v>1998</v>
      </c>
      <c r="T1219">
        <f t="shared" si="2"/>
        <v>5</v>
      </c>
      <c r="AF1219" s="18"/>
      <c r="AG1219" s="19"/>
      <c r="AL1219" s="18"/>
      <c r="AM1219" s="19"/>
    </row>
    <row r="1220">
      <c r="A1220" s="4" t="s">
        <v>2584</v>
      </c>
      <c r="B1220" s="10">
        <v>35906.0</v>
      </c>
      <c r="C1220" s="11" t="s">
        <v>103</v>
      </c>
      <c r="D1220" s="11" t="s">
        <v>51</v>
      </c>
      <c r="E1220" s="14" t="s">
        <v>52</v>
      </c>
      <c r="F1220" s="11" t="s">
        <v>76</v>
      </c>
      <c r="G1220" s="14" t="s">
        <v>54</v>
      </c>
      <c r="H1220" s="11" t="s">
        <v>157</v>
      </c>
      <c r="I1220" s="11" t="s">
        <v>522</v>
      </c>
      <c r="J1220" s="11">
        <v>30.0</v>
      </c>
      <c r="K1220" s="13">
        <v>36380.0</v>
      </c>
      <c r="L1220" s="11">
        <f t="shared" si="115"/>
        <v>16</v>
      </c>
      <c r="M1220" s="11">
        <v>111447.0</v>
      </c>
      <c r="N1220" s="11">
        <v>1001404.0</v>
      </c>
      <c r="P1220" s="11">
        <v>25.0</v>
      </c>
      <c r="Q1220" s="15">
        <v>25.667</v>
      </c>
      <c r="R1220" s="22">
        <v>0.0</v>
      </c>
      <c r="S1220">
        <f t="shared" si="1"/>
        <v>1998</v>
      </c>
      <c r="T1220">
        <f t="shared" si="2"/>
        <v>4</v>
      </c>
      <c r="AF1220" s="18"/>
      <c r="AG1220" s="19"/>
      <c r="AL1220" s="18"/>
      <c r="AM1220" s="19"/>
    </row>
    <row r="1221">
      <c r="A1221" s="4" t="s">
        <v>473</v>
      </c>
      <c r="B1221" s="10">
        <v>35808.0</v>
      </c>
      <c r="C1221" s="11" t="s">
        <v>109</v>
      </c>
      <c r="D1221" s="11" t="s">
        <v>51</v>
      </c>
      <c r="E1221" s="14" t="s">
        <v>52</v>
      </c>
      <c r="F1221" s="11" t="s">
        <v>53</v>
      </c>
      <c r="G1221" s="14" t="s">
        <v>54</v>
      </c>
      <c r="H1221" s="11" t="s">
        <v>344</v>
      </c>
      <c r="I1221" s="11" t="s">
        <v>1892</v>
      </c>
      <c r="J1221" s="11">
        <v>25.0</v>
      </c>
      <c r="K1221" s="13">
        <v>36304.0</v>
      </c>
      <c r="L1221" s="11">
        <f t="shared" si="115"/>
        <v>16</v>
      </c>
      <c r="M1221" s="11">
        <v>116414.0</v>
      </c>
      <c r="N1221" s="11">
        <v>1158.0</v>
      </c>
      <c r="O1221" s="4" t="s">
        <v>287</v>
      </c>
      <c r="P1221" s="11">
        <v>677.0</v>
      </c>
      <c r="Q1221" s="32">
        <v>713.3330000000001</v>
      </c>
      <c r="R1221" s="22">
        <v>0.0</v>
      </c>
      <c r="S1221">
        <f t="shared" si="1"/>
        <v>1998</v>
      </c>
      <c r="T1221">
        <f t="shared" si="2"/>
        <v>1</v>
      </c>
      <c r="AF1221" s="18"/>
      <c r="AG1221" s="19"/>
      <c r="AL1221" s="18"/>
      <c r="AM1221" s="19"/>
    </row>
    <row r="1222">
      <c r="A1222" s="4" t="s">
        <v>2586</v>
      </c>
      <c r="B1222" s="10">
        <v>35796.0</v>
      </c>
      <c r="C1222" s="11" t="s">
        <v>125</v>
      </c>
      <c r="D1222" s="11" t="s">
        <v>51</v>
      </c>
      <c r="E1222" s="11" t="s">
        <v>52</v>
      </c>
      <c r="F1222" s="11" t="s">
        <v>53</v>
      </c>
      <c r="G1222" s="11" t="s">
        <v>54</v>
      </c>
      <c r="H1222" s="11" t="s">
        <v>305</v>
      </c>
      <c r="I1222" s="11"/>
      <c r="J1222" s="11">
        <v>22.0</v>
      </c>
      <c r="K1222" s="13">
        <v>36255.0</v>
      </c>
      <c r="L1222" s="14"/>
      <c r="M1222" s="11">
        <v>123862.0</v>
      </c>
      <c r="N1222" s="11">
        <v>1013550.0</v>
      </c>
      <c r="P1222" s="11">
        <v>108.0</v>
      </c>
      <c r="Q1222" s="15">
        <v>125.0</v>
      </c>
      <c r="R1222" s="22">
        <v>0.0</v>
      </c>
      <c r="S1222">
        <f t="shared" si="1"/>
        <v>1998</v>
      </c>
      <c r="T1222">
        <f t="shared" si="2"/>
        <v>1</v>
      </c>
      <c r="AF1222" s="18"/>
      <c r="AG1222" s="19"/>
      <c r="AL1222" s="18"/>
      <c r="AM1222" s="19"/>
    </row>
    <row r="1223">
      <c r="A1223" s="4" t="s">
        <v>2587</v>
      </c>
      <c r="B1223" s="10">
        <v>35796.0</v>
      </c>
      <c r="C1223" s="11" t="s">
        <v>96</v>
      </c>
      <c r="D1223" s="11" t="s">
        <v>75</v>
      </c>
      <c r="E1223" s="14" t="s">
        <v>52</v>
      </c>
      <c r="F1223" s="11" t="s">
        <v>53</v>
      </c>
      <c r="G1223" s="14" t="s">
        <v>54</v>
      </c>
      <c r="H1223" s="11" t="s">
        <v>92</v>
      </c>
      <c r="I1223" s="11"/>
      <c r="J1223" s="11">
        <v>26.0</v>
      </c>
      <c r="K1223" s="13">
        <v>36161.0</v>
      </c>
      <c r="L1223" s="14"/>
      <c r="M1223" s="11">
        <v>117756.0</v>
      </c>
      <c r="N1223" s="11">
        <v>926.0</v>
      </c>
      <c r="P1223" s="11">
        <v>223.0</v>
      </c>
      <c r="Q1223" s="15">
        <v>1241.0</v>
      </c>
      <c r="R1223" s="22">
        <v>0.0</v>
      </c>
      <c r="S1223">
        <f t="shared" si="1"/>
        <v>1998</v>
      </c>
      <c r="T1223">
        <f t="shared" si="2"/>
        <v>1</v>
      </c>
      <c r="AF1223" s="18"/>
      <c r="AG1223" s="19"/>
      <c r="AL1223" s="18"/>
      <c r="AM1223" s="19"/>
    </row>
    <row r="1224">
      <c r="A1224" s="4" t="s">
        <v>1022</v>
      </c>
      <c r="B1224" s="10">
        <v>35796.0</v>
      </c>
      <c r="C1224" s="11" t="s">
        <v>142</v>
      </c>
      <c r="D1224" s="11" t="s">
        <v>82</v>
      </c>
      <c r="E1224" s="14" t="s">
        <v>52</v>
      </c>
      <c r="F1224" s="11" t="s">
        <v>76</v>
      </c>
      <c r="G1224" s="22" t="s">
        <v>672</v>
      </c>
      <c r="H1224" s="14"/>
      <c r="I1224" s="14"/>
      <c r="J1224" s="11">
        <v>21.0</v>
      </c>
      <c r="K1224" s="13">
        <v>36161.0</v>
      </c>
      <c r="L1224" s="14"/>
      <c r="M1224" s="11">
        <v>150305.0</v>
      </c>
      <c r="N1224" s="11">
        <v>107.0</v>
      </c>
      <c r="P1224" s="11">
        <v>74.0</v>
      </c>
      <c r="Q1224" s="15">
        <v>361.667</v>
      </c>
      <c r="R1224" s="22">
        <v>0.0</v>
      </c>
      <c r="S1224">
        <f t="shared" si="1"/>
        <v>1998</v>
      </c>
      <c r="T1224">
        <f t="shared" si="2"/>
        <v>1</v>
      </c>
      <c r="AF1224" s="18"/>
      <c r="AG1224" s="19"/>
      <c r="AL1224" s="18"/>
      <c r="AM1224" s="19"/>
    </row>
    <row r="1225">
      <c r="A1225" s="4" t="s">
        <v>2588</v>
      </c>
      <c r="B1225" s="10">
        <v>35796.0</v>
      </c>
      <c r="C1225" s="11" t="s">
        <v>331</v>
      </c>
      <c r="D1225" s="11" t="s">
        <v>151</v>
      </c>
      <c r="E1225" s="14" t="s">
        <v>52</v>
      </c>
      <c r="F1225" s="11" t="s">
        <v>76</v>
      </c>
      <c r="G1225" s="14" t="s">
        <v>54</v>
      </c>
      <c r="H1225" s="11" t="s">
        <v>250</v>
      </c>
      <c r="I1225" s="11" t="s">
        <v>371</v>
      </c>
      <c r="J1225" s="11">
        <v>20.0</v>
      </c>
      <c r="K1225" s="13">
        <v>36161.0</v>
      </c>
      <c r="L1225" s="14"/>
      <c r="M1225" s="11">
        <v>425146.0</v>
      </c>
      <c r="N1225" s="11">
        <v>1620.0</v>
      </c>
      <c r="P1225" s="11">
        <v>223.0</v>
      </c>
      <c r="Q1225" s="15">
        <v>1152.333</v>
      </c>
      <c r="R1225" s="22">
        <v>0.0</v>
      </c>
      <c r="S1225">
        <f t="shared" si="1"/>
        <v>1998</v>
      </c>
      <c r="T1225">
        <f t="shared" si="2"/>
        <v>1</v>
      </c>
      <c r="AF1225" s="18"/>
      <c r="AG1225" s="19"/>
      <c r="AL1225" s="18"/>
      <c r="AM1225" s="19"/>
    </row>
    <row r="1226">
      <c r="A1226" s="4" t="s">
        <v>2589</v>
      </c>
      <c r="B1226" s="10">
        <v>35796.0</v>
      </c>
      <c r="C1226" s="11" t="s">
        <v>90</v>
      </c>
      <c r="D1226" s="11" t="s">
        <v>110</v>
      </c>
      <c r="E1226" s="14" t="s">
        <v>52</v>
      </c>
      <c r="F1226" s="11" t="s">
        <v>53</v>
      </c>
      <c r="G1226" s="14" t="s">
        <v>54</v>
      </c>
      <c r="H1226" s="11" t="s">
        <v>549</v>
      </c>
      <c r="I1226" s="11" t="s">
        <v>2590</v>
      </c>
      <c r="J1226" s="11">
        <v>24.0</v>
      </c>
      <c r="K1226" s="13">
        <v>36161.0</v>
      </c>
      <c r="L1226" s="14"/>
      <c r="M1226" s="11">
        <v>400084.0</v>
      </c>
      <c r="N1226" s="11"/>
      <c r="P1226" s="11">
        <v>0.0</v>
      </c>
      <c r="Q1226" s="15">
        <v>0.0</v>
      </c>
      <c r="R1226" s="22">
        <v>0.0</v>
      </c>
      <c r="S1226">
        <f t="shared" si="1"/>
        <v>1998</v>
      </c>
      <c r="T1226">
        <f t="shared" si="2"/>
        <v>1</v>
      </c>
      <c r="AF1226" s="18"/>
      <c r="AG1226" s="19"/>
      <c r="AL1226" s="18"/>
      <c r="AM1226" s="19"/>
    </row>
    <row r="1227">
      <c r="A1227" s="4" t="s">
        <v>2591</v>
      </c>
      <c r="B1227" s="10">
        <v>35796.0</v>
      </c>
      <c r="C1227" s="11" t="s">
        <v>179</v>
      </c>
      <c r="D1227" s="11" t="s">
        <v>91</v>
      </c>
      <c r="E1227" s="11" t="s">
        <v>52</v>
      </c>
      <c r="F1227" s="11" t="s">
        <v>53</v>
      </c>
      <c r="G1227" s="11" t="s">
        <v>54</v>
      </c>
      <c r="H1227" s="11" t="s">
        <v>260</v>
      </c>
      <c r="I1227" s="11" t="s">
        <v>743</v>
      </c>
      <c r="J1227" s="11">
        <v>22.0</v>
      </c>
      <c r="K1227" s="13">
        <v>36161.0</v>
      </c>
      <c r="L1227" s="14"/>
      <c r="M1227" s="11">
        <v>276541.0</v>
      </c>
      <c r="N1227" s="11">
        <v>1535.0</v>
      </c>
      <c r="P1227" s="11">
        <v>19.0</v>
      </c>
      <c r="Q1227" s="15">
        <v>25.333</v>
      </c>
      <c r="R1227" s="22">
        <v>0.0</v>
      </c>
      <c r="S1227">
        <f t="shared" si="1"/>
        <v>1998</v>
      </c>
      <c r="T1227">
        <f t="shared" si="2"/>
        <v>1</v>
      </c>
      <c r="AF1227" s="18"/>
      <c r="AG1227" s="19"/>
      <c r="AL1227" s="18"/>
      <c r="AM1227" s="19"/>
    </row>
    <row r="1228">
      <c r="A1228" s="4" t="s">
        <v>472</v>
      </c>
      <c r="B1228" s="10">
        <v>35796.0</v>
      </c>
      <c r="C1228" s="11" t="s">
        <v>711</v>
      </c>
      <c r="D1228" s="11" t="s">
        <v>151</v>
      </c>
      <c r="E1228" s="14" t="s">
        <v>52</v>
      </c>
      <c r="F1228" s="11" t="s">
        <v>53</v>
      </c>
      <c r="G1228" s="14" t="s">
        <v>54</v>
      </c>
      <c r="H1228" s="11" t="s">
        <v>344</v>
      </c>
      <c r="I1228" s="11" t="s">
        <v>1797</v>
      </c>
      <c r="J1228" s="11">
        <v>20.0</v>
      </c>
      <c r="K1228" s="13">
        <v>36161.0</v>
      </c>
      <c r="L1228" s="14"/>
      <c r="M1228" s="11">
        <v>430630.0</v>
      </c>
      <c r="N1228" s="11">
        <v>1906.0</v>
      </c>
      <c r="P1228" s="11">
        <v>0.0</v>
      </c>
      <c r="Q1228" s="15">
        <v>0.0</v>
      </c>
      <c r="R1228" s="22">
        <v>0.0</v>
      </c>
      <c r="S1228">
        <f t="shared" si="1"/>
        <v>1998</v>
      </c>
      <c r="T1228">
        <f t="shared" si="2"/>
        <v>1</v>
      </c>
      <c r="AF1228" s="18"/>
      <c r="AG1228" s="19"/>
      <c r="AL1228" s="18"/>
      <c r="AM1228" s="19"/>
    </row>
    <row r="1229">
      <c r="A1229" s="4" t="s">
        <v>2593</v>
      </c>
      <c r="B1229" s="10">
        <v>35720.0</v>
      </c>
      <c r="C1229" s="11" t="s">
        <v>103</v>
      </c>
      <c r="D1229" s="11" t="s">
        <v>51</v>
      </c>
      <c r="E1229" s="11" t="s">
        <v>52</v>
      </c>
      <c r="F1229" s="11" t="s">
        <v>53</v>
      </c>
      <c r="G1229" s="11" t="s">
        <v>54</v>
      </c>
      <c r="H1229" s="11" t="s">
        <v>337</v>
      </c>
      <c r="I1229" s="11"/>
      <c r="J1229" s="11">
        <v>28.0</v>
      </c>
      <c r="K1229" s="13">
        <v>36008.0</v>
      </c>
      <c r="L1229" s="11">
        <f t="shared" ref="L1229:L1233" si="116">ROUND(((K1229-B1229)/365)*12)</f>
        <v>9</v>
      </c>
      <c r="M1229" s="11">
        <v>121596.0</v>
      </c>
      <c r="N1229" s="11">
        <v>1011345.0</v>
      </c>
      <c r="O1229" s="4" t="s">
        <v>704</v>
      </c>
      <c r="P1229" s="11">
        <v>32.0</v>
      </c>
      <c r="Q1229" s="15">
        <v>38.333</v>
      </c>
      <c r="R1229" s="22">
        <v>0.0</v>
      </c>
      <c r="S1229">
        <f t="shared" si="1"/>
        <v>1997</v>
      </c>
      <c r="T1229">
        <f t="shared" si="2"/>
        <v>10</v>
      </c>
      <c r="AF1229" s="18"/>
      <c r="AG1229" s="19"/>
      <c r="AL1229" s="18"/>
      <c r="AM1229" s="19"/>
    </row>
    <row r="1230">
      <c r="A1230" s="4" t="s">
        <v>2594</v>
      </c>
      <c r="B1230" s="10">
        <v>35699.0</v>
      </c>
      <c r="C1230" s="11" t="s">
        <v>109</v>
      </c>
      <c r="D1230" s="11" t="s">
        <v>51</v>
      </c>
      <c r="E1230" s="22" t="s">
        <v>264</v>
      </c>
      <c r="F1230" s="11" t="s">
        <v>53</v>
      </c>
      <c r="G1230" s="14" t="s">
        <v>54</v>
      </c>
      <c r="H1230" s="11" t="s">
        <v>344</v>
      </c>
      <c r="I1230" s="11"/>
      <c r="J1230" s="11">
        <v>28.0</v>
      </c>
      <c r="K1230" s="13">
        <v>35987.0</v>
      </c>
      <c r="L1230" s="11">
        <f t="shared" si="116"/>
        <v>9</v>
      </c>
      <c r="M1230" s="11">
        <v>116316.0</v>
      </c>
      <c r="N1230" s="11">
        <v>284.0</v>
      </c>
      <c r="O1230" s="4" t="s">
        <v>287</v>
      </c>
      <c r="P1230" s="11">
        <v>449.0</v>
      </c>
      <c r="Q1230" s="32">
        <v>1543.0</v>
      </c>
      <c r="R1230" s="22">
        <v>0.0</v>
      </c>
      <c r="S1230">
        <f t="shared" si="1"/>
        <v>1997</v>
      </c>
      <c r="T1230">
        <f t="shared" si="2"/>
        <v>9</v>
      </c>
      <c r="AF1230" s="18"/>
      <c r="AG1230" s="19"/>
      <c r="AL1230" s="18"/>
      <c r="AM1230" s="19"/>
    </row>
    <row r="1231">
      <c r="A1231" s="4" t="s">
        <v>2595</v>
      </c>
      <c r="B1231" s="10">
        <v>35593.0</v>
      </c>
      <c r="C1231" s="11" t="s">
        <v>114</v>
      </c>
      <c r="D1231" s="11" t="s">
        <v>51</v>
      </c>
      <c r="E1231" s="14" t="s">
        <v>52</v>
      </c>
      <c r="F1231" s="11" t="s">
        <v>53</v>
      </c>
      <c r="G1231" s="14" t="s">
        <v>54</v>
      </c>
      <c r="H1231" s="11" t="s">
        <v>218</v>
      </c>
      <c r="I1231" s="11" t="s">
        <v>1649</v>
      </c>
      <c r="J1231" s="11">
        <v>31.0</v>
      </c>
      <c r="K1231" s="13">
        <v>35961.0</v>
      </c>
      <c r="L1231" s="11">
        <f t="shared" si="116"/>
        <v>12</v>
      </c>
      <c r="M1231" s="11">
        <v>122562.0</v>
      </c>
      <c r="N1231" s="11">
        <v>499.0</v>
      </c>
      <c r="O1231" s="4" t="s">
        <v>704</v>
      </c>
      <c r="P1231" s="11">
        <v>217.0</v>
      </c>
      <c r="Q1231" s="32">
        <v>1029.0</v>
      </c>
      <c r="R1231" s="22">
        <v>0.0</v>
      </c>
      <c r="S1231">
        <f t="shared" si="1"/>
        <v>1997</v>
      </c>
      <c r="T1231">
        <f t="shared" si="2"/>
        <v>6</v>
      </c>
      <c r="AF1231" s="18"/>
      <c r="AG1231" s="19"/>
      <c r="AL1231" s="18"/>
      <c r="AM1231" s="19"/>
    </row>
    <row r="1232">
      <c r="A1232" s="4" t="s">
        <v>2596</v>
      </c>
      <c r="B1232" s="10">
        <v>35571.0</v>
      </c>
      <c r="C1232" s="11" t="s">
        <v>74</v>
      </c>
      <c r="D1232" s="11" t="s">
        <v>51</v>
      </c>
      <c r="E1232" s="14" t="s">
        <v>52</v>
      </c>
      <c r="F1232" s="11" t="s">
        <v>76</v>
      </c>
      <c r="G1232" s="22" t="s">
        <v>312</v>
      </c>
      <c r="H1232" s="14"/>
      <c r="I1232" s="14"/>
      <c r="J1232" s="11">
        <v>30.0</v>
      </c>
      <c r="K1232" s="13">
        <v>36261.0</v>
      </c>
      <c r="L1232" s="11">
        <f t="shared" si="116"/>
        <v>23</v>
      </c>
      <c r="M1232" s="11">
        <v>112690.0</v>
      </c>
      <c r="N1232" s="11">
        <v>952.0</v>
      </c>
      <c r="P1232" s="11">
        <v>514.0</v>
      </c>
      <c r="Q1232" s="32">
        <v>507.0</v>
      </c>
      <c r="R1232" s="22">
        <v>0.0</v>
      </c>
      <c r="S1232">
        <f t="shared" si="1"/>
        <v>1997</v>
      </c>
      <c r="T1232">
        <f t="shared" si="2"/>
        <v>5</v>
      </c>
      <c r="AF1232" s="18"/>
      <c r="AG1232" s="19"/>
      <c r="AL1232" s="18"/>
      <c r="AM1232" s="19"/>
    </row>
    <row r="1233">
      <c r="A1233" s="4" t="s">
        <v>2597</v>
      </c>
      <c r="B1233" s="10">
        <v>35528.0</v>
      </c>
      <c r="C1233" s="11" t="s">
        <v>108</v>
      </c>
      <c r="D1233" s="11" t="s">
        <v>51</v>
      </c>
      <c r="E1233" s="11" t="s">
        <v>1248</v>
      </c>
      <c r="F1233" s="11" t="s">
        <v>53</v>
      </c>
      <c r="G1233" s="11" t="s">
        <v>54</v>
      </c>
      <c r="H1233" s="11" t="s">
        <v>157</v>
      </c>
      <c r="I1233" s="11" t="s">
        <v>1116</v>
      </c>
      <c r="J1233" s="11">
        <v>34.0</v>
      </c>
      <c r="K1233" s="13">
        <v>35928.0</v>
      </c>
      <c r="L1233" s="11">
        <f t="shared" si="116"/>
        <v>13</v>
      </c>
      <c r="M1233" s="11">
        <v>123690.0</v>
      </c>
      <c r="N1233" s="11">
        <v>942.0</v>
      </c>
      <c r="P1233" s="11">
        <v>478.0</v>
      </c>
      <c r="Q1233" s="15">
        <v>2025.0</v>
      </c>
      <c r="R1233" s="22">
        <v>0.0</v>
      </c>
      <c r="S1233">
        <f t="shared" si="1"/>
        <v>1997</v>
      </c>
      <c r="T1233">
        <f t="shared" si="2"/>
        <v>4</v>
      </c>
      <c r="AF1233" s="18"/>
      <c r="AG1233" s="19"/>
      <c r="AL1233" s="18"/>
      <c r="AM1233" s="19"/>
    </row>
    <row r="1234">
      <c r="A1234" s="4" t="s">
        <v>2599</v>
      </c>
      <c r="B1234" s="10">
        <v>35431.0</v>
      </c>
      <c r="C1234" s="11" t="s">
        <v>142</v>
      </c>
      <c r="D1234" s="11" t="s">
        <v>124</v>
      </c>
      <c r="E1234" s="14" t="s">
        <v>52</v>
      </c>
      <c r="F1234" s="11" t="s">
        <v>53</v>
      </c>
      <c r="G1234" s="22" t="s">
        <v>83</v>
      </c>
      <c r="H1234" s="14"/>
      <c r="I1234" s="14"/>
      <c r="J1234" s="11">
        <v>20.0</v>
      </c>
      <c r="K1234" s="13">
        <v>36161.0</v>
      </c>
      <c r="L1234" s="14"/>
      <c r="M1234" s="11">
        <v>275700.0</v>
      </c>
      <c r="N1234" s="11">
        <v>582.0</v>
      </c>
      <c r="P1234" s="11">
        <v>38.0</v>
      </c>
      <c r="Q1234" s="15">
        <v>44.333</v>
      </c>
      <c r="R1234" s="22">
        <v>0.0</v>
      </c>
      <c r="S1234">
        <f t="shared" si="1"/>
        <v>1997</v>
      </c>
      <c r="T1234">
        <f t="shared" si="2"/>
        <v>1</v>
      </c>
      <c r="AF1234" s="18"/>
      <c r="AG1234" s="19"/>
      <c r="AL1234" s="18"/>
      <c r="AM1234" s="19"/>
    </row>
    <row r="1235">
      <c r="A1235" s="4" t="s">
        <v>1033</v>
      </c>
      <c r="B1235" s="10">
        <v>35431.0</v>
      </c>
      <c r="C1235" s="11" t="s">
        <v>81</v>
      </c>
      <c r="D1235" s="11" t="s">
        <v>124</v>
      </c>
      <c r="E1235" s="14" t="s">
        <v>52</v>
      </c>
      <c r="F1235" s="11" t="s">
        <v>53</v>
      </c>
      <c r="G1235" s="22" t="s">
        <v>312</v>
      </c>
      <c r="H1235" s="14"/>
      <c r="I1235" s="14"/>
      <c r="J1235" s="11">
        <v>21.0</v>
      </c>
      <c r="K1235" s="13">
        <v>35796.0</v>
      </c>
      <c r="L1235" s="14"/>
      <c r="M1235" s="11">
        <v>150378.0</v>
      </c>
      <c r="N1235" s="11">
        <v>650.0</v>
      </c>
      <c r="P1235" s="11">
        <v>402.0</v>
      </c>
      <c r="Q1235" s="15">
        <v>643.667</v>
      </c>
      <c r="R1235" s="22">
        <v>0.0</v>
      </c>
      <c r="S1235">
        <f t="shared" si="1"/>
        <v>1997</v>
      </c>
      <c r="T1235">
        <f t="shared" si="2"/>
        <v>1</v>
      </c>
      <c r="AF1235" s="18"/>
      <c r="AG1235" s="19"/>
      <c r="AL1235" s="18"/>
      <c r="AM1235" s="19"/>
    </row>
    <row r="1236">
      <c r="A1236" s="4" t="s">
        <v>2600</v>
      </c>
      <c r="B1236" s="10">
        <v>35431.0</v>
      </c>
      <c r="C1236" s="11" t="s">
        <v>156</v>
      </c>
      <c r="D1236" s="11" t="s">
        <v>124</v>
      </c>
      <c r="E1236" s="14" t="s">
        <v>52</v>
      </c>
      <c r="F1236" s="11" t="s">
        <v>53</v>
      </c>
      <c r="G1236" s="14" t="s">
        <v>54</v>
      </c>
      <c r="H1236" s="11" t="s">
        <v>230</v>
      </c>
      <c r="I1236" s="11" t="s">
        <v>2601</v>
      </c>
      <c r="J1236" s="11">
        <v>24.0</v>
      </c>
      <c r="K1236" s="13">
        <v>36161.0</v>
      </c>
      <c r="L1236" s="14"/>
      <c r="M1236" s="11">
        <v>337392.0</v>
      </c>
      <c r="N1236" s="11">
        <v>794.0</v>
      </c>
      <c r="P1236" s="11">
        <v>101.0</v>
      </c>
      <c r="Q1236" s="15">
        <v>218.0</v>
      </c>
      <c r="R1236" s="22">
        <v>0.0</v>
      </c>
      <c r="S1236">
        <f t="shared" si="1"/>
        <v>1997</v>
      </c>
      <c r="T1236">
        <f t="shared" si="2"/>
        <v>1</v>
      </c>
      <c r="AF1236" s="18"/>
      <c r="AG1236" s="19"/>
      <c r="AL1236" s="18"/>
      <c r="AM1236" s="19"/>
    </row>
    <row r="1237">
      <c r="A1237" s="4" t="s">
        <v>1019</v>
      </c>
      <c r="B1237" s="10">
        <v>35431.0</v>
      </c>
      <c r="C1237" s="11" t="s">
        <v>179</v>
      </c>
      <c r="D1237" s="11" t="s">
        <v>170</v>
      </c>
      <c r="E1237" s="14" t="s">
        <v>52</v>
      </c>
      <c r="F1237" s="11" t="s">
        <v>53</v>
      </c>
      <c r="G1237" s="14" t="s">
        <v>54</v>
      </c>
      <c r="H1237" s="11" t="s">
        <v>92</v>
      </c>
      <c r="I1237" s="11" t="s">
        <v>2350</v>
      </c>
      <c r="J1237" s="11">
        <v>17.0</v>
      </c>
      <c r="K1237" s="13">
        <v>36161.0</v>
      </c>
      <c r="L1237" s="14"/>
      <c r="M1237" s="11">
        <v>407890.0</v>
      </c>
      <c r="N1237" s="11">
        <v>1259.0</v>
      </c>
      <c r="P1237" s="11">
        <v>233.0</v>
      </c>
      <c r="Q1237" s="15">
        <v>1215.0</v>
      </c>
      <c r="R1237" s="22">
        <v>1.0</v>
      </c>
      <c r="S1237">
        <f t="shared" si="1"/>
        <v>1997</v>
      </c>
      <c r="T1237">
        <f t="shared" si="2"/>
        <v>1</v>
      </c>
      <c r="AF1237" s="18"/>
      <c r="AG1237" s="19"/>
      <c r="AL1237" s="18"/>
      <c r="AM1237" s="19"/>
    </row>
    <row r="1238">
      <c r="A1238" s="4" t="s">
        <v>2602</v>
      </c>
      <c r="B1238" s="10">
        <v>35431.0</v>
      </c>
      <c r="C1238" s="11" t="s">
        <v>130</v>
      </c>
      <c r="D1238" s="11" t="s">
        <v>124</v>
      </c>
      <c r="E1238" s="11" t="s">
        <v>264</v>
      </c>
      <c r="F1238" s="11" t="s">
        <v>53</v>
      </c>
      <c r="G1238" s="11" t="s">
        <v>54</v>
      </c>
      <c r="H1238" s="11" t="s">
        <v>153</v>
      </c>
      <c r="I1238" s="11" t="s">
        <v>1275</v>
      </c>
      <c r="J1238" s="11">
        <v>23.0</v>
      </c>
      <c r="K1238" s="13">
        <v>35796.0</v>
      </c>
      <c r="L1238" s="14"/>
      <c r="M1238" s="11"/>
      <c r="N1238" s="11"/>
      <c r="P1238" s="11">
        <v>0.0</v>
      </c>
      <c r="Q1238" s="15">
        <v>0.0</v>
      </c>
      <c r="R1238" s="22">
        <v>0.0</v>
      </c>
      <c r="S1238">
        <f t="shared" si="1"/>
        <v>1997</v>
      </c>
      <c r="T1238">
        <f t="shared" si="2"/>
        <v>1</v>
      </c>
      <c r="AF1238" s="18"/>
      <c r="AG1238" s="19"/>
      <c r="AL1238" s="18"/>
      <c r="AM1238" s="19"/>
    </row>
    <row r="1239">
      <c r="A1239" s="4" t="s">
        <v>2603</v>
      </c>
      <c r="B1239" s="10">
        <v>35431.0</v>
      </c>
      <c r="C1239" s="11" t="s">
        <v>711</v>
      </c>
      <c r="D1239" s="11" t="s">
        <v>110</v>
      </c>
      <c r="E1239" s="14" t="s">
        <v>52</v>
      </c>
      <c r="F1239" s="11" t="s">
        <v>53</v>
      </c>
      <c r="G1239" s="14" t="s">
        <v>54</v>
      </c>
      <c r="H1239" s="11" t="s">
        <v>153</v>
      </c>
      <c r="I1239" s="11" t="s">
        <v>898</v>
      </c>
      <c r="J1239" s="11">
        <v>22.0</v>
      </c>
      <c r="K1239" s="13">
        <v>35796.0</v>
      </c>
      <c r="L1239" s="14"/>
      <c r="M1239" s="11">
        <v>150477.0</v>
      </c>
      <c r="N1239" s="11">
        <v>924.0</v>
      </c>
      <c r="P1239" s="11">
        <v>379.0</v>
      </c>
      <c r="Q1239" s="15">
        <v>407.333</v>
      </c>
      <c r="R1239" s="22">
        <v>0.0</v>
      </c>
      <c r="S1239">
        <f t="shared" si="1"/>
        <v>1997</v>
      </c>
      <c r="T1239">
        <f t="shared" si="2"/>
        <v>1</v>
      </c>
      <c r="AF1239" s="18"/>
      <c r="AG1239" s="19"/>
      <c r="AL1239" s="18"/>
      <c r="AM1239" s="19"/>
    </row>
    <row r="1240">
      <c r="A1240" s="4" t="s">
        <v>2604</v>
      </c>
      <c r="B1240" s="10">
        <v>35321.0</v>
      </c>
      <c r="C1240" s="11" t="s">
        <v>259</v>
      </c>
      <c r="D1240" s="11" t="s">
        <v>51</v>
      </c>
      <c r="E1240" s="14" t="s">
        <v>52</v>
      </c>
      <c r="F1240" s="11" t="s">
        <v>53</v>
      </c>
      <c r="G1240" s="14" t="s">
        <v>54</v>
      </c>
      <c r="H1240" s="11" t="s">
        <v>337</v>
      </c>
      <c r="I1240" s="11" t="s">
        <v>2605</v>
      </c>
      <c r="J1240" s="11">
        <v>25.0</v>
      </c>
      <c r="K1240" s="13">
        <v>35661.0</v>
      </c>
      <c r="L1240" s="11">
        <f t="shared" ref="L1240:L1242" si="117">ROUND(((K1240-B1240)/365)*12)</f>
        <v>11</v>
      </c>
      <c r="M1240" s="11">
        <v>110891.0</v>
      </c>
      <c r="N1240" s="11">
        <v>266.0</v>
      </c>
      <c r="O1240" s="4" t="s">
        <v>59</v>
      </c>
      <c r="P1240" s="11">
        <v>131.0</v>
      </c>
      <c r="Q1240" s="32">
        <v>672.3330000000001</v>
      </c>
      <c r="R1240" s="22">
        <v>0.0</v>
      </c>
      <c r="S1240">
        <f t="shared" si="1"/>
        <v>1996</v>
      </c>
      <c r="T1240">
        <f t="shared" si="2"/>
        <v>9</v>
      </c>
      <c r="AF1240" s="18"/>
      <c r="AG1240" s="19"/>
      <c r="AL1240" s="18"/>
      <c r="AM1240" s="19"/>
    </row>
    <row r="1241">
      <c r="A1241" s="4" t="s">
        <v>2607</v>
      </c>
      <c r="B1241" s="10">
        <v>35307.0</v>
      </c>
      <c r="C1241" s="11" t="s">
        <v>142</v>
      </c>
      <c r="D1241" s="11" t="s">
        <v>51</v>
      </c>
      <c r="E1241" s="14" t="s">
        <v>52</v>
      </c>
      <c r="F1241" s="11" t="s">
        <v>76</v>
      </c>
      <c r="G1241" s="11" t="s">
        <v>83</v>
      </c>
      <c r="H1241" s="11"/>
      <c r="I1241" s="11"/>
      <c r="J1241" s="11">
        <v>28.0</v>
      </c>
      <c r="K1241" s="13">
        <v>36255.0</v>
      </c>
      <c r="L1241" s="11">
        <f t="shared" si="117"/>
        <v>31</v>
      </c>
      <c r="M1241" s="11">
        <v>111228.0</v>
      </c>
      <c r="N1241" s="11">
        <v>1001195.0</v>
      </c>
      <c r="O1241" s="4" t="s">
        <v>59</v>
      </c>
      <c r="P1241" s="11">
        <v>279.0</v>
      </c>
      <c r="Q1241" s="32">
        <v>200.0</v>
      </c>
      <c r="R1241" s="22">
        <v>0.0</v>
      </c>
      <c r="S1241">
        <f t="shared" si="1"/>
        <v>1996</v>
      </c>
      <c r="T1241">
        <f t="shared" si="2"/>
        <v>8</v>
      </c>
      <c r="AF1241" s="18"/>
      <c r="AG1241" s="19"/>
      <c r="AL1241" s="18"/>
      <c r="AM1241" s="19"/>
    </row>
    <row r="1242">
      <c r="A1242" s="4" t="s">
        <v>2608</v>
      </c>
      <c r="B1242" s="10">
        <v>35284.0</v>
      </c>
      <c r="C1242" s="11" t="s">
        <v>125</v>
      </c>
      <c r="D1242" s="11" t="s">
        <v>51</v>
      </c>
      <c r="E1242" s="14" t="s">
        <v>52</v>
      </c>
      <c r="F1242" s="11" t="s">
        <v>53</v>
      </c>
      <c r="G1242" s="14" t="s">
        <v>54</v>
      </c>
      <c r="H1242" s="11" t="s">
        <v>291</v>
      </c>
      <c r="I1242" s="11" t="s">
        <v>1878</v>
      </c>
      <c r="J1242" s="11">
        <v>28.0</v>
      </c>
      <c r="K1242" s="13">
        <v>35629.0</v>
      </c>
      <c r="L1242" s="11">
        <f t="shared" si="117"/>
        <v>11</v>
      </c>
      <c r="M1242" s="11">
        <v>123789.0</v>
      </c>
      <c r="N1242" s="11">
        <v>1013490.0</v>
      </c>
      <c r="P1242" s="11">
        <v>32.0</v>
      </c>
      <c r="Q1242" s="32">
        <v>78.0</v>
      </c>
      <c r="R1242" s="22">
        <v>0.0</v>
      </c>
      <c r="S1242">
        <f t="shared" si="1"/>
        <v>1996</v>
      </c>
      <c r="T1242">
        <f t="shared" si="2"/>
        <v>8</v>
      </c>
      <c r="AF1242" s="18"/>
      <c r="AG1242" s="19"/>
      <c r="AL1242" s="18"/>
      <c r="AM1242" s="19"/>
    </row>
    <row r="1243">
      <c r="A1243" s="4" t="s">
        <v>2609</v>
      </c>
      <c r="B1243" s="10">
        <v>35270.0</v>
      </c>
      <c r="C1243" s="11" t="s">
        <v>259</v>
      </c>
      <c r="D1243" s="11" t="s">
        <v>82</v>
      </c>
      <c r="E1243" s="14" t="s">
        <v>52</v>
      </c>
      <c r="F1243" s="11" t="s">
        <v>53</v>
      </c>
      <c r="G1243" s="14" t="s">
        <v>54</v>
      </c>
      <c r="H1243" s="11" t="s">
        <v>92</v>
      </c>
      <c r="I1243" s="11"/>
      <c r="J1243" s="11">
        <v>21.0</v>
      </c>
      <c r="K1243" s="13">
        <v>35431.0</v>
      </c>
      <c r="L1243" s="14"/>
      <c r="M1243" s="11">
        <v>122511.0</v>
      </c>
      <c r="N1243" s="11">
        <v>1012253.0</v>
      </c>
      <c r="P1243" s="11">
        <v>63.0</v>
      </c>
      <c r="Q1243" s="15">
        <v>342.667</v>
      </c>
      <c r="R1243" s="22">
        <v>0.0</v>
      </c>
      <c r="S1243">
        <f t="shared" si="1"/>
        <v>1996</v>
      </c>
      <c r="T1243">
        <f t="shared" si="2"/>
        <v>7</v>
      </c>
      <c r="AF1243" s="18"/>
      <c r="AG1243" s="19"/>
      <c r="AL1243" s="18"/>
      <c r="AM1243" s="19"/>
    </row>
    <row r="1244">
      <c r="A1244" s="4" t="s">
        <v>284</v>
      </c>
      <c r="B1244" s="10">
        <v>35247.0</v>
      </c>
      <c r="C1244" s="11" t="s">
        <v>142</v>
      </c>
      <c r="D1244" s="11" t="s">
        <v>75</v>
      </c>
      <c r="E1244" s="14" t="s">
        <v>52</v>
      </c>
      <c r="F1244" s="11" t="s">
        <v>53</v>
      </c>
      <c r="G1244" s="14" t="s">
        <v>54</v>
      </c>
      <c r="H1244" s="11" t="s">
        <v>157</v>
      </c>
      <c r="I1244" s="11" t="s">
        <v>2558</v>
      </c>
      <c r="J1244" s="11">
        <v>25.0</v>
      </c>
      <c r="K1244" s="13">
        <v>35431.0</v>
      </c>
      <c r="L1244" s="14"/>
      <c r="M1244" s="11">
        <v>114354.0</v>
      </c>
      <c r="N1244" s="11">
        <v>684.0</v>
      </c>
      <c r="O1244" s="4" t="s">
        <v>59</v>
      </c>
      <c r="P1244" s="11">
        <v>85.0</v>
      </c>
      <c r="Q1244" s="15">
        <v>91.0</v>
      </c>
      <c r="R1244" s="22">
        <v>0.0</v>
      </c>
      <c r="S1244">
        <f t="shared" si="1"/>
        <v>1996</v>
      </c>
      <c r="T1244">
        <f t="shared" si="2"/>
        <v>7</v>
      </c>
      <c r="AF1244" s="18"/>
      <c r="AG1244" s="19"/>
      <c r="AL1244" s="18"/>
      <c r="AM1244" s="19"/>
    </row>
    <row r="1245">
      <c r="A1245" s="4" t="s">
        <v>802</v>
      </c>
      <c r="B1245" s="10">
        <v>35229.0</v>
      </c>
      <c r="C1245" s="11" t="s">
        <v>97</v>
      </c>
      <c r="D1245" s="11" t="s">
        <v>51</v>
      </c>
      <c r="E1245" s="14" t="s">
        <v>52</v>
      </c>
      <c r="F1245" s="11" t="s">
        <v>53</v>
      </c>
      <c r="G1245" s="14" t="s">
        <v>54</v>
      </c>
      <c r="H1245" s="11" t="s">
        <v>597</v>
      </c>
      <c r="I1245" s="11"/>
      <c r="J1245" s="11">
        <v>35.0</v>
      </c>
      <c r="K1245" s="13">
        <v>36785.0</v>
      </c>
      <c r="L1245" s="11">
        <f t="shared" ref="L1245:L1246" si="118">ROUND(((K1245-B1245)/365)*12)</f>
        <v>51</v>
      </c>
      <c r="M1245" s="11">
        <v>120036.0</v>
      </c>
      <c r="N1245" s="11">
        <v>1009826.0</v>
      </c>
      <c r="O1245" s="4" t="s">
        <v>704</v>
      </c>
      <c r="P1245" s="11">
        <v>3.0</v>
      </c>
      <c r="Q1245" s="32">
        <v>5.332999999999998</v>
      </c>
      <c r="R1245" s="22">
        <v>0.0</v>
      </c>
      <c r="S1245">
        <f t="shared" si="1"/>
        <v>1996</v>
      </c>
      <c r="T1245">
        <f t="shared" si="2"/>
        <v>6</v>
      </c>
      <c r="AF1245" s="18"/>
      <c r="AG1245" s="19"/>
      <c r="AL1245" s="18"/>
      <c r="AM1245" s="19"/>
    </row>
    <row r="1246">
      <c r="A1246" s="4" t="s">
        <v>2611</v>
      </c>
      <c r="B1246" s="10">
        <v>35173.0</v>
      </c>
      <c r="C1246" s="11" t="s">
        <v>109</v>
      </c>
      <c r="D1246" s="11" t="s">
        <v>51</v>
      </c>
      <c r="E1246" s="14" t="s">
        <v>52</v>
      </c>
      <c r="F1246" s="11" t="s">
        <v>76</v>
      </c>
      <c r="G1246" s="14" t="s">
        <v>54</v>
      </c>
      <c r="H1246" s="11" t="s">
        <v>416</v>
      </c>
      <c r="I1246" s="11"/>
      <c r="J1246" s="11">
        <v>22.0</v>
      </c>
      <c r="K1246" s="13">
        <v>35968.0</v>
      </c>
      <c r="L1246" s="11">
        <f t="shared" si="118"/>
        <v>26</v>
      </c>
      <c r="M1246" s="11">
        <v>120802.0</v>
      </c>
      <c r="N1246" s="11">
        <v>842.0</v>
      </c>
      <c r="P1246" s="11">
        <v>89.0</v>
      </c>
      <c r="Q1246" s="32">
        <v>201.33299999999997</v>
      </c>
      <c r="R1246" s="22">
        <v>0.0</v>
      </c>
      <c r="S1246">
        <f t="shared" si="1"/>
        <v>1996</v>
      </c>
      <c r="T1246">
        <f t="shared" si="2"/>
        <v>4</v>
      </c>
      <c r="AF1246" s="18"/>
      <c r="AG1246" s="19"/>
      <c r="AL1246" s="18"/>
      <c r="AM1246" s="19"/>
    </row>
    <row r="1247">
      <c r="A1247" s="4" t="s">
        <v>642</v>
      </c>
      <c r="B1247" s="10">
        <v>35065.0</v>
      </c>
      <c r="C1247" s="11" t="s">
        <v>229</v>
      </c>
      <c r="D1247" s="11" t="s">
        <v>110</v>
      </c>
      <c r="E1247" s="14" t="s">
        <v>52</v>
      </c>
      <c r="F1247" s="11" t="s">
        <v>53</v>
      </c>
      <c r="G1247" s="14" t="s">
        <v>54</v>
      </c>
      <c r="H1247" s="11" t="s">
        <v>260</v>
      </c>
      <c r="I1247" s="11" t="s">
        <v>2384</v>
      </c>
      <c r="J1247" s="11">
        <v>21.0</v>
      </c>
      <c r="K1247" s="13">
        <v>35796.0</v>
      </c>
      <c r="L1247" s="14"/>
      <c r="M1247" s="11">
        <v>238796.0</v>
      </c>
      <c r="N1247" s="11">
        <v>1592.0</v>
      </c>
      <c r="P1247" s="11">
        <v>6.0</v>
      </c>
      <c r="Q1247" s="15">
        <v>5.333</v>
      </c>
      <c r="R1247" s="22">
        <v>0.0</v>
      </c>
      <c r="S1247">
        <f t="shared" si="1"/>
        <v>1996</v>
      </c>
      <c r="T1247">
        <f t="shared" si="2"/>
        <v>1</v>
      </c>
      <c r="AF1247" s="18"/>
      <c r="AG1247" s="19"/>
      <c r="AL1247" s="18"/>
      <c r="AM1247" s="19"/>
    </row>
    <row r="1248">
      <c r="A1248" s="4" t="s">
        <v>900</v>
      </c>
      <c r="B1248" s="10">
        <v>35065.0</v>
      </c>
      <c r="C1248" s="11" t="s">
        <v>130</v>
      </c>
      <c r="D1248" s="11" t="s">
        <v>91</v>
      </c>
      <c r="E1248" s="14" t="s">
        <v>52</v>
      </c>
      <c r="F1248" s="11" t="s">
        <v>53</v>
      </c>
      <c r="G1248" s="22" t="s">
        <v>265</v>
      </c>
      <c r="H1248" s="14"/>
      <c r="I1248" s="14"/>
      <c r="J1248" s="11">
        <v>20.0</v>
      </c>
      <c r="K1248" s="13">
        <v>35431.0</v>
      </c>
      <c r="L1248" s="14"/>
      <c r="M1248" s="11">
        <v>406913.0</v>
      </c>
      <c r="N1248" s="11">
        <v>1237.0</v>
      </c>
      <c r="P1248" s="11">
        <v>174.0</v>
      </c>
      <c r="Q1248" s="15">
        <v>683.333</v>
      </c>
      <c r="R1248" s="22">
        <v>0.0</v>
      </c>
      <c r="S1248">
        <f t="shared" si="1"/>
        <v>1996</v>
      </c>
      <c r="T1248">
        <f t="shared" si="2"/>
        <v>1</v>
      </c>
      <c r="AF1248" s="18"/>
      <c r="AG1248" s="19"/>
      <c r="AL1248" s="18"/>
      <c r="AM1248" s="19"/>
    </row>
    <row r="1249">
      <c r="A1249" s="4" t="s">
        <v>2612</v>
      </c>
      <c r="B1249" s="10">
        <v>35065.0</v>
      </c>
      <c r="C1249" s="11" t="s">
        <v>130</v>
      </c>
      <c r="D1249" s="11" t="s">
        <v>170</v>
      </c>
      <c r="E1249" s="14" t="s">
        <v>52</v>
      </c>
      <c r="F1249" s="11" t="s">
        <v>53</v>
      </c>
      <c r="G1249" s="14" t="s">
        <v>54</v>
      </c>
      <c r="H1249" s="11" t="s">
        <v>204</v>
      </c>
      <c r="I1249" s="11" t="s">
        <v>2613</v>
      </c>
      <c r="J1249" s="11">
        <v>16.0</v>
      </c>
      <c r="K1249" s="13">
        <v>37257.0</v>
      </c>
      <c r="L1249" s="14"/>
      <c r="M1249" s="11">
        <v>407376.0</v>
      </c>
      <c r="N1249" s="11">
        <v>1195.0</v>
      </c>
      <c r="P1249" s="11">
        <v>63.0</v>
      </c>
      <c r="Q1249" s="15">
        <v>271.0</v>
      </c>
      <c r="R1249" s="22">
        <v>0.0</v>
      </c>
      <c r="S1249">
        <f t="shared" si="1"/>
        <v>1996</v>
      </c>
      <c r="T1249">
        <f t="shared" si="2"/>
        <v>1</v>
      </c>
      <c r="AF1249" s="18"/>
      <c r="AG1249" s="19"/>
      <c r="AL1249" s="18"/>
      <c r="AM1249" s="19"/>
    </row>
    <row r="1250">
      <c r="A1250" s="4" t="s">
        <v>2614</v>
      </c>
      <c r="B1250" s="10">
        <v>34980.0</v>
      </c>
      <c r="C1250" s="11" t="s">
        <v>156</v>
      </c>
      <c r="D1250" s="11" t="s">
        <v>51</v>
      </c>
      <c r="E1250" s="11" t="s">
        <v>52</v>
      </c>
      <c r="F1250" s="11" t="s">
        <v>53</v>
      </c>
      <c r="G1250" s="11" t="s">
        <v>299</v>
      </c>
      <c r="H1250" s="14"/>
      <c r="I1250" s="14"/>
      <c r="J1250" s="11">
        <v>29.0</v>
      </c>
      <c r="K1250" s="13">
        <v>35569.0</v>
      </c>
      <c r="L1250" s="11">
        <f t="shared" ref="L1250:L1256" si="119">ROUND(((K1250-B1250)/365)*12)</f>
        <v>19</v>
      </c>
      <c r="M1250" s="11">
        <v>110338.0</v>
      </c>
      <c r="N1250" s="11">
        <v>1000325.0</v>
      </c>
      <c r="O1250" s="4"/>
      <c r="P1250" s="11">
        <v>6.0</v>
      </c>
      <c r="Q1250" s="15">
        <v>10.333</v>
      </c>
      <c r="R1250" s="22">
        <v>0.0</v>
      </c>
      <c r="S1250">
        <f t="shared" si="1"/>
        <v>1995</v>
      </c>
      <c r="T1250">
        <f t="shared" si="2"/>
        <v>10</v>
      </c>
      <c r="AF1250" s="18"/>
      <c r="AG1250" s="19"/>
      <c r="AL1250" s="18"/>
      <c r="AM1250" s="19"/>
    </row>
    <row r="1251">
      <c r="A1251" s="4" t="s">
        <v>1054</v>
      </c>
      <c r="B1251" s="10">
        <v>34933.0</v>
      </c>
      <c r="C1251" s="11" t="s">
        <v>119</v>
      </c>
      <c r="D1251" s="11" t="s">
        <v>51</v>
      </c>
      <c r="E1251" s="14" t="s">
        <v>52</v>
      </c>
      <c r="F1251" s="11" t="s">
        <v>53</v>
      </c>
      <c r="G1251" s="22" t="s">
        <v>83</v>
      </c>
      <c r="H1251" s="14"/>
      <c r="I1251" s="14"/>
      <c r="J1251" s="11">
        <v>30.0</v>
      </c>
      <c r="K1251" s="13">
        <v>37120.0</v>
      </c>
      <c r="L1251" s="11">
        <f t="shared" si="119"/>
        <v>72</v>
      </c>
      <c r="M1251" s="11">
        <v>121206.0</v>
      </c>
      <c r="N1251" s="11">
        <v>349.0</v>
      </c>
      <c r="O1251" s="4" t="s">
        <v>59</v>
      </c>
      <c r="P1251" s="11">
        <v>44.0</v>
      </c>
      <c r="Q1251" s="32">
        <v>94.0</v>
      </c>
      <c r="R1251" s="22">
        <v>0.0</v>
      </c>
      <c r="S1251">
        <f t="shared" si="1"/>
        <v>1995</v>
      </c>
      <c r="T1251">
        <f t="shared" si="2"/>
        <v>8</v>
      </c>
      <c r="AF1251" s="18"/>
      <c r="AG1251" s="19"/>
      <c r="AL1251" s="18"/>
      <c r="AM1251" s="19"/>
    </row>
    <row r="1252">
      <c r="A1252" s="4" t="s">
        <v>2616</v>
      </c>
      <c r="B1252" s="10">
        <v>34933.0</v>
      </c>
      <c r="C1252" s="11" t="s">
        <v>103</v>
      </c>
      <c r="D1252" s="11" t="s">
        <v>51</v>
      </c>
      <c r="E1252" s="11" t="s">
        <v>52</v>
      </c>
      <c r="F1252" s="11" t="s">
        <v>53</v>
      </c>
      <c r="G1252" s="11" t="s">
        <v>172</v>
      </c>
      <c r="H1252" s="11"/>
      <c r="I1252" s="14"/>
      <c r="J1252" s="11">
        <v>27.0</v>
      </c>
      <c r="K1252" s="13">
        <v>35227.0</v>
      </c>
      <c r="L1252" s="11">
        <f t="shared" si="119"/>
        <v>10</v>
      </c>
      <c r="M1252" s="11">
        <v>119528.0</v>
      </c>
      <c r="N1252" s="11">
        <v>1009326.0</v>
      </c>
      <c r="O1252" s="4"/>
      <c r="P1252" s="11">
        <v>38.0</v>
      </c>
      <c r="Q1252" s="15">
        <v>112.667</v>
      </c>
      <c r="R1252" s="22">
        <v>0.0</v>
      </c>
      <c r="S1252">
        <f t="shared" si="1"/>
        <v>1995</v>
      </c>
      <c r="T1252">
        <f t="shared" si="2"/>
        <v>8</v>
      </c>
      <c r="AF1252" s="18"/>
      <c r="AG1252" s="19"/>
      <c r="AL1252" s="18"/>
      <c r="AM1252" s="19"/>
    </row>
    <row r="1253">
      <c r="A1253" s="4" t="s">
        <v>2617</v>
      </c>
      <c r="B1253" s="10">
        <v>34933.0</v>
      </c>
      <c r="C1253" s="11" t="s">
        <v>74</v>
      </c>
      <c r="D1253" s="11" t="s">
        <v>51</v>
      </c>
      <c r="E1253" s="11" t="s">
        <v>52</v>
      </c>
      <c r="F1253" s="11" t="s">
        <v>76</v>
      </c>
      <c r="G1253" s="11" t="s">
        <v>54</v>
      </c>
      <c r="H1253" s="11" t="s">
        <v>157</v>
      </c>
      <c r="I1253" s="14"/>
      <c r="J1253" s="11">
        <v>26.0</v>
      </c>
      <c r="K1253" s="13">
        <v>35522.0</v>
      </c>
      <c r="L1253" s="11">
        <f t="shared" si="119"/>
        <v>19</v>
      </c>
      <c r="M1253" s="11">
        <v>115783.0</v>
      </c>
      <c r="N1253" s="11">
        <v>1005667.0</v>
      </c>
      <c r="O1253" s="4" t="s">
        <v>2252</v>
      </c>
      <c r="P1253" s="11">
        <v>45.0</v>
      </c>
      <c r="Q1253" s="15">
        <v>118.333</v>
      </c>
      <c r="R1253" s="22">
        <v>0.0</v>
      </c>
      <c r="S1253">
        <f t="shared" si="1"/>
        <v>1995</v>
      </c>
      <c r="T1253">
        <f t="shared" si="2"/>
        <v>8</v>
      </c>
      <c r="AF1253" s="18"/>
      <c r="AG1253" s="19"/>
      <c r="AL1253" s="18"/>
      <c r="AM1253" s="19"/>
    </row>
    <row r="1254">
      <c r="A1254" s="4" t="s">
        <v>190</v>
      </c>
      <c r="B1254" s="10">
        <v>34912.0</v>
      </c>
      <c r="C1254" s="11" t="s">
        <v>114</v>
      </c>
      <c r="D1254" s="11" t="s">
        <v>51</v>
      </c>
      <c r="E1254" s="14" t="s">
        <v>52</v>
      </c>
      <c r="F1254" s="11" t="s">
        <v>53</v>
      </c>
      <c r="G1254" s="22" t="s">
        <v>83</v>
      </c>
      <c r="H1254" s="14"/>
      <c r="I1254" s="14"/>
      <c r="J1254" s="11">
        <v>24.0</v>
      </c>
      <c r="K1254" s="13">
        <v>35316.0</v>
      </c>
      <c r="L1254" s="11">
        <f t="shared" si="119"/>
        <v>13</v>
      </c>
      <c r="M1254" s="11">
        <v>121099.0</v>
      </c>
      <c r="N1254" s="11">
        <v>1005.0</v>
      </c>
      <c r="P1254" s="11">
        <v>270.0</v>
      </c>
      <c r="Q1254" s="32">
        <v>312.0</v>
      </c>
      <c r="R1254" s="22">
        <v>0.0</v>
      </c>
      <c r="S1254">
        <f t="shared" si="1"/>
        <v>1995</v>
      </c>
      <c r="T1254">
        <f t="shared" si="2"/>
        <v>8</v>
      </c>
      <c r="AF1254" s="18"/>
      <c r="AG1254" s="19"/>
      <c r="AL1254" s="18"/>
      <c r="AM1254" s="19"/>
    </row>
    <row r="1255">
      <c r="A1255" s="4" t="s">
        <v>2618</v>
      </c>
      <c r="B1255" s="10">
        <v>34873.0</v>
      </c>
      <c r="C1255" s="11" t="s">
        <v>156</v>
      </c>
      <c r="D1255" s="11" t="s">
        <v>51</v>
      </c>
      <c r="E1255" s="14" t="s">
        <v>52</v>
      </c>
      <c r="F1255" s="11" t="s">
        <v>53</v>
      </c>
      <c r="G1255" s="14" t="s">
        <v>54</v>
      </c>
      <c r="H1255" s="11" t="s">
        <v>55</v>
      </c>
      <c r="I1255" s="11" t="s">
        <v>55</v>
      </c>
      <c r="J1255" s="11">
        <v>27.0</v>
      </c>
      <c r="K1255" s="13">
        <v>35260.0</v>
      </c>
      <c r="L1255" s="11">
        <f t="shared" si="119"/>
        <v>13</v>
      </c>
      <c r="M1255" s="11">
        <v>113793.0</v>
      </c>
      <c r="N1255" s="11">
        <v>1653.0</v>
      </c>
      <c r="O1255" s="4" t="s">
        <v>704</v>
      </c>
      <c r="P1255" s="11">
        <v>259.0</v>
      </c>
      <c r="Q1255" s="15">
        <v>790.667</v>
      </c>
      <c r="R1255" s="22">
        <v>0.0</v>
      </c>
      <c r="S1255">
        <f t="shared" si="1"/>
        <v>1995</v>
      </c>
      <c r="T1255">
        <f t="shared" si="2"/>
        <v>6</v>
      </c>
      <c r="AF1255" s="18"/>
      <c r="AG1255" s="19"/>
      <c r="AL1255" s="18"/>
      <c r="AM1255" s="19"/>
    </row>
    <row r="1256">
      <c r="A1256" s="4" t="s">
        <v>2620</v>
      </c>
      <c r="B1256" s="10">
        <v>34866.0</v>
      </c>
      <c r="C1256" s="11" t="s">
        <v>97</v>
      </c>
      <c r="D1256" s="11" t="s">
        <v>51</v>
      </c>
      <c r="E1256" s="14" t="s">
        <v>52</v>
      </c>
      <c r="F1256" s="11" t="s">
        <v>53</v>
      </c>
      <c r="G1256" s="14" t="s">
        <v>54</v>
      </c>
      <c r="H1256" s="11" t="s">
        <v>153</v>
      </c>
      <c r="I1256" s="11"/>
      <c r="J1256" s="11">
        <v>24.0</v>
      </c>
      <c r="K1256" s="13">
        <v>35524.0</v>
      </c>
      <c r="L1256" s="11">
        <f t="shared" si="119"/>
        <v>22</v>
      </c>
      <c r="M1256" s="11">
        <v>116853.0</v>
      </c>
      <c r="N1256" s="11">
        <v>829.0</v>
      </c>
      <c r="O1256" s="4" t="s">
        <v>59</v>
      </c>
      <c r="P1256" s="11">
        <v>345.0</v>
      </c>
      <c r="Q1256" s="32">
        <v>526.3330000000001</v>
      </c>
      <c r="R1256" s="22">
        <v>0.0</v>
      </c>
      <c r="S1256">
        <f t="shared" si="1"/>
        <v>1995</v>
      </c>
      <c r="T1256">
        <f t="shared" si="2"/>
        <v>6</v>
      </c>
      <c r="AF1256" s="18"/>
      <c r="AG1256" s="19"/>
      <c r="AL1256" s="18"/>
      <c r="AM1256" s="19"/>
    </row>
    <row r="1257">
      <c r="A1257" s="4" t="s">
        <v>2621</v>
      </c>
      <c r="B1257" s="10">
        <v>34822.0</v>
      </c>
      <c r="C1257" s="11" t="s">
        <v>331</v>
      </c>
      <c r="D1257" s="11" t="s">
        <v>51</v>
      </c>
      <c r="E1257" s="14" t="s">
        <v>52</v>
      </c>
      <c r="F1257" s="11" t="s">
        <v>53</v>
      </c>
      <c r="G1257" s="14" t="s">
        <v>54</v>
      </c>
      <c r="H1257" s="11" t="s">
        <v>204</v>
      </c>
      <c r="I1257" s="11" t="s">
        <v>2622</v>
      </c>
      <c r="J1257" s="11">
        <v>32.0</v>
      </c>
      <c r="K1257" s="13"/>
      <c r="L1257" s="11"/>
      <c r="M1257" s="11">
        <v>115583.0</v>
      </c>
      <c r="N1257" s="11">
        <v>1005469.0</v>
      </c>
      <c r="O1257" s="4" t="s">
        <v>704</v>
      </c>
      <c r="P1257" s="11">
        <v>0.0</v>
      </c>
      <c r="Q1257" s="32">
        <v>0.0</v>
      </c>
      <c r="R1257" s="22">
        <v>0.0</v>
      </c>
      <c r="S1257">
        <f t="shared" si="1"/>
        <v>1995</v>
      </c>
      <c r="T1257">
        <f t="shared" si="2"/>
        <v>5</v>
      </c>
      <c r="AF1257" s="18"/>
      <c r="AG1257" s="19"/>
      <c r="AL1257" s="18"/>
      <c r="AM1257" s="19"/>
    </row>
    <row r="1258">
      <c r="A1258" s="4" t="s">
        <v>377</v>
      </c>
      <c r="B1258" s="10">
        <v>34772.0</v>
      </c>
      <c r="C1258" s="11" t="s">
        <v>81</v>
      </c>
      <c r="D1258" s="11" t="s">
        <v>51</v>
      </c>
      <c r="E1258" s="14" t="s">
        <v>52</v>
      </c>
      <c r="F1258" s="11" t="s">
        <v>53</v>
      </c>
      <c r="G1258" s="14" t="s">
        <v>54</v>
      </c>
      <c r="H1258" s="11" t="s">
        <v>250</v>
      </c>
      <c r="I1258" s="11" t="s">
        <v>371</v>
      </c>
      <c r="J1258" s="11">
        <v>23.0</v>
      </c>
      <c r="K1258" s="13">
        <v>35273.0</v>
      </c>
      <c r="L1258" s="11">
        <f>ROUND(((K1258-B1258)/365)*12)</f>
        <v>16</v>
      </c>
      <c r="M1258" s="11">
        <v>113554.0</v>
      </c>
      <c r="N1258" s="11">
        <v>647.0</v>
      </c>
      <c r="O1258" s="4" t="s">
        <v>2252</v>
      </c>
      <c r="P1258" s="11">
        <v>177.0</v>
      </c>
      <c r="Q1258" s="15">
        <v>732.667</v>
      </c>
      <c r="R1258" s="22">
        <v>0.0</v>
      </c>
      <c r="S1258">
        <f t="shared" si="1"/>
        <v>1995</v>
      </c>
      <c r="T1258">
        <f t="shared" si="2"/>
        <v>3</v>
      </c>
      <c r="AF1258" s="18"/>
      <c r="AG1258" s="19"/>
      <c r="AL1258" s="18"/>
      <c r="AM1258" s="19"/>
    </row>
    <row r="1259">
      <c r="A1259" s="4" t="s">
        <v>2623</v>
      </c>
      <c r="B1259" s="10">
        <v>34700.0</v>
      </c>
      <c r="C1259" s="11" t="s">
        <v>49</v>
      </c>
      <c r="D1259" s="11" t="s">
        <v>51</v>
      </c>
      <c r="E1259" s="11" t="s">
        <v>1248</v>
      </c>
      <c r="F1259" s="11" t="s">
        <v>53</v>
      </c>
      <c r="G1259" s="11" t="s">
        <v>172</v>
      </c>
      <c r="H1259" s="11"/>
      <c r="I1259" s="11"/>
      <c r="J1259" s="11">
        <v>24.0</v>
      </c>
      <c r="K1259" s="13">
        <v>35175.0</v>
      </c>
      <c r="L1259" s="14"/>
      <c r="M1259" s="11">
        <v>117922.0</v>
      </c>
      <c r="N1259" s="11">
        <v>695.0</v>
      </c>
      <c r="P1259" s="11">
        <v>627.0</v>
      </c>
      <c r="Q1259" s="15">
        <v>1482.0</v>
      </c>
      <c r="R1259" s="22">
        <v>0.0</v>
      </c>
      <c r="S1259">
        <f t="shared" si="1"/>
        <v>1995</v>
      </c>
      <c r="T1259">
        <f t="shared" si="2"/>
        <v>1</v>
      </c>
      <c r="AF1259" s="18"/>
      <c r="AG1259" s="19"/>
      <c r="AL1259" s="18"/>
      <c r="AM1259" s="19"/>
    </row>
    <row r="1260">
      <c r="A1260" s="4" t="s">
        <v>1043</v>
      </c>
      <c r="B1260" s="10">
        <v>34700.0</v>
      </c>
      <c r="C1260" s="11" t="s">
        <v>109</v>
      </c>
      <c r="D1260" s="11" t="s">
        <v>75</v>
      </c>
      <c r="E1260" s="22" t="s">
        <v>160</v>
      </c>
      <c r="F1260" s="11" t="s">
        <v>53</v>
      </c>
      <c r="G1260" s="14" t="s">
        <v>54</v>
      </c>
      <c r="H1260" s="11" t="s">
        <v>305</v>
      </c>
      <c r="I1260" s="11" t="s">
        <v>743</v>
      </c>
      <c r="J1260" s="11">
        <v>22.0</v>
      </c>
      <c r="K1260" s="13">
        <v>35065.0</v>
      </c>
      <c r="L1260" s="14"/>
      <c r="M1260" s="11">
        <v>134341.0</v>
      </c>
      <c r="N1260" s="11">
        <v>890.0</v>
      </c>
      <c r="P1260" s="11">
        <v>1259.0</v>
      </c>
      <c r="Q1260" s="15">
        <v>4490.0</v>
      </c>
      <c r="R1260" s="22">
        <v>0.0</v>
      </c>
      <c r="S1260">
        <f t="shared" si="1"/>
        <v>1995</v>
      </c>
      <c r="T1260">
        <f t="shared" si="2"/>
        <v>1</v>
      </c>
      <c r="AF1260" s="18"/>
      <c r="AG1260" s="19"/>
      <c r="AL1260" s="18"/>
      <c r="AM1260" s="19"/>
    </row>
    <row r="1261">
      <c r="A1261" s="4" t="s">
        <v>2624</v>
      </c>
      <c r="B1261" s="10">
        <v>34700.0</v>
      </c>
      <c r="C1261" s="11" t="s">
        <v>125</v>
      </c>
      <c r="D1261" s="11" t="s">
        <v>151</v>
      </c>
      <c r="E1261" s="14" t="s">
        <v>52</v>
      </c>
      <c r="F1261" s="11" t="s">
        <v>53</v>
      </c>
      <c r="G1261" s="22" t="s">
        <v>735</v>
      </c>
      <c r="H1261" s="14"/>
      <c r="I1261" s="14"/>
      <c r="J1261" s="11">
        <v>27.0</v>
      </c>
      <c r="K1261" s="13">
        <v>39083.0</v>
      </c>
      <c r="L1261" s="14"/>
      <c r="M1261" s="11">
        <v>506555.0</v>
      </c>
      <c r="N1261" s="11">
        <v>7782.0</v>
      </c>
      <c r="P1261" s="11">
        <v>19.0</v>
      </c>
      <c r="Q1261" s="15">
        <v>21.0</v>
      </c>
      <c r="R1261" s="22">
        <v>0.0</v>
      </c>
      <c r="S1261">
        <f t="shared" si="1"/>
        <v>1995</v>
      </c>
      <c r="T1261">
        <f t="shared" si="2"/>
        <v>1</v>
      </c>
      <c r="AF1261" s="18"/>
      <c r="AG1261" s="19"/>
      <c r="AL1261" s="18"/>
      <c r="AM1261" s="19"/>
    </row>
    <row r="1262">
      <c r="A1262" s="4" t="s">
        <v>2625</v>
      </c>
      <c r="B1262" s="10">
        <v>34561.0</v>
      </c>
      <c r="C1262" s="11" t="s">
        <v>350</v>
      </c>
      <c r="D1262" s="11" t="s">
        <v>51</v>
      </c>
      <c r="E1262" s="11" t="s">
        <v>52</v>
      </c>
      <c r="F1262" s="11" t="s">
        <v>53</v>
      </c>
      <c r="G1262" s="11" t="s">
        <v>54</v>
      </c>
      <c r="H1262" s="11" t="s">
        <v>157</v>
      </c>
      <c r="I1262" s="11" t="s">
        <v>226</v>
      </c>
      <c r="J1262" s="11">
        <v>28.0</v>
      </c>
      <c r="K1262" s="13">
        <v>34863.0</v>
      </c>
      <c r="L1262" s="11">
        <f t="shared" ref="L1262:L1265" si="120">ROUND(((K1262-B1262)/365)*12)</f>
        <v>10</v>
      </c>
      <c r="M1262" s="11">
        <v>124685.0</v>
      </c>
      <c r="N1262" s="11">
        <v>1014362.0</v>
      </c>
      <c r="O1262" s="4" t="s">
        <v>2626</v>
      </c>
      <c r="P1262" s="11">
        <v>60.0</v>
      </c>
      <c r="Q1262" s="15">
        <v>74.667</v>
      </c>
      <c r="R1262" s="22">
        <v>0.0</v>
      </c>
      <c r="S1262">
        <f t="shared" si="1"/>
        <v>1994</v>
      </c>
      <c r="T1262">
        <f t="shared" si="2"/>
        <v>8</v>
      </c>
      <c r="AF1262" s="18"/>
      <c r="AG1262" s="19"/>
      <c r="AL1262" s="18"/>
      <c r="AM1262" s="19"/>
    </row>
    <row r="1263">
      <c r="A1263" s="4" t="s">
        <v>2627</v>
      </c>
      <c r="B1263" s="10">
        <v>34486.0</v>
      </c>
      <c r="C1263" s="11" t="s">
        <v>114</v>
      </c>
      <c r="D1263" s="11" t="s">
        <v>51</v>
      </c>
      <c r="E1263" s="22" t="s">
        <v>160</v>
      </c>
      <c r="F1263" s="11" t="s">
        <v>53</v>
      </c>
      <c r="G1263" s="14" t="s">
        <v>54</v>
      </c>
      <c r="H1263" s="11" t="s">
        <v>126</v>
      </c>
      <c r="I1263" s="11"/>
      <c r="J1263" s="11">
        <v>29.0</v>
      </c>
      <c r="K1263" s="13">
        <v>34815.0</v>
      </c>
      <c r="L1263" s="11">
        <f t="shared" si="120"/>
        <v>11</v>
      </c>
      <c r="M1263" s="11">
        <v>115378.0</v>
      </c>
      <c r="N1263" s="11">
        <v>1005272.0</v>
      </c>
      <c r="O1263" s="4" t="s">
        <v>704</v>
      </c>
      <c r="P1263" s="11">
        <v>774.0</v>
      </c>
      <c r="Q1263" s="32">
        <v>3184.0</v>
      </c>
      <c r="R1263" s="22">
        <v>0.0</v>
      </c>
      <c r="S1263">
        <f t="shared" si="1"/>
        <v>1994</v>
      </c>
      <c r="T1263">
        <f t="shared" si="2"/>
        <v>6</v>
      </c>
      <c r="AF1263" s="18"/>
      <c r="AG1263" s="19"/>
      <c r="AL1263" s="18"/>
      <c r="AM1263" s="19"/>
    </row>
    <row r="1264">
      <c r="A1264" s="4" t="s">
        <v>2628</v>
      </c>
      <c r="B1264" s="10">
        <v>34471.0</v>
      </c>
      <c r="C1264" s="11" t="s">
        <v>133</v>
      </c>
      <c r="D1264" s="11" t="s">
        <v>51</v>
      </c>
      <c r="E1264" s="14" t="s">
        <v>52</v>
      </c>
      <c r="F1264" s="11" t="s">
        <v>76</v>
      </c>
      <c r="G1264" s="14" t="s">
        <v>54</v>
      </c>
      <c r="H1264" s="11" t="s">
        <v>153</v>
      </c>
      <c r="I1264" s="11" t="s">
        <v>2265</v>
      </c>
      <c r="J1264" s="11">
        <v>34.0</v>
      </c>
      <c r="K1264" s="13">
        <v>34937.0</v>
      </c>
      <c r="L1264" s="11">
        <f t="shared" si="120"/>
        <v>15</v>
      </c>
      <c r="M1264" s="11">
        <v>123732.0</v>
      </c>
      <c r="N1264" s="11">
        <v>1013435.0</v>
      </c>
      <c r="O1264" s="4" t="s">
        <v>2252</v>
      </c>
      <c r="P1264" s="11">
        <v>9.0</v>
      </c>
      <c r="Q1264" s="15">
        <v>44.667</v>
      </c>
      <c r="R1264" s="22">
        <v>0.0</v>
      </c>
      <c r="S1264">
        <f t="shared" si="1"/>
        <v>1994</v>
      </c>
      <c r="T1264">
        <f t="shared" si="2"/>
        <v>5</v>
      </c>
      <c r="AF1264" s="18"/>
      <c r="AG1264" s="19"/>
      <c r="AL1264" s="18"/>
      <c r="AM1264" s="19"/>
    </row>
    <row r="1265">
      <c r="A1265" s="4" t="s">
        <v>2629</v>
      </c>
      <c r="B1265" s="10">
        <v>34466.0</v>
      </c>
      <c r="C1265" s="11" t="s">
        <v>49</v>
      </c>
      <c r="D1265" s="11" t="s">
        <v>51</v>
      </c>
      <c r="E1265" s="14" t="s">
        <v>52</v>
      </c>
      <c r="F1265" s="11" t="s">
        <v>53</v>
      </c>
      <c r="G1265" s="14" t="s">
        <v>54</v>
      </c>
      <c r="H1265" s="11" t="s">
        <v>250</v>
      </c>
      <c r="I1265" s="11" t="s">
        <v>2630</v>
      </c>
      <c r="J1265" s="11">
        <v>26.0</v>
      </c>
      <c r="K1265" s="13">
        <v>34945.0</v>
      </c>
      <c r="L1265" s="11">
        <f t="shared" si="120"/>
        <v>16</v>
      </c>
      <c r="M1265" s="11">
        <v>124580.0</v>
      </c>
      <c r="N1265" s="11">
        <v>1139.0</v>
      </c>
      <c r="P1265" s="11">
        <v>654.0</v>
      </c>
      <c r="Q1265" s="32">
        <v>858.3330000000001</v>
      </c>
      <c r="R1265" s="22">
        <v>0.0</v>
      </c>
      <c r="S1265">
        <f t="shared" si="1"/>
        <v>1994</v>
      </c>
      <c r="T1265">
        <f t="shared" si="2"/>
        <v>5</v>
      </c>
      <c r="AF1265" s="18"/>
      <c r="AG1265" s="19"/>
      <c r="AL1265" s="18"/>
      <c r="AM1265" s="19"/>
    </row>
    <row r="1266">
      <c r="A1266" s="4" t="s">
        <v>2631</v>
      </c>
      <c r="B1266" s="10">
        <v>34457.0</v>
      </c>
      <c r="C1266" s="11" t="s">
        <v>108</v>
      </c>
      <c r="D1266" s="11" t="s">
        <v>51</v>
      </c>
      <c r="E1266" s="11" t="s">
        <v>52</v>
      </c>
      <c r="F1266" s="11" t="s">
        <v>76</v>
      </c>
      <c r="G1266" s="11" t="s">
        <v>54</v>
      </c>
      <c r="H1266" s="11" t="s">
        <v>157</v>
      </c>
      <c r="I1266" s="11" t="s">
        <v>2632</v>
      </c>
      <c r="J1266" s="11">
        <v>29.0</v>
      </c>
      <c r="K1266" s="13"/>
      <c r="L1266" s="14"/>
      <c r="M1266" s="11">
        <v>120293.0</v>
      </c>
      <c r="N1266" s="11">
        <v>1010067.0</v>
      </c>
      <c r="O1266" s="4" t="s">
        <v>704</v>
      </c>
      <c r="P1266" s="11">
        <v>0.0</v>
      </c>
      <c r="Q1266" s="32">
        <v>0.0</v>
      </c>
      <c r="R1266" s="22">
        <v>0.0</v>
      </c>
      <c r="S1266">
        <f t="shared" si="1"/>
        <v>1994</v>
      </c>
      <c r="T1266">
        <f t="shared" si="2"/>
        <v>5</v>
      </c>
      <c r="AF1266" s="18"/>
      <c r="AG1266" s="19"/>
      <c r="AL1266" s="18"/>
      <c r="AM1266" s="19"/>
    </row>
    <row r="1267">
      <c r="A1267" s="4" t="s">
        <v>2633</v>
      </c>
      <c r="B1267" s="10">
        <v>34335.0</v>
      </c>
      <c r="C1267" s="11" t="s">
        <v>382</v>
      </c>
      <c r="D1267" s="11" t="s">
        <v>51</v>
      </c>
      <c r="E1267" s="11" t="s">
        <v>52</v>
      </c>
      <c r="F1267" s="11" t="s">
        <v>53</v>
      </c>
      <c r="G1267" s="11" t="s">
        <v>582</v>
      </c>
      <c r="H1267" s="11"/>
      <c r="I1267" s="11"/>
      <c r="J1267" s="11">
        <v>28.0</v>
      </c>
      <c r="K1267" s="13">
        <v>34868.0</v>
      </c>
      <c r="L1267" s="14"/>
      <c r="M1267" s="11">
        <v>121117.0</v>
      </c>
      <c r="N1267" s="11">
        <v>72.0</v>
      </c>
      <c r="P1267" s="11">
        <v>150.0</v>
      </c>
      <c r="Q1267" s="32">
        <v>807.3330000000001</v>
      </c>
      <c r="R1267" s="22">
        <v>0.0</v>
      </c>
      <c r="S1267">
        <f t="shared" si="1"/>
        <v>1994</v>
      </c>
      <c r="T1267">
        <f t="shared" si="2"/>
        <v>1</v>
      </c>
      <c r="AF1267" s="18"/>
      <c r="AG1267" s="19"/>
      <c r="AL1267" s="18"/>
      <c r="AM1267" s="19"/>
    </row>
    <row r="1268">
      <c r="A1268" s="4" t="s">
        <v>2634</v>
      </c>
      <c r="B1268" s="10">
        <v>34335.0</v>
      </c>
      <c r="C1268" s="11" t="s">
        <v>259</v>
      </c>
      <c r="D1268" s="11" t="s">
        <v>124</v>
      </c>
      <c r="E1268" s="14" t="s">
        <v>52</v>
      </c>
      <c r="F1268" s="11" t="s">
        <v>76</v>
      </c>
      <c r="G1268" s="14" t="s">
        <v>54</v>
      </c>
      <c r="H1268" s="11" t="s">
        <v>843</v>
      </c>
      <c r="I1268" s="11" t="s">
        <v>2635</v>
      </c>
      <c r="J1268" s="11">
        <v>22.0</v>
      </c>
      <c r="K1268" s="13">
        <v>35065.0</v>
      </c>
      <c r="L1268" s="14"/>
      <c r="M1268" s="11">
        <v>113961.0</v>
      </c>
      <c r="N1268" s="11">
        <v>1300.0</v>
      </c>
      <c r="P1268" s="11">
        <v>617.0</v>
      </c>
      <c r="Q1268" s="15">
        <v>649.333</v>
      </c>
      <c r="R1268" s="22">
        <v>0.0</v>
      </c>
      <c r="S1268">
        <f t="shared" si="1"/>
        <v>1994</v>
      </c>
      <c r="T1268">
        <f t="shared" si="2"/>
        <v>1</v>
      </c>
      <c r="AF1268" s="18"/>
      <c r="AG1268" s="19"/>
      <c r="AL1268" s="18"/>
      <c r="AM1268" s="19"/>
    </row>
    <row r="1269">
      <c r="A1269" s="4" t="s">
        <v>2636</v>
      </c>
      <c r="B1269" s="10">
        <v>34335.0</v>
      </c>
      <c r="C1269" s="11" t="s">
        <v>108</v>
      </c>
      <c r="D1269" s="11" t="s">
        <v>151</v>
      </c>
      <c r="E1269" s="14" t="s">
        <v>52</v>
      </c>
      <c r="F1269" s="11" t="s">
        <v>76</v>
      </c>
      <c r="G1269" s="14" t="s">
        <v>54</v>
      </c>
      <c r="H1269" s="11" t="s">
        <v>112</v>
      </c>
      <c r="I1269" s="11" t="s">
        <v>668</v>
      </c>
      <c r="J1269" s="11">
        <v>20.0</v>
      </c>
      <c r="K1269" s="13">
        <v>35065.0</v>
      </c>
      <c r="L1269" s="14"/>
      <c r="M1269" s="11">
        <v>150011.0</v>
      </c>
      <c r="N1269" s="11">
        <v>33.0</v>
      </c>
      <c r="P1269" s="11">
        <v>577.0</v>
      </c>
      <c r="Q1269" s="15">
        <v>972.0</v>
      </c>
      <c r="R1269" s="22">
        <v>0.0</v>
      </c>
      <c r="S1269">
        <f t="shared" si="1"/>
        <v>1994</v>
      </c>
      <c r="T1269">
        <f t="shared" si="2"/>
        <v>1</v>
      </c>
      <c r="AF1269" s="18"/>
      <c r="AG1269" s="19"/>
      <c r="AL1269" s="18"/>
      <c r="AM1269" s="19"/>
    </row>
    <row r="1270">
      <c r="A1270" s="4" t="s">
        <v>2637</v>
      </c>
      <c r="B1270" s="10">
        <v>34335.0</v>
      </c>
      <c r="C1270" s="11" t="s">
        <v>711</v>
      </c>
      <c r="D1270" s="11" t="s">
        <v>75</v>
      </c>
      <c r="E1270" s="11" t="s">
        <v>52</v>
      </c>
      <c r="F1270" s="11" t="s">
        <v>76</v>
      </c>
      <c r="G1270" s="11" t="s">
        <v>54</v>
      </c>
      <c r="H1270" s="11" t="s">
        <v>92</v>
      </c>
      <c r="I1270" s="11" t="s">
        <v>590</v>
      </c>
      <c r="J1270" s="11">
        <v>25.0</v>
      </c>
      <c r="K1270" s="13">
        <v>34700.0</v>
      </c>
      <c r="L1270" s="14"/>
      <c r="M1270" s="11">
        <v>114230.0</v>
      </c>
      <c r="N1270" s="11">
        <v>1004148.0</v>
      </c>
      <c r="P1270" s="11">
        <v>23.0</v>
      </c>
      <c r="Q1270" s="15">
        <v>88.0</v>
      </c>
      <c r="R1270" s="22">
        <v>0.0</v>
      </c>
      <c r="S1270">
        <f t="shared" si="1"/>
        <v>1994</v>
      </c>
      <c r="T1270">
        <f t="shared" si="2"/>
        <v>1</v>
      </c>
      <c r="AF1270" s="18"/>
      <c r="AG1270" s="19"/>
      <c r="AL1270" s="18"/>
      <c r="AM1270" s="19"/>
    </row>
    <row r="1271">
      <c r="A1271" s="4" t="s">
        <v>2638</v>
      </c>
      <c r="B1271" s="10">
        <v>34304.0</v>
      </c>
      <c r="C1271" s="11" t="s">
        <v>711</v>
      </c>
      <c r="D1271" s="11" t="s">
        <v>75</v>
      </c>
      <c r="E1271" s="14" t="s">
        <v>52</v>
      </c>
      <c r="F1271" s="11" t="s">
        <v>53</v>
      </c>
      <c r="G1271" s="14" t="s">
        <v>54</v>
      </c>
      <c r="H1271" s="11" t="s">
        <v>244</v>
      </c>
      <c r="I1271" s="11" t="s">
        <v>420</v>
      </c>
      <c r="J1271" s="11">
        <v>24.0</v>
      </c>
      <c r="K1271" s="13">
        <v>34700.0</v>
      </c>
      <c r="L1271" s="14"/>
      <c r="M1271" s="11">
        <v>118950.0</v>
      </c>
      <c r="N1271" s="11">
        <v>1008765.0</v>
      </c>
      <c r="P1271" s="11">
        <v>41.0</v>
      </c>
      <c r="Q1271" s="15">
        <v>164.667</v>
      </c>
      <c r="R1271" s="22">
        <v>0.0</v>
      </c>
      <c r="S1271">
        <f t="shared" si="1"/>
        <v>1993</v>
      </c>
      <c r="T1271">
        <f t="shared" si="2"/>
        <v>12</v>
      </c>
      <c r="AF1271" s="18"/>
      <c r="AG1271" s="19"/>
      <c r="AL1271" s="18"/>
      <c r="AM1271" s="19"/>
    </row>
    <row r="1272">
      <c r="A1272" s="4" t="s">
        <v>452</v>
      </c>
      <c r="B1272" s="10">
        <v>34191.0</v>
      </c>
      <c r="C1272" s="11" t="s">
        <v>74</v>
      </c>
      <c r="D1272" s="11" t="s">
        <v>51</v>
      </c>
      <c r="E1272" s="11" t="s">
        <v>872</v>
      </c>
      <c r="F1272" s="11" t="s">
        <v>53</v>
      </c>
      <c r="G1272" s="11" t="s">
        <v>54</v>
      </c>
      <c r="H1272" s="11" t="s">
        <v>92</v>
      </c>
      <c r="I1272" s="11"/>
      <c r="J1272" s="11">
        <v>23.0</v>
      </c>
      <c r="K1272" s="13">
        <v>34429.0</v>
      </c>
      <c r="L1272" s="11">
        <f t="shared" ref="L1272:L1276" si="121">ROUND(((K1272-B1272)/365)*12)</f>
        <v>8</v>
      </c>
      <c r="M1272" s="11">
        <v>112461.0</v>
      </c>
      <c r="N1272" s="11">
        <v>51.0</v>
      </c>
      <c r="O1272" s="4"/>
      <c r="P1272" s="11">
        <v>870.0</v>
      </c>
      <c r="Q1272" s="32">
        <v>2673.0</v>
      </c>
      <c r="R1272" s="22">
        <v>0.0</v>
      </c>
      <c r="S1272">
        <f t="shared" si="1"/>
        <v>1993</v>
      </c>
      <c r="T1272">
        <f t="shared" si="2"/>
        <v>8</v>
      </c>
      <c r="AF1272" s="18"/>
      <c r="AG1272" s="19"/>
      <c r="AL1272" s="18"/>
      <c r="AM1272" s="19"/>
    </row>
    <row r="1273">
      <c r="A1273" s="4" t="s">
        <v>2639</v>
      </c>
      <c r="B1273" s="10">
        <v>34162.0</v>
      </c>
      <c r="C1273" s="11" t="s">
        <v>90</v>
      </c>
      <c r="D1273" s="11" t="s">
        <v>51</v>
      </c>
      <c r="E1273" s="14" t="s">
        <v>52</v>
      </c>
      <c r="F1273" s="11" t="s">
        <v>76</v>
      </c>
      <c r="G1273" s="14" t="s">
        <v>54</v>
      </c>
      <c r="H1273" s="11" t="s">
        <v>157</v>
      </c>
      <c r="I1273" s="11" t="s">
        <v>1122</v>
      </c>
      <c r="J1273" s="11">
        <v>30.0</v>
      </c>
      <c r="K1273" s="13">
        <v>34815.0</v>
      </c>
      <c r="L1273" s="11">
        <f t="shared" si="121"/>
        <v>21</v>
      </c>
      <c r="M1273" s="11">
        <v>112213.0</v>
      </c>
      <c r="N1273" s="11">
        <v>1002160.0</v>
      </c>
      <c r="O1273" s="4" t="s">
        <v>2252</v>
      </c>
      <c r="P1273" s="11">
        <v>333.0</v>
      </c>
      <c r="Q1273" s="32">
        <v>364.0</v>
      </c>
      <c r="R1273" s="22">
        <v>0.0</v>
      </c>
      <c r="S1273">
        <f t="shared" si="1"/>
        <v>1993</v>
      </c>
      <c r="T1273">
        <f t="shared" si="2"/>
        <v>7</v>
      </c>
      <c r="AF1273" s="18"/>
      <c r="AG1273" s="19"/>
      <c r="AL1273" s="18"/>
      <c r="AM1273" s="19"/>
    </row>
    <row r="1274">
      <c r="A1274" s="4" t="s">
        <v>2640</v>
      </c>
      <c r="B1274" s="10">
        <v>34159.0</v>
      </c>
      <c r="C1274" s="11" t="s">
        <v>179</v>
      </c>
      <c r="D1274" s="11" t="s">
        <v>51</v>
      </c>
      <c r="E1274" s="22" t="s">
        <v>160</v>
      </c>
      <c r="F1274" s="11" t="s">
        <v>53</v>
      </c>
      <c r="G1274" s="11" t="s">
        <v>299</v>
      </c>
      <c r="H1274" s="14"/>
      <c r="I1274" s="14"/>
      <c r="J1274" s="11">
        <v>28.0</v>
      </c>
      <c r="K1274" s="13">
        <v>34428.0</v>
      </c>
      <c r="L1274" s="11">
        <f t="shared" si="121"/>
        <v>9</v>
      </c>
      <c r="M1274" s="11">
        <v>111962.0</v>
      </c>
      <c r="N1274" s="11">
        <v>1001918.0</v>
      </c>
      <c r="O1274" s="4" t="s">
        <v>2252</v>
      </c>
      <c r="P1274" s="11">
        <v>855.0</v>
      </c>
      <c r="Q1274" s="32">
        <v>3700.0</v>
      </c>
      <c r="R1274" s="22">
        <v>0.0</v>
      </c>
      <c r="S1274">
        <f t="shared" si="1"/>
        <v>1993</v>
      </c>
      <c r="T1274">
        <f t="shared" si="2"/>
        <v>7</v>
      </c>
      <c r="AF1274" s="18"/>
      <c r="AG1274" s="19"/>
      <c r="AL1274" s="18"/>
      <c r="AM1274" s="19"/>
    </row>
    <row r="1275">
      <c r="A1275" s="4" t="s">
        <v>2641</v>
      </c>
      <c r="B1275" s="10">
        <v>34158.0</v>
      </c>
      <c r="C1275" s="11" t="s">
        <v>108</v>
      </c>
      <c r="D1275" s="11" t="s">
        <v>51</v>
      </c>
      <c r="E1275" s="11" t="s">
        <v>52</v>
      </c>
      <c r="F1275" s="11" t="s">
        <v>53</v>
      </c>
      <c r="G1275" s="11" t="s">
        <v>172</v>
      </c>
      <c r="H1275" s="11"/>
      <c r="I1275" s="11"/>
      <c r="J1275" s="11">
        <v>24.0</v>
      </c>
      <c r="K1275" s="13">
        <v>35157.0</v>
      </c>
      <c r="L1275" s="11">
        <f t="shared" si="121"/>
        <v>33</v>
      </c>
      <c r="M1275" s="11">
        <v>123620.0</v>
      </c>
      <c r="N1275" s="11">
        <v>1013331.0</v>
      </c>
      <c r="O1275" s="4" t="s">
        <v>704</v>
      </c>
      <c r="P1275" s="11">
        <v>31.0</v>
      </c>
      <c r="Q1275" s="32">
        <v>61.333000000000006</v>
      </c>
      <c r="R1275" s="22">
        <v>0.0</v>
      </c>
      <c r="S1275">
        <f t="shared" si="1"/>
        <v>1993</v>
      </c>
      <c r="T1275">
        <f t="shared" si="2"/>
        <v>7</v>
      </c>
      <c r="AF1275" s="18"/>
      <c r="AG1275" s="19"/>
      <c r="AL1275" s="18"/>
      <c r="AM1275" s="19"/>
    </row>
    <row r="1276">
      <c r="A1276" s="4" t="s">
        <v>2642</v>
      </c>
      <c r="B1276" s="10">
        <v>34060.0</v>
      </c>
      <c r="C1276" s="11" t="s">
        <v>159</v>
      </c>
      <c r="D1276" s="11" t="s">
        <v>51</v>
      </c>
      <c r="E1276" s="14" t="s">
        <v>52</v>
      </c>
      <c r="F1276" s="11" t="s">
        <v>53</v>
      </c>
      <c r="G1276" s="14" t="s">
        <v>54</v>
      </c>
      <c r="H1276" s="11" t="s">
        <v>112</v>
      </c>
      <c r="I1276" s="11" t="s">
        <v>2643</v>
      </c>
      <c r="J1276" s="11">
        <v>28.0</v>
      </c>
      <c r="K1276" s="13">
        <v>34479.0</v>
      </c>
      <c r="L1276" s="11">
        <f t="shared" si="121"/>
        <v>14</v>
      </c>
      <c r="M1276" s="11">
        <v>121244.0</v>
      </c>
      <c r="N1276" s="11">
        <v>1010998.0</v>
      </c>
      <c r="P1276" s="11">
        <v>101.0</v>
      </c>
      <c r="Q1276" s="15">
        <v>576.333</v>
      </c>
      <c r="R1276" s="22">
        <v>0.0</v>
      </c>
      <c r="S1276">
        <f t="shared" si="1"/>
        <v>1993</v>
      </c>
      <c r="T1276">
        <f t="shared" si="2"/>
        <v>4</v>
      </c>
      <c r="AF1276" s="18"/>
      <c r="AG1276" s="19"/>
      <c r="AL1276" s="18"/>
      <c r="AM1276" s="19"/>
    </row>
    <row r="1277">
      <c r="A1277" s="4" t="s">
        <v>2644</v>
      </c>
      <c r="B1277" s="10">
        <v>33970.0</v>
      </c>
      <c r="C1277" s="11" t="s">
        <v>74</v>
      </c>
      <c r="D1277" s="11" t="s">
        <v>51</v>
      </c>
      <c r="E1277" s="14" t="s">
        <v>52</v>
      </c>
      <c r="F1277" s="11" t="s">
        <v>76</v>
      </c>
      <c r="G1277" s="14" t="s">
        <v>54</v>
      </c>
      <c r="H1277" s="11" t="s">
        <v>597</v>
      </c>
      <c r="I1277" s="11"/>
      <c r="J1277" s="11">
        <v>25.0</v>
      </c>
      <c r="K1277" s="13">
        <v>35158.0</v>
      </c>
      <c r="L1277" s="14"/>
      <c r="M1277" s="11">
        <v>110118.0</v>
      </c>
      <c r="N1277" s="11">
        <v>1000115.0</v>
      </c>
      <c r="P1277" s="11">
        <v>190.0</v>
      </c>
      <c r="Q1277" s="15">
        <v>351.0</v>
      </c>
      <c r="R1277" s="22">
        <v>0.0</v>
      </c>
      <c r="S1277">
        <f t="shared" si="1"/>
        <v>1993</v>
      </c>
      <c r="T1277">
        <f t="shared" si="2"/>
        <v>1</v>
      </c>
      <c r="AF1277" s="18"/>
      <c r="AG1277" s="19"/>
      <c r="AL1277" s="18"/>
      <c r="AM1277" s="19"/>
    </row>
    <row r="1278">
      <c r="A1278" s="4" t="s">
        <v>2645</v>
      </c>
      <c r="B1278" s="10">
        <v>33909.0</v>
      </c>
      <c r="C1278" s="11" t="s">
        <v>103</v>
      </c>
      <c r="D1278" s="11" t="s">
        <v>82</v>
      </c>
      <c r="E1278" s="11" t="s">
        <v>52</v>
      </c>
      <c r="F1278" s="11" t="s">
        <v>53</v>
      </c>
      <c r="G1278" s="11" t="s">
        <v>54</v>
      </c>
      <c r="H1278" s="11" t="s">
        <v>316</v>
      </c>
      <c r="I1278" s="11" t="s">
        <v>2646</v>
      </c>
      <c r="J1278" s="11">
        <v>25.0</v>
      </c>
      <c r="K1278" s="13">
        <v>33970.0</v>
      </c>
      <c r="L1278" s="11"/>
      <c r="M1278" s="11">
        <v>124077.0</v>
      </c>
      <c r="N1278" s="11">
        <v>760.0</v>
      </c>
      <c r="P1278" s="11">
        <v>414.0</v>
      </c>
      <c r="Q1278" s="15">
        <v>635.667</v>
      </c>
      <c r="R1278" s="22">
        <v>0.0</v>
      </c>
      <c r="S1278">
        <f t="shared" si="1"/>
        <v>1992</v>
      </c>
      <c r="T1278">
        <f t="shared" si="2"/>
        <v>11</v>
      </c>
      <c r="AF1278" s="18"/>
      <c r="AG1278" s="19"/>
      <c r="AL1278" s="18"/>
      <c r="AM1278" s="19"/>
    </row>
    <row r="1279">
      <c r="A1279" s="4" t="s">
        <v>2647</v>
      </c>
      <c r="B1279" s="10">
        <v>33818.0</v>
      </c>
      <c r="C1279" s="11" t="s">
        <v>142</v>
      </c>
      <c r="D1279" s="11" t="s">
        <v>51</v>
      </c>
      <c r="E1279" s="14" t="s">
        <v>52</v>
      </c>
      <c r="F1279" s="11" t="s">
        <v>53</v>
      </c>
      <c r="G1279" s="14" t="s">
        <v>54</v>
      </c>
      <c r="H1279" s="11" t="s">
        <v>251</v>
      </c>
      <c r="I1279" s="11" t="s">
        <v>2648</v>
      </c>
      <c r="J1279" s="11">
        <v>32.0</v>
      </c>
      <c r="K1279" s="13">
        <v>34067.0</v>
      </c>
      <c r="L1279" s="11">
        <f t="shared" ref="L1279:L1280" si="122">ROUND(((K1279-B1279)/365)*12)</f>
        <v>8</v>
      </c>
      <c r="M1279" s="11">
        <v>110979.0</v>
      </c>
      <c r="N1279" s="11">
        <v>1000951.0</v>
      </c>
      <c r="P1279" s="11">
        <v>144.0</v>
      </c>
      <c r="Q1279" s="15">
        <v>303.667</v>
      </c>
      <c r="R1279" s="22">
        <v>0.0</v>
      </c>
      <c r="S1279">
        <f t="shared" si="1"/>
        <v>1992</v>
      </c>
      <c r="T1279">
        <f t="shared" si="2"/>
        <v>8</v>
      </c>
      <c r="AF1279" s="18"/>
      <c r="AG1279" s="19"/>
      <c r="AL1279" s="18"/>
      <c r="AM1279" s="19"/>
    </row>
    <row r="1280">
      <c r="A1280" s="4" t="s">
        <v>2649</v>
      </c>
      <c r="B1280" s="10">
        <v>33787.0</v>
      </c>
      <c r="C1280" s="11" t="s">
        <v>133</v>
      </c>
      <c r="D1280" s="11" t="s">
        <v>51</v>
      </c>
      <c r="E1280" s="11" t="s">
        <v>160</v>
      </c>
      <c r="F1280" s="11" t="s">
        <v>53</v>
      </c>
      <c r="G1280" s="11" t="s">
        <v>54</v>
      </c>
      <c r="H1280" s="11" t="s">
        <v>260</v>
      </c>
      <c r="I1280" s="11"/>
      <c r="J1280" s="11">
        <v>28.0</v>
      </c>
      <c r="K1280" s="13">
        <v>34064.0</v>
      </c>
      <c r="L1280" s="11">
        <f t="shared" si="122"/>
        <v>9</v>
      </c>
      <c r="M1280" s="11">
        <v>115108.0</v>
      </c>
      <c r="N1280" s="11">
        <v>1005006.0</v>
      </c>
      <c r="O1280" s="4"/>
      <c r="P1280" s="11">
        <v>438.0</v>
      </c>
      <c r="Q1280" s="32">
        <v>1820.0</v>
      </c>
      <c r="R1280" s="22">
        <v>0.0</v>
      </c>
      <c r="S1280">
        <f t="shared" si="1"/>
        <v>1992</v>
      </c>
      <c r="T1280">
        <f t="shared" si="2"/>
        <v>7</v>
      </c>
      <c r="AF1280" s="18"/>
      <c r="AG1280" s="19"/>
      <c r="AL1280" s="18"/>
      <c r="AM1280" s="19"/>
    </row>
    <row r="1281">
      <c r="A1281" s="4" t="s">
        <v>2650</v>
      </c>
      <c r="B1281" s="10">
        <v>33781.0</v>
      </c>
      <c r="C1281" s="11" t="s">
        <v>90</v>
      </c>
      <c r="D1281" s="11" t="s">
        <v>51</v>
      </c>
      <c r="E1281" s="14" t="s">
        <v>52</v>
      </c>
      <c r="F1281" s="11" t="s">
        <v>53</v>
      </c>
      <c r="G1281" s="14" t="s">
        <v>54</v>
      </c>
      <c r="H1281" s="11" t="s">
        <v>126</v>
      </c>
      <c r="I1281" s="11" t="s">
        <v>334</v>
      </c>
      <c r="J1281" s="11">
        <v>29.0</v>
      </c>
      <c r="K1281" s="14"/>
      <c r="L1281" s="14"/>
      <c r="M1281" s="11">
        <v>120230.0</v>
      </c>
      <c r="N1281" s="11">
        <v>1009999.0</v>
      </c>
      <c r="O1281" s="4" t="s">
        <v>2252</v>
      </c>
      <c r="P1281" s="11">
        <v>0.0</v>
      </c>
      <c r="Q1281" s="32">
        <v>0.0</v>
      </c>
      <c r="R1281" s="22">
        <v>0.0</v>
      </c>
      <c r="S1281">
        <f t="shared" si="1"/>
        <v>1992</v>
      </c>
      <c r="T1281">
        <f t="shared" si="2"/>
        <v>6</v>
      </c>
      <c r="AF1281" s="18"/>
      <c r="AG1281" s="19"/>
      <c r="AL1281" s="18"/>
      <c r="AM1281" s="19"/>
    </row>
    <row r="1282">
      <c r="A1282" s="120" t="s">
        <v>2651</v>
      </c>
      <c r="B1282" s="121">
        <v>33658.0</v>
      </c>
      <c r="C1282" s="122" t="s">
        <v>108</v>
      </c>
      <c r="D1282" s="122" t="s">
        <v>91</v>
      </c>
      <c r="E1282" s="122" t="s">
        <v>52</v>
      </c>
      <c r="F1282" s="122" t="s">
        <v>53</v>
      </c>
      <c r="G1282" s="122" t="s">
        <v>54</v>
      </c>
      <c r="H1282" s="122" t="s">
        <v>260</v>
      </c>
      <c r="I1282" s="122"/>
      <c r="J1282" s="122">
        <v>19.0</v>
      </c>
      <c r="K1282" s="123">
        <v>33970.0</v>
      </c>
      <c r="L1282" s="106"/>
      <c r="M1282" s="122"/>
      <c r="N1282" s="122"/>
      <c r="O1282" s="120" t="s">
        <v>704</v>
      </c>
      <c r="P1282" s="122">
        <v>0.0</v>
      </c>
      <c r="Q1282" s="124">
        <v>0.0</v>
      </c>
      <c r="R1282" s="106">
        <v>0.0</v>
      </c>
      <c r="S1282">
        <f t="shared" si="1"/>
        <v>1992</v>
      </c>
      <c r="T1282">
        <f t="shared" si="2"/>
        <v>2</v>
      </c>
      <c r="AF1282" s="125"/>
      <c r="AG1282" s="126"/>
      <c r="AH1282" s="127"/>
      <c r="AI1282" s="127"/>
      <c r="AJ1282" s="127"/>
      <c r="AK1282" s="127"/>
      <c r="AL1282" s="125"/>
      <c r="AM1282" s="126"/>
      <c r="AN1282" s="127"/>
      <c r="AO1282" s="127"/>
    </row>
    <row r="1283">
      <c r="A1283" s="120" t="s">
        <v>2652</v>
      </c>
      <c r="B1283" s="121">
        <v>33610.0</v>
      </c>
      <c r="C1283" s="122" t="s">
        <v>331</v>
      </c>
      <c r="D1283" s="122" t="s">
        <v>170</v>
      </c>
      <c r="E1283" s="122" t="s">
        <v>52</v>
      </c>
      <c r="F1283" s="122" t="s">
        <v>53</v>
      </c>
      <c r="G1283" s="122" t="s">
        <v>54</v>
      </c>
      <c r="H1283" s="122" t="s">
        <v>92</v>
      </c>
      <c r="I1283" s="122" t="s">
        <v>682</v>
      </c>
      <c r="J1283" s="122">
        <v>20.0</v>
      </c>
      <c r="K1283" s="123">
        <v>34700.0</v>
      </c>
      <c r="L1283" s="106"/>
      <c r="M1283" s="122"/>
      <c r="N1283" s="122"/>
      <c r="O1283" s="128"/>
      <c r="P1283" s="122">
        <v>0.0</v>
      </c>
      <c r="Q1283" s="124">
        <v>0.0</v>
      </c>
      <c r="R1283" s="106">
        <v>0.0</v>
      </c>
      <c r="S1283">
        <f t="shared" si="1"/>
        <v>1992</v>
      </c>
      <c r="T1283">
        <f t="shared" si="2"/>
        <v>1</v>
      </c>
      <c r="AF1283" s="125"/>
      <c r="AG1283" s="126"/>
      <c r="AH1283" s="127"/>
      <c r="AI1283" s="127"/>
      <c r="AJ1283" s="127"/>
      <c r="AK1283" s="127"/>
      <c r="AL1283" s="125"/>
      <c r="AM1283" s="126"/>
      <c r="AN1283" s="127"/>
      <c r="AO1283" s="127"/>
    </row>
    <row r="1284">
      <c r="A1284" s="120" t="s">
        <v>2653</v>
      </c>
      <c r="B1284" s="121">
        <v>33604.0</v>
      </c>
      <c r="C1284" s="122" t="s">
        <v>49</v>
      </c>
      <c r="D1284" s="122" t="s">
        <v>51</v>
      </c>
      <c r="E1284" s="122" t="s">
        <v>52</v>
      </c>
      <c r="F1284" s="122" t="s">
        <v>76</v>
      </c>
      <c r="G1284" s="122" t="s">
        <v>54</v>
      </c>
      <c r="H1284" s="122" t="s">
        <v>92</v>
      </c>
      <c r="I1284" s="122" t="s">
        <v>2654</v>
      </c>
      <c r="J1284" s="122">
        <v>30.0</v>
      </c>
      <c r="K1284" s="123">
        <v>34490.0</v>
      </c>
      <c r="L1284" s="106"/>
      <c r="M1284" s="122">
        <v>117649.0</v>
      </c>
      <c r="N1284" s="122">
        <v>1007498.0</v>
      </c>
      <c r="O1284" s="128"/>
      <c r="P1284" s="122">
        <v>109.0</v>
      </c>
      <c r="Q1284" s="107">
        <v>88.33299999999998</v>
      </c>
      <c r="R1284" s="106">
        <v>0.0</v>
      </c>
      <c r="S1284">
        <f t="shared" si="1"/>
        <v>1992</v>
      </c>
      <c r="T1284">
        <f t="shared" si="2"/>
        <v>1</v>
      </c>
      <c r="AF1284" s="125"/>
      <c r="AG1284" s="126"/>
      <c r="AH1284" s="127"/>
      <c r="AI1284" s="127"/>
      <c r="AJ1284" s="127"/>
      <c r="AK1284" s="127"/>
      <c r="AL1284" s="125"/>
      <c r="AM1284" s="126"/>
      <c r="AN1284" s="127"/>
      <c r="AO1284" s="127"/>
    </row>
    <row r="1285">
      <c r="A1285" s="120" t="s">
        <v>2655</v>
      </c>
      <c r="B1285" s="121">
        <v>33604.0</v>
      </c>
      <c r="C1285" s="122" t="s">
        <v>142</v>
      </c>
      <c r="D1285" s="122" t="s">
        <v>110</v>
      </c>
      <c r="E1285" s="122" t="s">
        <v>52</v>
      </c>
      <c r="F1285" s="122" t="s">
        <v>53</v>
      </c>
      <c r="G1285" s="122" t="s">
        <v>54</v>
      </c>
      <c r="H1285" s="122" t="s">
        <v>337</v>
      </c>
      <c r="I1285" s="122"/>
      <c r="J1285" s="122">
        <v>21.0</v>
      </c>
      <c r="K1285" s="123">
        <v>34335.0</v>
      </c>
      <c r="L1285" s="106"/>
      <c r="M1285" s="122">
        <v>119591.0</v>
      </c>
      <c r="N1285" s="122">
        <v>1009393.0</v>
      </c>
      <c r="O1285" s="128"/>
      <c r="P1285" s="122">
        <v>6.0</v>
      </c>
      <c r="Q1285" s="124">
        <v>14.0</v>
      </c>
      <c r="R1285" s="106">
        <v>0.0</v>
      </c>
      <c r="S1285">
        <f t="shared" si="1"/>
        <v>1992</v>
      </c>
      <c r="T1285">
        <f t="shared" si="2"/>
        <v>1</v>
      </c>
      <c r="AF1285" s="125"/>
      <c r="AG1285" s="126"/>
      <c r="AH1285" s="127"/>
      <c r="AI1285" s="127"/>
      <c r="AJ1285" s="127"/>
      <c r="AK1285" s="127"/>
      <c r="AL1285" s="125"/>
      <c r="AM1285" s="126"/>
      <c r="AN1285" s="127"/>
      <c r="AO1285" s="127"/>
    </row>
    <row r="1286">
      <c r="A1286" s="128" t="s">
        <v>1050</v>
      </c>
      <c r="B1286" s="121">
        <v>33490.0</v>
      </c>
      <c r="C1286" s="106" t="s">
        <v>169</v>
      </c>
      <c r="D1286" s="122" t="s">
        <v>51</v>
      </c>
      <c r="E1286" s="129" t="s">
        <v>52</v>
      </c>
      <c r="F1286" s="106" t="s">
        <v>53</v>
      </c>
      <c r="G1286" s="129" t="s">
        <v>54</v>
      </c>
      <c r="H1286" s="106" t="s">
        <v>112</v>
      </c>
      <c r="I1286" s="122" t="s">
        <v>242</v>
      </c>
      <c r="J1286" s="106">
        <v>27.0</v>
      </c>
      <c r="K1286" s="130">
        <v>34069.0</v>
      </c>
      <c r="L1286" s="106">
        <f>ROUND(((K1286-B1286)/365)*12)</f>
        <v>19</v>
      </c>
      <c r="M1286" s="106">
        <v>114023.0</v>
      </c>
      <c r="N1286" s="122">
        <v>1003948.0</v>
      </c>
      <c r="O1286" s="128"/>
      <c r="P1286" s="122">
        <v>27.0</v>
      </c>
      <c r="Q1286" s="124">
        <v>114.667</v>
      </c>
      <c r="R1286" s="106">
        <v>0.0</v>
      </c>
      <c r="S1286">
        <f t="shared" si="1"/>
        <v>1991</v>
      </c>
      <c r="T1286">
        <f t="shared" si="2"/>
        <v>9</v>
      </c>
      <c r="AF1286" s="125"/>
      <c r="AG1286" s="126"/>
      <c r="AH1286" s="127"/>
      <c r="AI1286" s="127"/>
      <c r="AJ1286" s="127"/>
      <c r="AK1286" s="127"/>
      <c r="AL1286" s="125"/>
      <c r="AM1286" s="126"/>
      <c r="AN1286" s="127"/>
      <c r="AO1286" s="127"/>
    </row>
    <row r="1287">
      <c r="A1287" s="4" t="s">
        <v>2656</v>
      </c>
      <c r="B1287" s="10">
        <v>33482.0</v>
      </c>
      <c r="C1287" s="11" t="s">
        <v>74</v>
      </c>
      <c r="D1287" s="11" t="s">
        <v>82</v>
      </c>
      <c r="E1287" s="11" t="s">
        <v>52</v>
      </c>
      <c r="F1287" s="11" t="s">
        <v>53</v>
      </c>
      <c r="G1287" s="11" t="s">
        <v>54</v>
      </c>
      <c r="H1287" s="11" t="s">
        <v>316</v>
      </c>
      <c r="I1287" s="11" t="s">
        <v>1063</v>
      </c>
      <c r="J1287" s="11">
        <v>21.0</v>
      </c>
      <c r="K1287" s="13">
        <v>34335.0</v>
      </c>
      <c r="L1287" s="11"/>
      <c r="M1287" s="11">
        <v>136461.0</v>
      </c>
      <c r="N1287" s="11">
        <v>1012329.0</v>
      </c>
      <c r="O1287" s="4"/>
      <c r="P1287" s="11">
        <v>23.0</v>
      </c>
      <c r="Q1287" s="15">
        <v>118.667</v>
      </c>
      <c r="R1287" s="22">
        <v>0.0</v>
      </c>
      <c r="S1287">
        <f t="shared" si="1"/>
        <v>1991</v>
      </c>
      <c r="T1287">
        <f t="shared" si="2"/>
        <v>9</v>
      </c>
      <c r="AF1287" s="18"/>
      <c r="AG1287" s="19"/>
      <c r="AL1287" s="18"/>
      <c r="AM1287" s="19"/>
    </row>
    <row r="1288">
      <c r="A1288" s="4" t="s">
        <v>2657</v>
      </c>
      <c r="B1288" s="10">
        <v>33444.0</v>
      </c>
      <c r="C1288" s="11" t="s">
        <v>138</v>
      </c>
      <c r="D1288" s="11" t="s">
        <v>51</v>
      </c>
      <c r="E1288" s="14" t="s">
        <v>52</v>
      </c>
      <c r="F1288" s="11" t="s">
        <v>53</v>
      </c>
      <c r="G1288" s="14" t="s">
        <v>54</v>
      </c>
      <c r="H1288" s="11" t="s">
        <v>92</v>
      </c>
      <c r="I1288" s="11"/>
      <c r="J1288" s="11">
        <v>30.0</v>
      </c>
      <c r="K1288" s="13">
        <v>34084.0</v>
      </c>
      <c r="L1288" s="11">
        <f>ROUND(((K1288-B1288)/365)*12)</f>
        <v>21</v>
      </c>
      <c r="M1288" s="11">
        <v>124491.0</v>
      </c>
      <c r="N1288" s="11">
        <v>1014174.0</v>
      </c>
      <c r="O1288" s="4" t="s">
        <v>704</v>
      </c>
      <c r="P1288" s="11">
        <v>9.0</v>
      </c>
      <c r="Q1288" s="32">
        <v>41.0</v>
      </c>
      <c r="R1288" s="22">
        <v>0.0</v>
      </c>
      <c r="S1288">
        <f t="shared" si="1"/>
        <v>1991</v>
      </c>
      <c r="T1288">
        <f t="shared" si="2"/>
        <v>7</v>
      </c>
      <c r="AF1288" s="18"/>
      <c r="AG1288" s="19"/>
      <c r="AL1288" s="18"/>
      <c r="AM1288" s="19"/>
    </row>
    <row r="1289">
      <c r="A1289" s="4" t="s">
        <v>2658</v>
      </c>
      <c r="B1289" s="10">
        <v>33437.0</v>
      </c>
      <c r="C1289" s="11" t="s">
        <v>270</v>
      </c>
      <c r="D1289" s="11" t="s">
        <v>51</v>
      </c>
      <c r="E1289" s="14" t="s">
        <v>52</v>
      </c>
      <c r="F1289" s="11" t="s">
        <v>53</v>
      </c>
      <c r="G1289" s="14" t="s">
        <v>54</v>
      </c>
      <c r="H1289" s="11" t="s">
        <v>344</v>
      </c>
      <c r="I1289" s="11"/>
      <c r="J1289" s="11">
        <v>29.0</v>
      </c>
      <c r="K1289" s="14"/>
      <c r="L1289" s="14"/>
      <c r="M1289" s="11">
        <v>114628.0</v>
      </c>
      <c r="N1289" s="11">
        <v>1004546.0</v>
      </c>
      <c r="O1289" s="4" t="s">
        <v>2252</v>
      </c>
      <c r="P1289" s="11">
        <v>0.0</v>
      </c>
      <c r="Q1289" s="32">
        <v>0.0</v>
      </c>
      <c r="R1289" s="22">
        <v>0.0</v>
      </c>
      <c r="S1289">
        <f t="shared" si="1"/>
        <v>1991</v>
      </c>
      <c r="T1289">
        <f t="shared" si="2"/>
        <v>7</v>
      </c>
      <c r="AF1289" s="18"/>
      <c r="AG1289" s="19"/>
      <c r="AL1289" s="18"/>
      <c r="AM1289" s="19"/>
    </row>
    <row r="1290">
      <c r="A1290" s="4" t="s">
        <v>2659</v>
      </c>
      <c r="B1290" s="10">
        <v>33432.0</v>
      </c>
      <c r="C1290" s="11" t="s">
        <v>179</v>
      </c>
      <c r="D1290" s="11" t="s">
        <v>51</v>
      </c>
      <c r="E1290" s="14" t="s">
        <v>52</v>
      </c>
      <c r="F1290" s="11" t="s">
        <v>53</v>
      </c>
      <c r="G1290" s="14" t="s">
        <v>54</v>
      </c>
      <c r="H1290" s="11" t="s">
        <v>92</v>
      </c>
      <c r="I1290" s="11" t="s">
        <v>1193</v>
      </c>
      <c r="J1290" s="11">
        <v>24.0</v>
      </c>
      <c r="K1290" s="13">
        <v>33853.0</v>
      </c>
      <c r="L1290" s="11">
        <f>ROUND(((K1290-B1290)/365)*12)</f>
        <v>14</v>
      </c>
      <c r="M1290" s="11">
        <v>112237.0</v>
      </c>
      <c r="N1290" s="11">
        <v>1002183.0</v>
      </c>
      <c r="P1290" s="11">
        <v>4.0</v>
      </c>
      <c r="Q1290" s="32">
        <v>25.333000000000006</v>
      </c>
      <c r="R1290" s="22">
        <v>0.0</v>
      </c>
      <c r="S1290">
        <f t="shared" si="1"/>
        <v>1991</v>
      </c>
      <c r="T1290">
        <f t="shared" si="2"/>
        <v>7</v>
      </c>
      <c r="AF1290" s="18"/>
      <c r="AG1290" s="19"/>
      <c r="AL1290" s="18"/>
      <c r="AM1290" s="19"/>
    </row>
    <row r="1291">
      <c r="A1291" s="4" t="s">
        <v>2660</v>
      </c>
      <c r="B1291" s="10">
        <v>33401.0</v>
      </c>
      <c r="C1291" s="11" t="s">
        <v>179</v>
      </c>
      <c r="D1291" s="11" t="s">
        <v>110</v>
      </c>
      <c r="E1291" s="14" t="s">
        <v>52</v>
      </c>
      <c r="F1291" s="11" t="s">
        <v>76</v>
      </c>
      <c r="G1291" s="14" t="s">
        <v>54</v>
      </c>
      <c r="H1291" s="11" t="s">
        <v>92</v>
      </c>
      <c r="I1291" s="11"/>
      <c r="J1291" s="11">
        <v>20.0</v>
      </c>
      <c r="K1291" s="13">
        <v>33604.0</v>
      </c>
      <c r="L1291" s="14"/>
      <c r="M1291" s="11">
        <v>119984.0</v>
      </c>
      <c r="N1291" s="11">
        <v>206.0</v>
      </c>
      <c r="P1291" s="11">
        <v>766.0</v>
      </c>
      <c r="Q1291" s="15">
        <v>1915.667</v>
      </c>
      <c r="R1291" s="22">
        <v>0.0</v>
      </c>
      <c r="S1291">
        <f t="shared" si="1"/>
        <v>1991</v>
      </c>
      <c r="T1291">
        <f t="shared" si="2"/>
        <v>6</v>
      </c>
      <c r="AF1291" s="18"/>
      <c r="AG1291" s="19"/>
      <c r="AL1291" s="18"/>
      <c r="AM1291" s="19"/>
    </row>
    <row r="1292">
      <c r="A1292" s="4" t="s">
        <v>2661</v>
      </c>
      <c r="B1292" s="10">
        <v>33329.0</v>
      </c>
      <c r="C1292" s="11" t="s">
        <v>156</v>
      </c>
      <c r="D1292" s="11" t="s">
        <v>51</v>
      </c>
      <c r="E1292" s="14" t="s">
        <v>52</v>
      </c>
      <c r="F1292" s="11" t="s">
        <v>76</v>
      </c>
      <c r="G1292" s="14" t="s">
        <v>54</v>
      </c>
      <c r="H1292" s="11" t="s">
        <v>476</v>
      </c>
      <c r="I1292" s="11" t="s">
        <v>279</v>
      </c>
      <c r="J1292" s="11">
        <v>26.0</v>
      </c>
      <c r="K1292" s="13">
        <v>33856.0</v>
      </c>
      <c r="L1292" s="11">
        <f t="shared" ref="L1292:L1293" si="123">ROUND(((K1292-B1292)/365)*12)</f>
        <v>17</v>
      </c>
      <c r="M1292" s="11">
        <v>118146.0</v>
      </c>
      <c r="N1292" s="11">
        <v>1007973.0</v>
      </c>
      <c r="O1292" s="4" t="s">
        <v>2252</v>
      </c>
      <c r="P1292" s="11">
        <v>74.0</v>
      </c>
      <c r="Q1292" s="32">
        <v>323.0</v>
      </c>
      <c r="R1292" s="22">
        <v>0.0</v>
      </c>
      <c r="S1292">
        <f t="shared" si="1"/>
        <v>1991</v>
      </c>
      <c r="T1292">
        <f t="shared" si="2"/>
        <v>4</v>
      </c>
      <c r="AF1292" s="18"/>
      <c r="AG1292" s="19"/>
      <c r="AL1292" s="18"/>
      <c r="AM1292" s="19"/>
    </row>
    <row r="1293">
      <c r="A1293" s="4" t="s">
        <v>2662</v>
      </c>
      <c r="B1293" s="10">
        <v>33298.0</v>
      </c>
      <c r="C1293" s="11" t="s">
        <v>169</v>
      </c>
      <c r="D1293" s="11" t="s">
        <v>51</v>
      </c>
      <c r="E1293" s="11" t="s">
        <v>160</v>
      </c>
      <c r="F1293" s="11" t="s">
        <v>76</v>
      </c>
      <c r="G1293" s="11" t="s">
        <v>54</v>
      </c>
      <c r="H1293" s="11" t="s">
        <v>92</v>
      </c>
      <c r="I1293" s="11"/>
      <c r="J1293" s="11">
        <v>28.0</v>
      </c>
      <c r="K1293" s="13">
        <v>33705.0</v>
      </c>
      <c r="L1293" s="11">
        <f t="shared" si="123"/>
        <v>13</v>
      </c>
      <c r="M1293" s="11">
        <v>116476.0</v>
      </c>
      <c r="N1293" s="11">
        <v>1006349.0</v>
      </c>
      <c r="O1293" s="4" t="s">
        <v>2252</v>
      </c>
      <c r="P1293" s="11">
        <v>273.0</v>
      </c>
      <c r="Q1293" s="32">
        <v>792.0</v>
      </c>
      <c r="R1293" s="22">
        <v>0.0</v>
      </c>
      <c r="S1293">
        <f t="shared" si="1"/>
        <v>1991</v>
      </c>
      <c r="T1293">
        <f t="shared" si="2"/>
        <v>3</v>
      </c>
      <c r="AF1293" s="18"/>
      <c r="AG1293" s="19"/>
      <c r="AL1293" s="18"/>
      <c r="AM1293" s="19"/>
    </row>
    <row r="1294">
      <c r="A1294" s="4" t="s">
        <v>2663</v>
      </c>
      <c r="B1294" s="10">
        <v>33239.0</v>
      </c>
      <c r="C1294" s="11" t="s">
        <v>108</v>
      </c>
      <c r="D1294" s="11" t="s">
        <v>82</v>
      </c>
      <c r="E1294" s="11" t="s">
        <v>52</v>
      </c>
      <c r="F1294" s="11" t="s">
        <v>53</v>
      </c>
      <c r="G1294" s="11" t="s">
        <v>54</v>
      </c>
      <c r="H1294" s="11" t="s">
        <v>344</v>
      </c>
      <c r="I1294" s="11" t="s">
        <v>2664</v>
      </c>
      <c r="J1294" s="11">
        <v>23.0</v>
      </c>
      <c r="K1294" s="13">
        <v>33604.0</v>
      </c>
      <c r="L1294" s="11"/>
      <c r="M1294" s="11"/>
      <c r="N1294" s="11"/>
      <c r="O1294" s="4" t="s">
        <v>704</v>
      </c>
      <c r="P1294" s="11">
        <v>0.0</v>
      </c>
      <c r="Q1294" s="15">
        <v>0.0</v>
      </c>
      <c r="R1294" s="22">
        <v>0.0</v>
      </c>
      <c r="S1294">
        <f t="shared" si="1"/>
        <v>1991</v>
      </c>
      <c r="T1294">
        <f t="shared" si="2"/>
        <v>1</v>
      </c>
      <c r="AF1294" s="18"/>
      <c r="AG1294" s="19"/>
      <c r="AL1294" s="18"/>
      <c r="AM1294" s="19"/>
    </row>
    <row r="1295">
      <c r="A1295" s="4" t="s">
        <v>452</v>
      </c>
      <c r="B1295" s="10">
        <v>33239.0</v>
      </c>
      <c r="C1295" s="11" t="s">
        <v>74</v>
      </c>
      <c r="D1295" s="11" t="s">
        <v>82</v>
      </c>
      <c r="E1295" s="11" t="s">
        <v>872</v>
      </c>
      <c r="F1295" s="11" t="s">
        <v>53</v>
      </c>
      <c r="G1295" s="11" t="s">
        <v>54</v>
      </c>
      <c r="H1295" s="11" t="s">
        <v>92</v>
      </c>
      <c r="I1295" s="11"/>
      <c r="J1295" s="11">
        <v>21.0</v>
      </c>
      <c r="K1295" s="13">
        <v>33604.0</v>
      </c>
      <c r="L1295" s="11"/>
      <c r="M1295" s="11">
        <v>112461.0</v>
      </c>
      <c r="N1295" s="11">
        <v>51.0</v>
      </c>
      <c r="P1295" s="11">
        <v>122.0</v>
      </c>
      <c r="Q1295" s="15">
        <v>344.0</v>
      </c>
      <c r="R1295" s="22">
        <v>0.0</v>
      </c>
      <c r="S1295">
        <f t="shared" si="1"/>
        <v>1991</v>
      </c>
      <c r="T1295">
        <f t="shared" si="2"/>
        <v>1</v>
      </c>
      <c r="AF1295" s="18"/>
      <c r="AG1295" s="19"/>
      <c r="AL1295" s="18"/>
      <c r="AM1295" s="19"/>
    </row>
    <row r="1296">
      <c r="A1296" s="4" t="s">
        <v>2665</v>
      </c>
      <c r="B1296" s="10">
        <v>33130.0</v>
      </c>
      <c r="C1296" s="11" t="s">
        <v>159</v>
      </c>
      <c r="D1296" s="11" t="s">
        <v>75</v>
      </c>
      <c r="E1296" s="14" t="s">
        <v>52</v>
      </c>
      <c r="F1296" s="11" t="s">
        <v>76</v>
      </c>
      <c r="G1296" s="14" t="s">
        <v>54</v>
      </c>
      <c r="H1296" s="11" t="s">
        <v>344</v>
      </c>
      <c r="I1296" s="11"/>
      <c r="J1296" s="11">
        <v>25.0</v>
      </c>
      <c r="K1296" s="13">
        <v>33970.0</v>
      </c>
      <c r="L1296" s="14"/>
      <c r="M1296" s="11">
        <v>113583.0</v>
      </c>
      <c r="N1296" s="11">
        <v>1003518.0</v>
      </c>
      <c r="P1296" s="11">
        <v>0.0</v>
      </c>
      <c r="Q1296" s="15">
        <v>0.0</v>
      </c>
      <c r="R1296" s="22">
        <v>0.0</v>
      </c>
      <c r="S1296">
        <f t="shared" si="1"/>
        <v>1990</v>
      </c>
      <c r="T1296">
        <f t="shared" si="2"/>
        <v>9</v>
      </c>
      <c r="AF1296" s="18"/>
      <c r="AG1296" s="19"/>
      <c r="AL1296" s="18"/>
      <c r="AM1296" s="19"/>
    </row>
    <row r="1297">
      <c r="A1297" s="4" t="s">
        <v>2666</v>
      </c>
      <c r="B1297" s="10">
        <v>33112.0</v>
      </c>
      <c r="C1297" s="11" t="s">
        <v>133</v>
      </c>
      <c r="D1297" s="11" t="s">
        <v>75</v>
      </c>
      <c r="E1297" s="14" t="s">
        <v>52</v>
      </c>
      <c r="F1297" s="11" t="s">
        <v>53</v>
      </c>
      <c r="G1297" s="14" t="s">
        <v>54</v>
      </c>
      <c r="H1297" s="11" t="s">
        <v>251</v>
      </c>
      <c r="I1297" s="11"/>
      <c r="J1297" s="11">
        <v>26.0</v>
      </c>
      <c r="K1297" s="13">
        <v>33489.0</v>
      </c>
      <c r="L1297" s="14"/>
      <c r="M1297" s="11">
        <v>113469.0</v>
      </c>
      <c r="N1297" s="11">
        <v>1003404.0</v>
      </c>
      <c r="P1297" s="11">
        <v>81.0</v>
      </c>
      <c r="Q1297" s="15">
        <v>356.667</v>
      </c>
      <c r="R1297" s="22">
        <v>0.0</v>
      </c>
      <c r="S1297">
        <f t="shared" si="1"/>
        <v>1990</v>
      </c>
      <c r="T1297">
        <f t="shared" si="2"/>
        <v>8</v>
      </c>
      <c r="AF1297" s="18"/>
      <c r="AG1297" s="19"/>
      <c r="AL1297" s="18"/>
      <c r="AM1297" s="19"/>
    </row>
    <row r="1298">
      <c r="A1298" s="4" t="s">
        <v>2064</v>
      </c>
      <c r="B1298" s="10">
        <v>33108.0</v>
      </c>
      <c r="C1298" s="11" t="s">
        <v>142</v>
      </c>
      <c r="D1298" s="11" t="s">
        <v>51</v>
      </c>
      <c r="E1298" s="11" t="s">
        <v>52</v>
      </c>
      <c r="F1298" s="11" t="s">
        <v>53</v>
      </c>
      <c r="G1298" s="11" t="s">
        <v>54</v>
      </c>
      <c r="H1298" s="11" t="s">
        <v>260</v>
      </c>
      <c r="I1298" s="11" t="s">
        <v>2667</v>
      </c>
      <c r="J1298" s="11">
        <v>34.0</v>
      </c>
      <c r="K1298" s="14"/>
      <c r="L1298" s="14"/>
      <c r="M1298" s="11">
        <v>110206.0</v>
      </c>
      <c r="N1298" s="11">
        <v>1000195.0</v>
      </c>
      <c r="O1298" s="4"/>
      <c r="P1298" s="11">
        <v>0.0</v>
      </c>
      <c r="Q1298" s="15">
        <v>0.0</v>
      </c>
      <c r="R1298" s="22">
        <v>0.0</v>
      </c>
      <c r="S1298">
        <f t="shared" si="1"/>
        <v>1990</v>
      </c>
      <c r="T1298">
        <f t="shared" si="2"/>
        <v>8</v>
      </c>
      <c r="AF1298" s="18"/>
      <c r="AG1298" s="19"/>
      <c r="AL1298" s="18"/>
      <c r="AM1298" s="19"/>
    </row>
    <row r="1299">
      <c r="A1299" s="4" t="s">
        <v>2668</v>
      </c>
      <c r="B1299" s="10">
        <v>33011.0</v>
      </c>
      <c r="C1299" s="11" t="s">
        <v>74</v>
      </c>
      <c r="D1299" s="11" t="s">
        <v>51</v>
      </c>
      <c r="E1299" s="14" t="s">
        <v>52</v>
      </c>
      <c r="F1299" s="11" t="s">
        <v>53</v>
      </c>
      <c r="G1299" s="14" t="s">
        <v>54</v>
      </c>
      <c r="H1299" s="11" t="s">
        <v>157</v>
      </c>
      <c r="I1299" s="11" t="s">
        <v>2669</v>
      </c>
      <c r="J1299" s="11">
        <v>26.0</v>
      </c>
      <c r="K1299" s="14"/>
      <c r="L1299" s="14"/>
      <c r="M1299" s="11">
        <v>114761.0</v>
      </c>
      <c r="N1299" s="11">
        <v>1004677.0</v>
      </c>
      <c r="O1299" s="4" t="s">
        <v>2252</v>
      </c>
      <c r="P1299" s="11">
        <v>0.0</v>
      </c>
      <c r="Q1299" s="32">
        <v>0.0</v>
      </c>
      <c r="R1299" s="22">
        <v>0.0</v>
      </c>
      <c r="S1299">
        <f t="shared" si="1"/>
        <v>1990</v>
      </c>
      <c r="T1299">
        <f t="shared" si="2"/>
        <v>5</v>
      </c>
      <c r="AF1299" s="18"/>
      <c r="AG1299" s="19"/>
      <c r="AL1299" s="18"/>
      <c r="AM1299" s="19"/>
    </row>
    <row r="1300">
      <c r="A1300" s="4" t="s">
        <v>2670</v>
      </c>
      <c r="B1300" s="10">
        <v>32874.0</v>
      </c>
      <c r="C1300" s="11" t="s">
        <v>138</v>
      </c>
      <c r="D1300" s="11" t="s">
        <v>151</v>
      </c>
      <c r="E1300" s="11" t="s">
        <v>264</v>
      </c>
      <c r="F1300" s="11" t="s">
        <v>53</v>
      </c>
      <c r="G1300" s="11" t="s">
        <v>54</v>
      </c>
      <c r="H1300" s="11" t="s">
        <v>112</v>
      </c>
      <c r="I1300" s="11" t="s">
        <v>1347</v>
      </c>
      <c r="J1300" s="11">
        <v>19.0</v>
      </c>
      <c r="K1300" s="13">
        <v>34335.0</v>
      </c>
      <c r="L1300" s="11"/>
      <c r="M1300" s="11"/>
      <c r="N1300" s="11"/>
      <c r="O1300" s="4"/>
      <c r="P1300" s="11">
        <v>0.0</v>
      </c>
      <c r="Q1300" s="15">
        <v>0.0</v>
      </c>
      <c r="R1300" s="22">
        <v>0.0</v>
      </c>
      <c r="S1300">
        <f t="shared" si="1"/>
        <v>1990</v>
      </c>
      <c r="T1300">
        <f t="shared" si="2"/>
        <v>1</v>
      </c>
      <c r="AF1300" s="18"/>
      <c r="AG1300" s="19"/>
      <c r="AL1300" s="18"/>
      <c r="AM1300" s="19"/>
    </row>
    <row r="1301">
      <c r="A1301" s="4" t="s">
        <v>2671</v>
      </c>
      <c r="B1301" s="10">
        <v>32874.0</v>
      </c>
      <c r="C1301" s="11" t="s">
        <v>179</v>
      </c>
      <c r="D1301" s="11" t="s">
        <v>75</v>
      </c>
      <c r="E1301" s="11" t="s">
        <v>392</v>
      </c>
      <c r="F1301" s="11" t="s">
        <v>53</v>
      </c>
      <c r="G1301" s="11" t="s">
        <v>172</v>
      </c>
      <c r="H1301" s="11"/>
      <c r="I1301" s="11"/>
      <c r="J1301" s="11">
        <v>22.0</v>
      </c>
      <c r="K1301" s="13">
        <v>33239.0</v>
      </c>
      <c r="L1301" s="11"/>
      <c r="M1301" s="11">
        <v>121663.0</v>
      </c>
      <c r="N1301" s="11">
        <v>213.0</v>
      </c>
      <c r="O1301" s="4"/>
      <c r="P1301" s="11">
        <v>1490.0</v>
      </c>
      <c r="Q1301" s="15">
        <v>5246.0</v>
      </c>
      <c r="R1301" s="22">
        <v>0.0</v>
      </c>
      <c r="S1301">
        <f t="shared" si="1"/>
        <v>1990</v>
      </c>
      <c r="T1301">
        <f t="shared" si="2"/>
        <v>1</v>
      </c>
      <c r="AF1301" s="18"/>
      <c r="AG1301" s="19"/>
      <c r="AL1301" s="18"/>
      <c r="AM1301" s="19"/>
    </row>
    <row r="1302">
      <c r="A1302" s="4" t="s">
        <v>2672</v>
      </c>
      <c r="B1302" s="10">
        <v>32874.0</v>
      </c>
      <c r="C1302" s="11" t="s">
        <v>229</v>
      </c>
      <c r="D1302" s="11" t="s">
        <v>151</v>
      </c>
      <c r="E1302" s="11" t="s">
        <v>52</v>
      </c>
      <c r="F1302" s="11" t="s">
        <v>53</v>
      </c>
      <c r="G1302" s="11" t="s">
        <v>54</v>
      </c>
      <c r="H1302" s="11" t="s">
        <v>92</v>
      </c>
      <c r="I1302" s="11" t="s">
        <v>546</v>
      </c>
      <c r="J1302" s="11">
        <v>20.0</v>
      </c>
      <c r="K1302" s="13">
        <v>33239.0</v>
      </c>
      <c r="L1302" s="11"/>
      <c r="M1302" s="11">
        <v>114499.0</v>
      </c>
      <c r="N1302" s="11">
        <v>1447.0</v>
      </c>
      <c r="O1302" s="4" t="s">
        <v>704</v>
      </c>
      <c r="P1302" s="11">
        <v>84.0</v>
      </c>
      <c r="Q1302" s="15">
        <v>175.333</v>
      </c>
      <c r="R1302" s="22">
        <v>0.0</v>
      </c>
      <c r="S1302">
        <f t="shared" si="1"/>
        <v>1990</v>
      </c>
      <c r="T1302">
        <f t="shared" si="2"/>
        <v>1</v>
      </c>
      <c r="AF1302" s="18"/>
      <c r="AG1302" s="19"/>
      <c r="AL1302" s="18"/>
      <c r="AM1302" s="19"/>
    </row>
    <row r="1303">
      <c r="A1303" s="4" t="s">
        <v>2673</v>
      </c>
      <c r="B1303" s="10">
        <v>32843.0</v>
      </c>
      <c r="C1303" s="11" t="s">
        <v>156</v>
      </c>
      <c r="D1303" s="11" t="s">
        <v>51</v>
      </c>
      <c r="E1303" s="14" t="s">
        <v>52</v>
      </c>
      <c r="F1303" s="11" t="s">
        <v>53</v>
      </c>
      <c r="G1303" s="14" t="s">
        <v>54</v>
      </c>
      <c r="H1303" s="11" t="s">
        <v>92</v>
      </c>
      <c r="I1303" s="11" t="s">
        <v>2630</v>
      </c>
      <c r="J1303" s="11">
        <v>29.0</v>
      </c>
      <c r="K1303" s="13">
        <v>33700.0</v>
      </c>
      <c r="L1303" s="11">
        <f t="shared" ref="L1303:L1304" si="124">ROUND(((K1303-B1303)/365)*12)</f>
        <v>28</v>
      </c>
      <c r="M1303" s="11">
        <v>124581.0</v>
      </c>
      <c r="N1303" s="11">
        <v>1014259.0</v>
      </c>
      <c r="O1303" s="4" t="s">
        <v>2252</v>
      </c>
      <c r="P1303" s="11">
        <v>336.0</v>
      </c>
      <c r="Q1303" s="32">
        <v>332.0</v>
      </c>
      <c r="R1303" s="22">
        <v>0.0</v>
      </c>
      <c r="S1303">
        <f t="shared" si="1"/>
        <v>1989</v>
      </c>
      <c r="T1303">
        <f t="shared" si="2"/>
        <v>12</v>
      </c>
      <c r="AF1303" s="18"/>
      <c r="AG1303" s="19"/>
      <c r="AL1303" s="18"/>
      <c r="AM1303" s="19"/>
    </row>
    <row r="1304">
      <c r="A1304" s="4" t="s">
        <v>802</v>
      </c>
      <c r="B1304" s="10">
        <v>32709.0</v>
      </c>
      <c r="C1304" s="11" t="s">
        <v>103</v>
      </c>
      <c r="D1304" s="11" t="s">
        <v>51</v>
      </c>
      <c r="E1304" s="14" t="s">
        <v>52</v>
      </c>
      <c r="F1304" s="11" t="s">
        <v>53</v>
      </c>
      <c r="G1304" s="14" t="s">
        <v>54</v>
      </c>
      <c r="H1304" s="11" t="s">
        <v>597</v>
      </c>
      <c r="I1304" s="11"/>
      <c r="J1304" s="11">
        <v>28.0</v>
      </c>
      <c r="K1304" s="13">
        <v>33129.0</v>
      </c>
      <c r="L1304" s="11">
        <f t="shared" si="124"/>
        <v>14</v>
      </c>
      <c r="M1304" s="11">
        <v>120036.0</v>
      </c>
      <c r="N1304" s="11">
        <v>1009826.0</v>
      </c>
      <c r="O1304" s="4" t="s">
        <v>2252</v>
      </c>
      <c r="P1304" s="11">
        <v>71.0</v>
      </c>
      <c r="Q1304" s="32">
        <v>278.3330000000001</v>
      </c>
      <c r="R1304" s="22">
        <v>0.0</v>
      </c>
      <c r="S1304">
        <f t="shared" si="1"/>
        <v>1989</v>
      </c>
      <c r="T1304">
        <f t="shared" si="2"/>
        <v>7</v>
      </c>
      <c r="AF1304" s="18"/>
      <c r="AG1304" s="19"/>
      <c r="AL1304" s="18"/>
      <c r="AM1304" s="19"/>
    </row>
    <row r="1305">
      <c r="A1305" s="4" t="s">
        <v>2674</v>
      </c>
      <c r="B1305" s="10">
        <v>32660.0</v>
      </c>
      <c r="C1305" s="11" t="s">
        <v>209</v>
      </c>
      <c r="D1305" s="11" t="s">
        <v>75</v>
      </c>
      <c r="E1305" s="11" t="s">
        <v>52</v>
      </c>
      <c r="F1305" s="11" t="s">
        <v>53</v>
      </c>
      <c r="G1305" s="11" t="s">
        <v>83</v>
      </c>
      <c r="H1305" s="11"/>
      <c r="I1305" s="11"/>
      <c r="J1305" s="11">
        <v>23.0</v>
      </c>
      <c r="K1305" s="13">
        <v>32874.0</v>
      </c>
      <c r="L1305" s="11"/>
      <c r="M1305" s="11">
        <v>118986.0</v>
      </c>
      <c r="N1305" s="11">
        <v>961.0</v>
      </c>
      <c r="O1305" s="4"/>
      <c r="P1305" s="11">
        <v>1016.0</v>
      </c>
      <c r="Q1305" s="15">
        <v>1517.333</v>
      </c>
      <c r="R1305" s="22">
        <v>0.0</v>
      </c>
      <c r="S1305">
        <f t="shared" si="1"/>
        <v>1989</v>
      </c>
      <c r="T1305">
        <f t="shared" si="2"/>
        <v>6</v>
      </c>
      <c r="AF1305" s="18"/>
      <c r="AG1305" s="19"/>
      <c r="AL1305" s="18"/>
      <c r="AM1305" s="19"/>
    </row>
    <row r="1306">
      <c r="A1306" s="4" t="s">
        <v>2675</v>
      </c>
      <c r="B1306" s="10">
        <v>32640.0</v>
      </c>
      <c r="C1306" s="11" t="s">
        <v>156</v>
      </c>
      <c r="D1306" s="11" t="s">
        <v>51</v>
      </c>
      <c r="E1306" s="14" t="s">
        <v>52</v>
      </c>
      <c r="F1306" s="11" t="s">
        <v>76</v>
      </c>
      <c r="G1306" s="14" t="s">
        <v>54</v>
      </c>
      <c r="H1306" s="11" t="s">
        <v>92</v>
      </c>
      <c r="I1306" s="11" t="s">
        <v>2676</v>
      </c>
      <c r="J1306" s="11">
        <v>27.0</v>
      </c>
      <c r="K1306" s="13">
        <v>32974.0</v>
      </c>
      <c r="L1306" s="11">
        <f>ROUND(((K1306-B1306)/365)*12)</f>
        <v>11</v>
      </c>
      <c r="M1306" s="11">
        <v>118417.0</v>
      </c>
      <c r="N1306" s="11">
        <v>1008237.0</v>
      </c>
      <c r="O1306" s="4" t="s">
        <v>2252</v>
      </c>
      <c r="P1306" s="11">
        <v>25.0</v>
      </c>
      <c r="Q1306" s="32">
        <v>103.0</v>
      </c>
      <c r="R1306" s="22">
        <v>0.0</v>
      </c>
      <c r="S1306">
        <f t="shared" si="1"/>
        <v>1989</v>
      </c>
      <c r="T1306">
        <f t="shared" si="2"/>
        <v>5</v>
      </c>
      <c r="AF1306" s="18"/>
      <c r="AG1306" s="19"/>
      <c r="AL1306" s="18"/>
      <c r="AM1306" s="19"/>
    </row>
    <row r="1307">
      <c r="A1307" s="4" t="s">
        <v>2677</v>
      </c>
      <c r="B1307" s="10">
        <v>32619.0</v>
      </c>
      <c r="C1307" s="11" t="s">
        <v>179</v>
      </c>
      <c r="D1307" s="11" t="s">
        <v>75</v>
      </c>
      <c r="E1307" s="11" t="s">
        <v>52</v>
      </c>
      <c r="F1307" s="11" t="s">
        <v>53</v>
      </c>
      <c r="G1307" s="11" t="s">
        <v>582</v>
      </c>
      <c r="H1307" s="14"/>
      <c r="I1307" s="14"/>
      <c r="J1307" s="11">
        <v>25.0</v>
      </c>
      <c r="K1307" s="13">
        <v>32874.0</v>
      </c>
      <c r="L1307" s="11"/>
      <c r="M1307" s="11">
        <v>112150.0</v>
      </c>
      <c r="N1307" s="11">
        <v>1002097.0</v>
      </c>
      <c r="O1307" s="4"/>
      <c r="P1307" s="11">
        <v>0.0</v>
      </c>
      <c r="Q1307" s="15">
        <v>0.0</v>
      </c>
      <c r="R1307" s="22">
        <v>0.0</v>
      </c>
      <c r="S1307">
        <f t="shared" si="1"/>
        <v>1989</v>
      </c>
      <c r="T1307">
        <f t="shared" si="2"/>
        <v>4</v>
      </c>
      <c r="AF1307" s="18"/>
      <c r="AG1307" s="19"/>
      <c r="AL1307" s="18"/>
      <c r="AM1307" s="19"/>
    </row>
    <row r="1308">
      <c r="A1308" s="4" t="s">
        <v>2678</v>
      </c>
      <c r="B1308" s="10">
        <v>32598.0</v>
      </c>
      <c r="C1308" s="11" t="s">
        <v>156</v>
      </c>
      <c r="D1308" s="11" t="s">
        <v>51</v>
      </c>
      <c r="E1308" s="14" t="s">
        <v>52</v>
      </c>
      <c r="F1308" s="11" t="s">
        <v>53</v>
      </c>
      <c r="G1308" s="22" t="s">
        <v>2487</v>
      </c>
      <c r="H1308" s="14"/>
      <c r="I1308" s="14"/>
      <c r="J1308" s="11">
        <v>29.0</v>
      </c>
      <c r="K1308" s="13">
        <v>33355.0</v>
      </c>
      <c r="L1308" s="11">
        <f t="shared" ref="L1308:L1310" si="125">ROUND(((K1308-B1308)/365)*12)</f>
        <v>25</v>
      </c>
      <c r="M1308" s="11">
        <v>112752.0</v>
      </c>
      <c r="N1308" s="11">
        <v>1002695.0</v>
      </c>
      <c r="O1308" s="4" t="s">
        <v>2252</v>
      </c>
      <c r="P1308" s="11">
        <v>126.0</v>
      </c>
      <c r="Q1308" s="32">
        <v>312.3330000000001</v>
      </c>
      <c r="R1308" s="22">
        <v>0.0</v>
      </c>
      <c r="S1308">
        <f t="shared" si="1"/>
        <v>1989</v>
      </c>
      <c r="T1308">
        <f t="shared" si="2"/>
        <v>3</v>
      </c>
      <c r="AF1308" s="18"/>
      <c r="AG1308" s="19"/>
      <c r="AL1308" s="18"/>
      <c r="AM1308" s="19"/>
    </row>
    <row r="1309">
      <c r="A1309" s="4" t="s">
        <v>2680</v>
      </c>
      <c r="B1309" s="10">
        <v>32443.0</v>
      </c>
      <c r="C1309" s="11" t="s">
        <v>81</v>
      </c>
      <c r="D1309" s="11" t="s">
        <v>51</v>
      </c>
      <c r="E1309" s="14" t="s">
        <v>52</v>
      </c>
      <c r="F1309" s="11" t="s">
        <v>76</v>
      </c>
      <c r="G1309" s="14" t="s">
        <v>54</v>
      </c>
      <c r="H1309" s="11" t="s">
        <v>153</v>
      </c>
      <c r="I1309" s="11" t="s">
        <v>2681</v>
      </c>
      <c r="J1309" s="11">
        <v>34.0</v>
      </c>
      <c r="K1309" s="13">
        <v>32686.0</v>
      </c>
      <c r="L1309" s="11">
        <f t="shared" si="125"/>
        <v>8</v>
      </c>
      <c r="M1309" s="11">
        <v>123499.0</v>
      </c>
      <c r="N1309" s="11">
        <v>1013215.0</v>
      </c>
      <c r="O1309" s="4" t="s">
        <v>2252</v>
      </c>
      <c r="P1309" s="11">
        <v>31.0</v>
      </c>
      <c r="Q1309" s="15">
        <v>160.667</v>
      </c>
      <c r="R1309" s="22">
        <v>0.0</v>
      </c>
      <c r="S1309">
        <f t="shared" si="1"/>
        <v>1988</v>
      </c>
      <c r="T1309">
        <f t="shared" si="2"/>
        <v>10</v>
      </c>
      <c r="AF1309" s="18"/>
      <c r="AG1309" s="19"/>
      <c r="AL1309" s="18"/>
      <c r="AM1309" s="19"/>
    </row>
    <row r="1310">
      <c r="A1310" s="4" t="s">
        <v>2682</v>
      </c>
      <c r="B1310" s="10">
        <v>32400.0</v>
      </c>
      <c r="C1310" s="11" t="s">
        <v>81</v>
      </c>
      <c r="D1310" s="11" t="s">
        <v>51</v>
      </c>
      <c r="E1310" s="14" t="s">
        <v>52</v>
      </c>
      <c r="F1310" s="11" t="s">
        <v>76</v>
      </c>
      <c r="G1310" s="14" t="s">
        <v>54</v>
      </c>
      <c r="H1310" s="11" t="s">
        <v>92</v>
      </c>
      <c r="I1310" s="11" t="s">
        <v>2683</v>
      </c>
      <c r="J1310" s="11">
        <v>29.0</v>
      </c>
      <c r="K1310" s="13">
        <v>32676.0</v>
      </c>
      <c r="L1310" s="11">
        <f t="shared" si="125"/>
        <v>9</v>
      </c>
      <c r="M1310" s="11">
        <v>124707.0</v>
      </c>
      <c r="N1310" s="11">
        <v>1014385.0</v>
      </c>
      <c r="P1310" s="11">
        <v>129.0</v>
      </c>
      <c r="Q1310" s="32">
        <v>496.3330000000001</v>
      </c>
      <c r="R1310" s="22">
        <v>0.0</v>
      </c>
      <c r="S1310">
        <f t="shared" si="1"/>
        <v>1988</v>
      </c>
      <c r="T1310">
        <f t="shared" si="2"/>
        <v>9</v>
      </c>
      <c r="AF1310" s="18"/>
      <c r="AG1310" s="19"/>
      <c r="AL1310" s="18"/>
      <c r="AM1310" s="19"/>
    </row>
    <row r="1311">
      <c r="A1311" s="4" t="s">
        <v>2684</v>
      </c>
      <c r="B1311" s="10">
        <v>32356.0</v>
      </c>
      <c r="C1311" s="11" t="s">
        <v>209</v>
      </c>
      <c r="D1311" s="11" t="s">
        <v>75</v>
      </c>
      <c r="E1311" s="11" t="s">
        <v>52</v>
      </c>
      <c r="F1311" s="11" t="s">
        <v>76</v>
      </c>
      <c r="G1311" s="11" t="s">
        <v>54</v>
      </c>
      <c r="H1311" s="11" t="s">
        <v>92</v>
      </c>
      <c r="I1311" s="11"/>
      <c r="J1311" s="11">
        <v>24.0</v>
      </c>
      <c r="K1311" s="13">
        <v>32509.0</v>
      </c>
      <c r="L1311" s="11"/>
      <c r="M1311" s="11">
        <v>110819.0</v>
      </c>
      <c r="N1311" s="11">
        <v>1000803.0</v>
      </c>
      <c r="O1311" s="4"/>
      <c r="P1311" s="11">
        <v>27.0</v>
      </c>
      <c r="Q1311" s="15">
        <v>40.667</v>
      </c>
      <c r="R1311" s="22">
        <v>0.0</v>
      </c>
      <c r="S1311">
        <f t="shared" si="1"/>
        <v>1988</v>
      </c>
      <c r="T1311">
        <f t="shared" si="2"/>
        <v>8</v>
      </c>
      <c r="AF1311" s="18"/>
      <c r="AG1311" s="19"/>
      <c r="AL1311" s="18"/>
      <c r="AM1311" s="19"/>
    </row>
    <row r="1312">
      <c r="A1312" s="4" t="s">
        <v>2685</v>
      </c>
      <c r="B1312" s="10">
        <v>32234.0</v>
      </c>
      <c r="C1312" s="11" t="s">
        <v>138</v>
      </c>
      <c r="D1312" s="11" t="s">
        <v>51</v>
      </c>
      <c r="E1312" s="14" t="s">
        <v>52</v>
      </c>
      <c r="F1312" s="11" t="s">
        <v>53</v>
      </c>
      <c r="G1312" s="14" t="s">
        <v>54</v>
      </c>
      <c r="H1312" s="11" t="s">
        <v>549</v>
      </c>
      <c r="I1312" s="11" t="s">
        <v>2686</v>
      </c>
      <c r="J1312" s="11">
        <v>24.0</v>
      </c>
      <c r="K1312" s="13">
        <v>32605.0</v>
      </c>
      <c r="L1312" s="11">
        <f>ROUND(((K1312-B1312)/365)*12)</f>
        <v>12</v>
      </c>
      <c r="M1312" s="11">
        <v>110336.0</v>
      </c>
      <c r="N1312" s="11">
        <v>1000323.0</v>
      </c>
      <c r="O1312" s="4" t="s">
        <v>2252</v>
      </c>
      <c r="P1312" s="11">
        <v>86.0</v>
      </c>
      <c r="Q1312" s="32">
        <v>131.0</v>
      </c>
      <c r="R1312" s="22">
        <v>0.0</v>
      </c>
      <c r="S1312">
        <f t="shared" si="1"/>
        <v>1988</v>
      </c>
      <c r="T1312">
        <f t="shared" si="2"/>
        <v>4</v>
      </c>
      <c r="AF1312" s="18"/>
      <c r="AG1312" s="19"/>
      <c r="AL1312" s="18"/>
      <c r="AM1312" s="19"/>
    </row>
    <row r="1313">
      <c r="A1313" s="4" t="s">
        <v>2687</v>
      </c>
      <c r="B1313" s="10">
        <v>32143.0</v>
      </c>
      <c r="C1313" s="11" t="s">
        <v>133</v>
      </c>
      <c r="D1313" s="11" t="s">
        <v>82</v>
      </c>
      <c r="E1313" s="14" t="s">
        <v>52</v>
      </c>
      <c r="F1313" s="11" t="s">
        <v>76</v>
      </c>
      <c r="G1313" s="14" t="s">
        <v>54</v>
      </c>
      <c r="H1313" s="11" t="s">
        <v>92</v>
      </c>
      <c r="I1313" s="11" t="s">
        <v>93</v>
      </c>
      <c r="J1313" s="11">
        <v>23.0</v>
      </c>
      <c r="K1313" s="13">
        <v>32509.0</v>
      </c>
      <c r="L1313" s="14"/>
      <c r="M1313" s="11">
        <v>461041.0</v>
      </c>
      <c r="N1313" s="11"/>
      <c r="P1313" s="11">
        <v>0.0</v>
      </c>
      <c r="Q1313" s="15">
        <v>0.0</v>
      </c>
      <c r="R1313" s="22">
        <v>0.0</v>
      </c>
      <c r="S1313">
        <f t="shared" si="1"/>
        <v>1988</v>
      </c>
      <c r="T1313">
        <f t="shared" si="2"/>
        <v>1</v>
      </c>
      <c r="AF1313" s="18"/>
      <c r="AG1313" s="19"/>
      <c r="AL1313" s="18"/>
      <c r="AM1313" s="19"/>
    </row>
    <row r="1314">
      <c r="A1314" s="4" t="s">
        <v>2689</v>
      </c>
      <c r="B1314" s="10">
        <v>32143.0</v>
      </c>
      <c r="C1314" s="11" t="s">
        <v>270</v>
      </c>
      <c r="D1314" s="11" t="s">
        <v>82</v>
      </c>
      <c r="E1314" s="11" t="s">
        <v>52</v>
      </c>
      <c r="F1314" s="11" t="s">
        <v>76</v>
      </c>
      <c r="G1314" s="11" t="s">
        <v>54</v>
      </c>
      <c r="H1314" s="11" t="s">
        <v>232</v>
      </c>
      <c r="I1314" s="11" t="s">
        <v>232</v>
      </c>
      <c r="J1314" s="11">
        <v>24.0</v>
      </c>
      <c r="K1314" s="13">
        <v>32874.0</v>
      </c>
      <c r="L1314" s="11"/>
      <c r="M1314" s="11">
        <v>115887.0</v>
      </c>
      <c r="N1314" s="11">
        <v>1005767.0</v>
      </c>
      <c r="O1314" s="4"/>
      <c r="P1314" s="11">
        <v>209.0</v>
      </c>
      <c r="Q1314" s="15">
        <v>404.333</v>
      </c>
      <c r="R1314" s="22">
        <v>0.0</v>
      </c>
      <c r="S1314">
        <f t="shared" si="1"/>
        <v>1988</v>
      </c>
      <c r="T1314">
        <f t="shared" si="2"/>
        <v>1</v>
      </c>
      <c r="AF1314" s="18"/>
      <c r="AG1314" s="19"/>
      <c r="AL1314" s="18"/>
      <c r="AM1314" s="19"/>
    </row>
    <row r="1315">
      <c r="A1315" s="4" t="s">
        <v>2690</v>
      </c>
      <c r="B1315" s="10">
        <v>31975.0</v>
      </c>
      <c r="C1315" s="11" t="s">
        <v>81</v>
      </c>
      <c r="D1315" s="11" t="s">
        <v>170</v>
      </c>
      <c r="E1315" s="11" t="s">
        <v>52</v>
      </c>
      <c r="F1315" s="11" t="s">
        <v>53</v>
      </c>
      <c r="G1315" s="11" t="s">
        <v>54</v>
      </c>
      <c r="H1315" s="11" t="s">
        <v>77</v>
      </c>
      <c r="I1315" s="11"/>
      <c r="J1315" s="11">
        <v>18.0</v>
      </c>
      <c r="K1315" s="13">
        <v>32509.0</v>
      </c>
      <c r="L1315" s="11"/>
      <c r="M1315" s="11">
        <v>454429.0</v>
      </c>
      <c r="N1315" s="11"/>
      <c r="O1315" s="4" t="s">
        <v>2252</v>
      </c>
      <c r="P1315" s="11">
        <v>0.0</v>
      </c>
      <c r="Q1315" s="15">
        <v>0.0</v>
      </c>
      <c r="R1315" s="22">
        <v>0.0</v>
      </c>
      <c r="S1315">
        <f t="shared" si="1"/>
        <v>1987</v>
      </c>
      <c r="T1315">
        <f t="shared" si="2"/>
        <v>7</v>
      </c>
      <c r="AF1315" s="18"/>
      <c r="AG1315" s="19"/>
      <c r="AL1315" s="18"/>
      <c r="AM1315" s="19"/>
    </row>
    <row r="1316">
      <c r="A1316" s="4" t="s">
        <v>2691</v>
      </c>
      <c r="B1316" s="10">
        <v>31785.0</v>
      </c>
      <c r="C1316" s="11" t="s">
        <v>229</v>
      </c>
      <c r="D1316" s="11" t="s">
        <v>75</v>
      </c>
      <c r="E1316" s="11" t="s">
        <v>52</v>
      </c>
      <c r="F1316" s="11" t="s">
        <v>53</v>
      </c>
      <c r="G1316" s="11" t="s">
        <v>54</v>
      </c>
      <c r="H1316" s="11" t="s">
        <v>92</v>
      </c>
      <c r="I1316" s="11"/>
      <c r="J1316" s="11">
        <v>26.0</v>
      </c>
      <c r="K1316" s="13"/>
      <c r="L1316" s="11"/>
      <c r="M1316" s="11">
        <v>123947.0</v>
      </c>
      <c r="N1316" s="11">
        <v>1013641.0</v>
      </c>
      <c r="O1316" s="4" t="s">
        <v>2252</v>
      </c>
      <c r="P1316" s="11">
        <v>0.0</v>
      </c>
      <c r="Q1316" s="15">
        <v>0.0</v>
      </c>
      <c r="R1316" s="22">
        <v>0.0</v>
      </c>
      <c r="S1316">
        <f t="shared" si="1"/>
        <v>1987</v>
      </c>
      <c r="T1316">
        <f t="shared" si="2"/>
        <v>1</v>
      </c>
      <c r="AF1316" s="18"/>
      <c r="AG1316" s="19"/>
      <c r="AL1316" s="18"/>
      <c r="AM1316" s="19"/>
    </row>
    <row r="1317">
      <c r="A1317" s="4" t="s">
        <v>2692</v>
      </c>
      <c r="B1317" s="10">
        <v>31695.0</v>
      </c>
      <c r="C1317" s="11" t="s">
        <v>156</v>
      </c>
      <c r="D1317" s="11" t="s">
        <v>51</v>
      </c>
      <c r="E1317" s="14" t="s">
        <v>52</v>
      </c>
      <c r="F1317" s="11" t="s">
        <v>76</v>
      </c>
      <c r="G1317" s="14" t="s">
        <v>54</v>
      </c>
      <c r="H1317" s="11" t="s">
        <v>549</v>
      </c>
      <c r="I1317" s="11" t="s">
        <v>2693</v>
      </c>
      <c r="J1317" s="11">
        <v>27.0</v>
      </c>
      <c r="K1317" s="13">
        <v>31918.0</v>
      </c>
      <c r="L1317" s="11">
        <f t="shared" ref="L1317:L1319" si="126">ROUND(((K1317-B1317)/365)*12)</f>
        <v>7</v>
      </c>
      <c r="M1317" s="11">
        <v>113158.0</v>
      </c>
      <c r="N1317" s="11">
        <v>1003097.0</v>
      </c>
      <c r="O1317" s="4" t="s">
        <v>2252</v>
      </c>
      <c r="P1317" s="11">
        <v>246.0</v>
      </c>
      <c r="Q1317" s="32">
        <v>270.0</v>
      </c>
      <c r="R1317" s="22">
        <v>0.0</v>
      </c>
      <c r="S1317">
        <f t="shared" si="1"/>
        <v>1986</v>
      </c>
      <c r="T1317">
        <f t="shared" si="2"/>
        <v>10</v>
      </c>
      <c r="AF1317" s="18"/>
      <c r="AG1317" s="19"/>
      <c r="AL1317" s="18"/>
      <c r="AM1317" s="19"/>
    </row>
    <row r="1318">
      <c r="A1318" s="4" t="s">
        <v>2694</v>
      </c>
      <c r="B1318" s="10">
        <v>31524.0</v>
      </c>
      <c r="C1318" s="11" t="s">
        <v>711</v>
      </c>
      <c r="D1318" s="11" t="s">
        <v>51</v>
      </c>
      <c r="E1318" s="14" t="s">
        <v>52</v>
      </c>
      <c r="F1318" s="11" t="s">
        <v>76</v>
      </c>
      <c r="G1318" s="14" t="s">
        <v>54</v>
      </c>
      <c r="H1318" s="11" t="s">
        <v>412</v>
      </c>
      <c r="I1318" s="11"/>
      <c r="J1318" s="11">
        <v>37.0</v>
      </c>
      <c r="K1318" s="13">
        <v>31934.0</v>
      </c>
      <c r="L1318" s="11">
        <f t="shared" si="126"/>
        <v>13</v>
      </c>
      <c r="M1318" s="11">
        <v>117545.0</v>
      </c>
      <c r="N1318" s="11">
        <v>1007389.0</v>
      </c>
      <c r="O1318" s="4" t="s">
        <v>2252</v>
      </c>
      <c r="P1318" s="11">
        <v>29.0</v>
      </c>
      <c r="Q1318" s="32">
        <v>32.0</v>
      </c>
      <c r="R1318" s="22">
        <v>0.0</v>
      </c>
      <c r="S1318">
        <f t="shared" si="1"/>
        <v>1986</v>
      </c>
      <c r="T1318">
        <f t="shared" si="2"/>
        <v>4</v>
      </c>
      <c r="AF1318" s="18"/>
      <c r="AG1318" s="19"/>
      <c r="AL1318" s="18"/>
      <c r="AM1318" s="19"/>
    </row>
    <row r="1319">
      <c r="A1319" s="4" t="s">
        <v>2696</v>
      </c>
      <c r="B1319" s="10">
        <v>31517.0</v>
      </c>
      <c r="C1319" s="11" t="s">
        <v>711</v>
      </c>
      <c r="D1319" s="11" t="s">
        <v>51</v>
      </c>
      <c r="E1319" s="14" t="s">
        <v>52</v>
      </c>
      <c r="F1319" s="11" t="s">
        <v>53</v>
      </c>
      <c r="G1319" s="14" t="s">
        <v>54</v>
      </c>
      <c r="H1319" s="11" t="s">
        <v>412</v>
      </c>
      <c r="I1319" s="11" t="s">
        <v>2697</v>
      </c>
      <c r="J1319" s="11">
        <v>29.0</v>
      </c>
      <c r="K1319" s="13">
        <v>32287.0</v>
      </c>
      <c r="L1319" s="11">
        <f t="shared" si="126"/>
        <v>25</v>
      </c>
      <c r="M1319" s="11">
        <v>114119.0</v>
      </c>
      <c r="N1319" s="11">
        <v>1004040.0</v>
      </c>
      <c r="P1319" s="11">
        <v>48.0</v>
      </c>
      <c r="Q1319" s="32">
        <v>218.0</v>
      </c>
      <c r="R1319" s="22">
        <v>0.0</v>
      </c>
      <c r="S1319">
        <f t="shared" si="1"/>
        <v>1986</v>
      </c>
      <c r="T1319">
        <f t="shared" si="2"/>
        <v>4</v>
      </c>
      <c r="AF1319" s="18"/>
      <c r="AG1319" s="19"/>
      <c r="AL1319" s="18"/>
      <c r="AM1319" s="19"/>
    </row>
    <row r="1320">
      <c r="A1320" s="4" t="s">
        <v>2698</v>
      </c>
      <c r="B1320" s="10">
        <v>31413.0</v>
      </c>
      <c r="C1320" s="11" t="s">
        <v>350</v>
      </c>
      <c r="D1320" s="11" t="s">
        <v>51</v>
      </c>
      <c r="E1320" s="22" t="s">
        <v>264</v>
      </c>
      <c r="F1320" s="11" t="s">
        <v>53</v>
      </c>
      <c r="G1320" s="14" t="s">
        <v>54</v>
      </c>
      <c r="H1320" s="11" t="s">
        <v>260</v>
      </c>
      <c r="I1320" s="11" t="s">
        <v>1170</v>
      </c>
      <c r="J1320" s="11">
        <v>28.0</v>
      </c>
      <c r="K1320" s="14"/>
      <c r="L1320" s="14"/>
      <c r="M1320" s="11">
        <v>112272.0</v>
      </c>
      <c r="N1320" s="11">
        <v>1002223.0</v>
      </c>
      <c r="P1320" s="11">
        <v>0.0</v>
      </c>
      <c r="Q1320" s="32">
        <v>0.0</v>
      </c>
      <c r="R1320" s="22">
        <v>0.0</v>
      </c>
      <c r="S1320">
        <f t="shared" si="1"/>
        <v>1986</v>
      </c>
      <c r="T1320">
        <f t="shared" si="2"/>
        <v>1</v>
      </c>
      <c r="AF1320" s="18"/>
      <c r="AG1320" s="19"/>
      <c r="AL1320" s="18"/>
      <c r="AM1320" s="19"/>
    </row>
    <row r="1321">
      <c r="A1321" s="4" t="s">
        <v>2699</v>
      </c>
      <c r="B1321" s="10">
        <v>31413.0</v>
      </c>
      <c r="C1321" s="11" t="s">
        <v>114</v>
      </c>
      <c r="D1321" s="11" t="s">
        <v>124</v>
      </c>
      <c r="E1321" s="14" t="s">
        <v>52</v>
      </c>
      <c r="F1321" s="11" t="s">
        <v>76</v>
      </c>
      <c r="G1321" s="14" t="s">
        <v>54</v>
      </c>
      <c r="H1321" s="11" t="s">
        <v>157</v>
      </c>
      <c r="I1321" s="11" t="s">
        <v>2700</v>
      </c>
      <c r="J1321" s="11">
        <v>22.0</v>
      </c>
      <c r="K1321" s="13">
        <v>31778.0</v>
      </c>
      <c r="L1321" s="14"/>
      <c r="M1321" s="11">
        <v>242062.0</v>
      </c>
      <c r="N1321" s="11">
        <v>1009213.0</v>
      </c>
      <c r="P1321" s="11">
        <v>21.0</v>
      </c>
      <c r="Q1321" s="15">
        <v>15.0</v>
      </c>
      <c r="R1321" s="22">
        <v>0.0</v>
      </c>
      <c r="S1321">
        <f t="shared" si="1"/>
        <v>1986</v>
      </c>
      <c r="T1321">
        <f t="shared" si="2"/>
        <v>1</v>
      </c>
      <c r="AF1321" s="18"/>
      <c r="AG1321" s="19"/>
      <c r="AL1321" s="18"/>
      <c r="AM1321" s="19"/>
    </row>
    <row r="1322">
      <c r="A1322" s="4" t="s">
        <v>2701</v>
      </c>
      <c r="B1322" s="10">
        <v>31147.0</v>
      </c>
      <c r="C1322" s="11" t="s">
        <v>711</v>
      </c>
      <c r="D1322" s="11" t="s">
        <v>82</v>
      </c>
      <c r="E1322" s="14" t="s">
        <v>52</v>
      </c>
      <c r="F1322" s="11" t="s">
        <v>76</v>
      </c>
      <c r="G1322" s="14" t="s">
        <v>54</v>
      </c>
      <c r="H1322" s="11" t="s">
        <v>92</v>
      </c>
      <c r="I1322" s="11"/>
      <c r="J1322" s="11">
        <v>22.0</v>
      </c>
      <c r="K1322" s="13">
        <v>31413.0</v>
      </c>
      <c r="L1322" s="14"/>
      <c r="M1322" s="11">
        <v>124071.0</v>
      </c>
      <c r="N1322" s="11">
        <v>855.0</v>
      </c>
      <c r="O1322" s="4" t="s">
        <v>59</v>
      </c>
      <c r="P1322" s="11">
        <v>660.0</v>
      </c>
      <c r="Q1322" s="15">
        <v>3439.0</v>
      </c>
      <c r="R1322" s="22">
        <v>0.0</v>
      </c>
      <c r="S1322">
        <f t="shared" si="1"/>
        <v>1985</v>
      </c>
      <c r="T1322">
        <f t="shared" si="2"/>
        <v>4</v>
      </c>
      <c r="AF1322" s="18"/>
      <c r="AG1322" s="19"/>
      <c r="AL1322" s="18"/>
      <c r="AM1322" s="19"/>
    </row>
    <row r="1323">
      <c r="A1323" s="4" t="s">
        <v>2702</v>
      </c>
      <c r="B1323" s="10">
        <v>31048.0</v>
      </c>
      <c r="C1323" s="11" t="s">
        <v>114</v>
      </c>
      <c r="D1323" s="11" t="s">
        <v>75</v>
      </c>
      <c r="E1323" s="11" t="s">
        <v>264</v>
      </c>
      <c r="F1323" s="11" t="s">
        <v>53</v>
      </c>
      <c r="G1323" s="11" t="s">
        <v>54</v>
      </c>
      <c r="H1323" s="11" t="s">
        <v>92</v>
      </c>
      <c r="I1323" s="11" t="s">
        <v>1229</v>
      </c>
      <c r="J1323" s="11">
        <v>25.0</v>
      </c>
      <c r="K1323" s="13">
        <v>31778.0</v>
      </c>
      <c r="L1323" s="14"/>
      <c r="M1323" s="11">
        <v>119703.0</v>
      </c>
      <c r="N1323" s="11">
        <v>1009502.0</v>
      </c>
      <c r="O1323" s="4" t="s">
        <v>2252</v>
      </c>
      <c r="P1323" s="11">
        <v>0.0</v>
      </c>
      <c r="Q1323" s="15">
        <v>0.0</v>
      </c>
      <c r="R1323" s="14">
        <v>0.0</v>
      </c>
      <c r="S1323">
        <f t="shared" si="1"/>
        <v>1985</v>
      </c>
      <c r="T1323">
        <f t="shared" si="2"/>
        <v>1</v>
      </c>
      <c r="AF1323" s="18"/>
      <c r="AG1323" s="19"/>
      <c r="AL1323" s="18"/>
      <c r="AM1323" s="19"/>
    </row>
    <row r="1324">
      <c r="A1324" s="4" t="s">
        <v>2704</v>
      </c>
      <c r="B1324" s="10">
        <v>31048.0</v>
      </c>
      <c r="C1324" s="11" t="s">
        <v>49</v>
      </c>
      <c r="D1324" s="11" t="s">
        <v>82</v>
      </c>
      <c r="E1324" s="14" t="s">
        <v>52</v>
      </c>
      <c r="F1324" s="11" t="s">
        <v>53</v>
      </c>
      <c r="G1324" s="14" t="s">
        <v>54</v>
      </c>
      <c r="H1324" s="11" t="s">
        <v>92</v>
      </c>
      <c r="I1324" s="11" t="s">
        <v>2705</v>
      </c>
      <c r="J1324" s="11">
        <v>23.0</v>
      </c>
      <c r="K1324" s="13">
        <v>32143.0</v>
      </c>
      <c r="L1324" s="14"/>
      <c r="M1324" s="14"/>
      <c r="N1324" s="11"/>
      <c r="P1324" s="11">
        <v>0.0</v>
      </c>
      <c r="Q1324" s="15">
        <v>0.0</v>
      </c>
      <c r="R1324" s="14">
        <v>0.0</v>
      </c>
      <c r="S1324">
        <f t="shared" si="1"/>
        <v>1985</v>
      </c>
      <c r="T1324">
        <f t="shared" si="2"/>
        <v>1</v>
      </c>
      <c r="AF1324" s="18"/>
      <c r="AG1324" s="19"/>
      <c r="AL1324" s="18"/>
      <c r="AM1324" s="19"/>
    </row>
    <row r="1325">
      <c r="A1325" s="4" t="s">
        <v>2706</v>
      </c>
      <c r="B1325" s="10">
        <v>30897.0</v>
      </c>
      <c r="C1325" s="11" t="s">
        <v>114</v>
      </c>
      <c r="D1325" s="11" t="s">
        <v>51</v>
      </c>
      <c r="E1325" s="14" t="s">
        <v>52</v>
      </c>
      <c r="F1325" s="11" t="s">
        <v>53</v>
      </c>
      <c r="G1325" s="14" t="s">
        <v>54</v>
      </c>
      <c r="H1325" s="11" t="s">
        <v>251</v>
      </c>
      <c r="I1325" s="11" t="s">
        <v>898</v>
      </c>
      <c r="J1325" s="11">
        <v>29.0</v>
      </c>
      <c r="K1325" s="13">
        <v>31296.0</v>
      </c>
      <c r="L1325" s="11">
        <f t="shared" ref="L1325:L1326" si="127">ROUND(((K1325-B1325)/365)*12)</f>
        <v>13</v>
      </c>
      <c r="M1325" s="11">
        <v>120676.0</v>
      </c>
      <c r="N1325" s="11">
        <v>1010448.0</v>
      </c>
      <c r="P1325" s="11">
        <v>6.0</v>
      </c>
      <c r="Q1325" s="15">
        <v>13.667</v>
      </c>
      <c r="R1325" s="22">
        <v>0.0</v>
      </c>
      <c r="S1325">
        <f t="shared" si="1"/>
        <v>1984</v>
      </c>
      <c r="T1325">
        <f t="shared" si="2"/>
        <v>8</v>
      </c>
      <c r="AF1325" s="18"/>
      <c r="AG1325" s="19"/>
      <c r="AL1325" s="18"/>
      <c r="AM1325" s="19"/>
    </row>
    <row r="1326">
      <c r="A1326" s="4" t="s">
        <v>2707</v>
      </c>
      <c r="B1326" s="10">
        <v>30823.0</v>
      </c>
      <c r="C1326" s="11" t="s">
        <v>114</v>
      </c>
      <c r="D1326" s="11" t="s">
        <v>51</v>
      </c>
      <c r="E1326" s="22" t="s">
        <v>1248</v>
      </c>
      <c r="F1326" s="11" t="s">
        <v>53</v>
      </c>
      <c r="G1326" s="14" t="s">
        <v>54</v>
      </c>
      <c r="H1326" s="11" t="s">
        <v>232</v>
      </c>
      <c r="I1326" s="11" t="s">
        <v>232</v>
      </c>
      <c r="J1326" s="11">
        <v>27.0</v>
      </c>
      <c r="K1326" s="13">
        <v>31146.0</v>
      </c>
      <c r="L1326" s="11">
        <f t="shared" si="127"/>
        <v>11</v>
      </c>
      <c r="M1326" s="11">
        <v>119236.0</v>
      </c>
      <c r="N1326" s="11">
        <v>1009040.0</v>
      </c>
      <c r="O1326" s="4" t="s">
        <v>2252</v>
      </c>
      <c r="P1326" s="11">
        <v>1918.0</v>
      </c>
      <c r="Q1326" s="32">
        <v>8688.0</v>
      </c>
      <c r="R1326" s="22">
        <v>0.0</v>
      </c>
      <c r="S1326">
        <f t="shared" si="1"/>
        <v>1984</v>
      </c>
      <c r="T1326">
        <f t="shared" si="2"/>
        <v>5</v>
      </c>
      <c r="AF1326" s="18"/>
      <c r="AG1326" s="19"/>
      <c r="AL1326" s="18"/>
      <c r="AM1326" s="19"/>
    </row>
    <row r="1327">
      <c r="A1327" s="4" t="s">
        <v>2708</v>
      </c>
      <c r="B1327" s="10">
        <v>30482.0</v>
      </c>
      <c r="C1327" s="11" t="s">
        <v>103</v>
      </c>
      <c r="D1327" s="11" t="s">
        <v>51</v>
      </c>
      <c r="E1327" s="14" t="s">
        <v>52</v>
      </c>
      <c r="F1327" s="11" t="s">
        <v>53</v>
      </c>
      <c r="G1327" s="14" t="s">
        <v>54</v>
      </c>
      <c r="H1327" s="11" t="s">
        <v>316</v>
      </c>
      <c r="I1327" s="11"/>
      <c r="J1327" s="11">
        <v>29.0</v>
      </c>
      <c r="K1327" s="14"/>
      <c r="L1327" s="14"/>
      <c r="M1327" s="11">
        <v>112267.0</v>
      </c>
      <c r="N1327" s="11">
        <v>1002215.0</v>
      </c>
      <c r="P1327" s="11">
        <v>0.0</v>
      </c>
      <c r="Q1327" s="32">
        <v>0.0</v>
      </c>
      <c r="R1327" s="22">
        <v>0.0</v>
      </c>
      <c r="S1327">
        <f t="shared" si="1"/>
        <v>1983</v>
      </c>
      <c r="T1327">
        <f t="shared" si="2"/>
        <v>6</v>
      </c>
      <c r="AF1327" s="18"/>
      <c r="AG1327" s="19"/>
      <c r="AL1327" s="18"/>
      <c r="AM1327" s="19"/>
    </row>
    <row r="1328">
      <c r="A1328" s="4" t="s">
        <v>2709</v>
      </c>
      <c r="B1328" s="10">
        <v>30317.0</v>
      </c>
      <c r="C1328" s="11" t="s">
        <v>81</v>
      </c>
      <c r="D1328" s="11" t="s">
        <v>75</v>
      </c>
      <c r="E1328" s="14" t="s">
        <v>52</v>
      </c>
      <c r="F1328" s="11" t="s">
        <v>53</v>
      </c>
      <c r="G1328" s="14" t="s">
        <v>54</v>
      </c>
      <c r="H1328" s="11" t="s">
        <v>211</v>
      </c>
      <c r="I1328" s="11" t="s">
        <v>2710</v>
      </c>
      <c r="J1328" s="11">
        <v>23.0</v>
      </c>
      <c r="K1328" s="13">
        <v>30682.0</v>
      </c>
      <c r="L1328" s="14"/>
      <c r="M1328" s="11">
        <v>116113.0</v>
      </c>
      <c r="N1328" s="11">
        <v>1005986.0</v>
      </c>
      <c r="P1328" s="11">
        <v>185.0</v>
      </c>
      <c r="Q1328" s="15">
        <v>370.667</v>
      </c>
      <c r="R1328" s="22">
        <v>0.0</v>
      </c>
      <c r="S1328">
        <f t="shared" si="1"/>
        <v>1983</v>
      </c>
      <c r="T1328">
        <f t="shared" si="2"/>
        <v>1</v>
      </c>
      <c r="AF1328" s="18"/>
      <c r="AG1328" s="19"/>
      <c r="AL1328" s="18"/>
      <c r="AM1328" s="19"/>
    </row>
    <row r="1329">
      <c r="A1329" s="4" t="s">
        <v>2711</v>
      </c>
      <c r="B1329" s="10">
        <v>30242.0</v>
      </c>
      <c r="C1329" s="11" t="s">
        <v>108</v>
      </c>
      <c r="D1329" s="11" t="s">
        <v>51</v>
      </c>
      <c r="E1329" s="14" t="s">
        <v>52</v>
      </c>
      <c r="F1329" s="11" t="s">
        <v>53</v>
      </c>
      <c r="G1329" s="14" t="s">
        <v>54</v>
      </c>
      <c r="H1329" s="11" t="s">
        <v>92</v>
      </c>
      <c r="I1329" s="11" t="s">
        <v>590</v>
      </c>
      <c r="J1329" s="11">
        <v>27.0</v>
      </c>
      <c r="K1329" s="13">
        <v>30851.0</v>
      </c>
      <c r="L1329" s="11">
        <f t="shared" ref="L1329:L1331" si="128">ROUND(((K1329-B1329)/365)*12)</f>
        <v>20</v>
      </c>
      <c r="M1329" s="11">
        <v>110003.0</v>
      </c>
      <c r="N1329" s="11">
        <v>1000003.0</v>
      </c>
      <c r="O1329" s="4" t="s">
        <v>704</v>
      </c>
      <c r="P1329" s="11">
        <v>266.0</v>
      </c>
      <c r="Q1329" s="15">
        <v>360.667</v>
      </c>
      <c r="R1329" s="22">
        <v>0.0</v>
      </c>
      <c r="S1329">
        <f t="shared" si="1"/>
        <v>1982</v>
      </c>
      <c r="T1329">
        <f t="shared" si="2"/>
        <v>10</v>
      </c>
      <c r="AF1329" s="18"/>
      <c r="AG1329" s="19"/>
      <c r="AL1329" s="18"/>
      <c r="AM1329" s="19"/>
    </row>
    <row r="1330">
      <c r="A1330" s="4" t="s">
        <v>2713</v>
      </c>
      <c r="B1330" s="10">
        <v>30195.0</v>
      </c>
      <c r="C1330" s="11" t="s">
        <v>74</v>
      </c>
      <c r="D1330" s="11" t="s">
        <v>51</v>
      </c>
      <c r="E1330" s="14" t="s">
        <v>52</v>
      </c>
      <c r="F1330" s="11" t="s">
        <v>53</v>
      </c>
      <c r="G1330" s="14" t="s">
        <v>54</v>
      </c>
      <c r="H1330" s="11" t="s">
        <v>153</v>
      </c>
      <c r="I1330" s="11"/>
      <c r="J1330" s="11">
        <v>24.0</v>
      </c>
      <c r="K1330" s="13">
        <v>30779.0</v>
      </c>
      <c r="L1330" s="11">
        <f t="shared" si="128"/>
        <v>19</v>
      </c>
      <c r="M1330" s="11">
        <v>120193.0</v>
      </c>
      <c r="N1330" s="11">
        <v>1009970.0</v>
      </c>
      <c r="O1330" s="4" t="s">
        <v>2252</v>
      </c>
      <c r="P1330" s="11">
        <v>134.0</v>
      </c>
      <c r="Q1330" s="32">
        <v>749.3330000000001</v>
      </c>
      <c r="R1330" s="22">
        <v>0.0</v>
      </c>
      <c r="S1330">
        <f t="shared" si="1"/>
        <v>1982</v>
      </c>
      <c r="T1330">
        <f t="shared" si="2"/>
        <v>9</v>
      </c>
      <c r="AF1330" s="18"/>
      <c r="AG1330" s="19"/>
      <c r="AL1330" s="18"/>
      <c r="AM1330" s="19"/>
    </row>
    <row r="1331">
      <c r="A1331" s="4" t="s">
        <v>2714</v>
      </c>
      <c r="B1331" s="10">
        <v>30139.0</v>
      </c>
      <c r="C1331" s="11" t="s">
        <v>239</v>
      </c>
      <c r="D1331" s="11" t="s">
        <v>51</v>
      </c>
      <c r="E1331" s="14" t="s">
        <v>52</v>
      </c>
      <c r="F1331" s="11" t="s">
        <v>76</v>
      </c>
      <c r="G1331" s="14" t="s">
        <v>54</v>
      </c>
      <c r="H1331" s="11" t="s">
        <v>153</v>
      </c>
      <c r="I1331" s="11"/>
      <c r="J1331" s="11">
        <v>30.0</v>
      </c>
      <c r="K1331" s="13">
        <v>30827.0</v>
      </c>
      <c r="L1331" s="11">
        <f t="shared" si="128"/>
        <v>23</v>
      </c>
      <c r="M1331" s="11">
        <v>121645.0</v>
      </c>
      <c r="N1331" s="11">
        <v>1011392.0</v>
      </c>
      <c r="O1331" s="4" t="s">
        <v>2252</v>
      </c>
      <c r="P1331" s="11">
        <v>140.0</v>
      </c>
      <c r="Q1331" s="15">
        <v>140.667</v>
      </c>
      <c r="R1331" s="22">
        <v>0.0</v>
      </c>
      <c r="S1331">
        <f t="shared" si="1"/>
        <v>1982</v>
      </c>
      <c r="T1331">
        <f t="shared" si="2"/>
        <v>7</v>
      </c>
      <c r="AF1331" s="18"/>
      <c r="AG1331" s="19"/>
      <c r="AL1331" s="18"/>
      <c r="AM1331" s="19"/>
    </row>
    <row r="1332">
      <c r="A1332" s="4" t="s">
        <v>2715</v>
      </c>
      <c r="B1332" s="10">
        <v>29952.0</v>
      </c>
      <c r="C1332" s="11" t="s">
        <v>179</v>
      </c>
      <c r="D1332" s="11" t="s">
        <v>124</v>
      </c>
      <c r="E1332" s="14" t="s">
        <v>52</v>
      </c>
      <c r="F1332" s="11" t="s">
        <v>53</v>
      </c>
      <c r="G1332" s="14" t="s">
        <v>54</v>
      </c>
      <c r="H1332" s="11" t="s">
        <v>2716</v>
      </c>
      <c r="I1332" s="11"/>
      <c r="J1332" s="11">
        <v>20.0</v>
      </c>
      <c r="K1332" s="13">
        <v>30317.0</v>
      </c>
      <c r="L1332" s="14"/>
      <c r="M1332" s="11">
        <v>115781.0</v>
      </c>
      <c r="N1332" s="11">
        <v>1005670.0</v>
      </c>
      <c r="O1332" s="4" t="s">
        <v>2252</v>
      </c>
      <c r="P1332" s="11">
        <v>256.0</v>
      </c>
      <c r="Q1332" s="15">
        <v>334.667</v>
      </c>
      <c r="R1332" s="22">
        <v>0.0</v>
      </c>
      <c r="S1332">
        <f t="shared" si="1"/>
        <v>1982</v>
      </c>
      <c r="T1332">
        <f t="shared" si="2"/>
        <v>1</v>
      </c>
      <c r="AF1332" s="18"/>
      <c r="AG1332" s="19"/>
      <c r="AL1332" s="18"/>
      <c r="AM1332" s="19"/>
    </row>
    <row r="1333">
      <c r="A1333" s="4" t="s">
        <v>2717</v>
      </c>
      <c r="B1333" s="10">
        <v>29872.0</v>
      </c>
      <c r="C1333" s="11" t="s">
        <v>114</v>
      </c>
      <c r="D1333" s="11" t="s">
        <v>82</v>
      </c>
      <c r="E1333" s="14" t="s">
        <v>52</v>
      </c>
      <c r="F1333" s="11" t="s">
        <v>53</v>
      </c>
      <c r="G1333" s="14" t="s">
        <v>54</v>
      </c>
      <c r="H1333" s="11" t="s">
        <v>92</v>
      </c>
      <c r="I1333" s="11" t="s">
        <v>2718</v>
      </c>
      <c r="J1333" s="11">
        <v>23.0</v>
      </c>
      <c r="K1333" s="13">
        <v>30317.0</v>
      </c>
      <c r="L1333" s="14"/>
      <c r="M1333" s="11">
        <v>111954.0</v>
      </c>
      <c r="N1333" s="11">
        <v>1001911.0</v>
      </c>
      <c r="O1333" s="4" t="s">
        <v>2252</v>
      </c>
      <c r="P1333" s="11">
        <v>451.0</v>
      </c>
      <c r="Q1333" s="15">
        <v>2725.0</v>
      </c>
      <c r="R1333" s="22">
        <v>0.0</v>
      </c>
      <c r="S1333">
        <f t="shared" si="1"/>
        <v>1981</v>
      </c>
      <c r="T1333">
        <f t="shared" si="2"/>
        <v>10</v>
      </c>
      <c r="AF1333" s="18"/>
      <c r="AG1333" s="19"/>
      <c r="AL1333" s="18"/>
      <c r="AM1333" s="19"/>
    </row>
    <row r="1334">
      <c r="A1334" s="4" t="s">
        <v>2719</v>
      </c>
      <c r="B1334" s="10">
        <v>29587.0</v>
      </c>
      <c r="C1334" s="11" t="s">
        <v>74</v>
      </c>
      <c r="D1334" s="11" t="s">
        <v>82</v>
      </c>
      <c r="E1334" s="11" t="s">
        <v>52</v>
      </c>
      <c r="F1334" s="11" t="s">
        <v>76</v>
      </c>
      <c r="G1334" s="11" t="s">
        <v>54</v>
      </c>
      <c r="H1334" s="11" t="s">
        <v>153</v>
      </c>
      <c r="I1334" s="11" t="s">
        <v>1627</v>
      </c>
      <c r="J1334" s="11">
        <v>22.0</v>
      </c>
      <c r="K1334" s="13">
        <v>30317.0</v>
      </c>
      <c r="L1334" s="11"/>
      <c r="M1334" s="11">
        <v>115866.0</v>
      </c>
      <c r="N1334" s="11">
        <v>1005747.0</v>
      </c>
      <c r="O1334" s="4"/>
      <c r="P1334" s="11">
        <v>339.0</v>
      </c>
      <c r="Q1334" s="15">
        <v>961.667</v>
      </c>
      <c r="R1334" s="22">
        <v>0.0</v>
      </c>
      <c r="S1334">
        <f t="shared" si="1"/>
        <v>1981</v>
      </c>
      <c r="T1334">
        <f t="shared" si="2"/>
        <v>1</v>
      </c>
      <c r="AF1334" s="18"/>
      <c r="AG1334" s="19"/>
      <c r="AL1334" s="18"/>
      <c r="AM1334" s="19"/>
    </row>
    <row r="1335">
      <c r="A1335" s="4" t="s">
        <v>2721</v>
      </c>
      <c r="B1335" s="10">
        <v>28491.0</v>
      </c>
      <c r="C1335" s="11" t="s">
        <v>49</v>
      </c>
      <c r="D1335" s="11" t="s">
        <v>51</v>
      </c>
      <c r="E1335" s="14" t="s">
        <v>52</v>
      </c>
      <c r="F1335" s="11" t="s">
        <v>76</v>
      </c>
      <c r="G1335" s="14" t="s">
        <v>54</v>
      </c>
      <c r="H1335" s="11" t="s">
        <v>92</v>
      </c>
      <c r="I1335" s="11" t="s">
        <v>2722</v>
      </c>
      <c r="J1335" s="11">
        <v>28.0</v>
      </c>
      <c r="K1335" s="14"/>
      <c r="L1335" s="14"/>
      <c r="M1335" s="11">
        <v>122884.0</v>
      </c>
      <c r="N1335" s="11">
        <v>1012627.0</v>
      </c>
      <c r="O1335" s="4" t="s">
        <v>2252</v>
      </c>
      <c r="P1335" s="11">
        <v>0.0</v>
      </c>
      <c r="Q1335" s="32">
        <v>0.0</v>
      </c>
      <c r="R1335" s="22">
        <v>0.0</v>
      </c>
      <c r="S1335">
        <f t="shared" si="1"/>
        <v>1978</v>
      </c>
      <c r="T1335">
        <f t="shared" si="2"/>
        <v>1</v>
      </c>
      <c r="AF1335" s="18"/>
      <c r="AG1335" s="19"/>
      <c r="AL1335" s="18"/>
      <c r="AM1335" s="19"/>
    </row>
    <row r="1336">
      <c r="A1336" s="4" t="s">
        <v>741</v>
      </c>
      <c r="B1336" s="10">
        <v>27297.0</v>
      </c>
      <c r="C1336" s="11" t="s">
        <v>81</v>
      </c>
      <c r="D1336" s="11" t="s">
        <v>51</v>
      </c>
      <c r="E1336" s="14" t="s">
        <v>52</v>
      </c>
      <c r="F1336" s="11" t="s">
        <v>76</v>
      </c>
      <c r="G1336" s="14" t="s">
        <v>54</v>
      </c>
      <c r="H1336" s="11" t="s">
        <v>322</v>
      </c>
      <c r="I1336" s="11" t="s">
        <v>56</v>
      </c>
      <c r="J1336" s="11">
        <v>31.0</v>
      </c>
      <c r="K1336" s="13">
        <v>27866.0</v>
      </c>
      <c r="L1336" s="11">
        <f>ROUND(((K1336-B1336)/365)*12)</f>
        <v>19</v>
      </c>
      <c r="M1336" s="11">
        <v>116550.0</v>
      </c>
      <c r="N1336" s="11">
        <v>1006515.0</v>
      </c>
      <c r="O1336" s="4" t="s">
        <v>2252</v>
      </c>
      <c r="P1336" s="11">
        <v>405.0</v>
      </c>
      <c r="Q1336" s="15">
        <v>2544.667</v>
      </c>
      <c r="R1336" s="22">
        <v>0.0</v>
      </c>
      <c r="S1336">
        <f t="shared" si="1"/>
        <v>1974</v>
      </c>
      <c r="T1336">
        <f t="shared" si="2"/>
        <v>9</v>
      </c>
      <c r="AF1336" s="18"/>
      <c r="AG1336" s="19"/>
      <c r="AL1336" s="18"/>
      <c r="AM1336" s="19"/>
    </row>
    <row r="1337">
      <c r="A1337" s="4"/>
      <c r="B1337" s="10"/>
      <c r="C1337" s="11"/>
      <c r="D1337" s="11"/>
      <c r="E1337" s="14"/>
      <c r="F1337" s="11"/>
      <c r="G1337" s="14"/>
      <c r="H1337" s="11"/>
      <c r="I1337" s="11"/>
      <c r="J1337" s="11"/>
      <c r="K1337" s="13"/>
      <c r="L1337" s="11"/>
      <c r="M1337" s="11"/>
      <c r="N1337" s="11"/>
      <c r="O1337" s="4"/>
      <c r="P1337" s="11"/>
      <c r="Q1337" s="15"/>
      <c r="R1337" s="22"/>
      <c r="AF1337" s="18"/>
      <c r="AG1337" s="19"/>
      <c r="AL1337" s="18"/>
      <c r="AM1337" s="19"/>
    </row>
    <row r="1338">
      <c r="A1338" s="4"/>
      <c r="B1338" s="10"/>
      <c r="C1338" s="11"/>
      <c r="D1338" s="11"/>
      <c r="E1338" s="14"/>
      <c r="F1338" s="11"/>
      <c r="G1338" s="14"/>
      <c r="H1338" s="11"/>
      <c r="I1338" s="11"/>
      <c r="J1338" s="11"/>
      <c r="K1338" s="13"/>
      <c r="L1338" s="11"/>
      <c r="M1338" s="11"/>
      <c r="N1338" s="11"/>
      <c r="O1338" s="4"/>
      <c r="P1338" s="11"/>
      <c r="Q1338" s="15"/>
      <c r="R1338" s="22"/>
      <c r="AF1338" s="18"/>
      <c r="AG1338" s="19"/>
      <c r="AL1338" s="18"/>
      <c r="AM1338" s="19"/>
    </row>
    <row r="1339">
      <c r="A1339" s="4"/>
      <c r="B1339" s="10"/>
      <c r="C1339" s="11"/>
      <c r="D1339" s="11"/>
      <c r="E1339" s="14"/>
      <c r="F1339" s="11"/>
      <c r="G1339" s="14"/>
      <c r="H1339" s="11"/>
      <c r="I1339" s="11"/>
      <c r="J1339" s="11"/>
      <c r="K1339" s="13"/>
      <c r="L1339" s="11"/>
      <c r="M1339" s="11"/>
      <c r="N1339" s="11"/>
      <c r="O1339" s="4"/>
      <c r="P1339" s="11"/>
      <c r="Q1339" s="15"/>
      <c r="R1339" s="22"/>
      <c r="AF1339" s="18"/>
      <c r="AG1339" s="19"/>
      <c r="AL1339" s="18"/>
      <c r="AM1339" s="19"/>
    </row>
    <row r="1340">
      <c r="A1340" s="4"/>
      <c r="B1340" s="10"/>
      <c r="C1340" s="11"/>
      <c r="D1340" s="11"/>
      <c r="E1340" s="14"/>
      <c r="F1340" s="11"/>
      <c r="G1340" s="14"/>
      <c r="H1340" s="11"/>
      <c r="I1340" s="11"/>
      <c r="J1340" s="11"/>
      <c r="K1340" s="13"/>
      <c r="L1340" s="11"/>
      <c r="M1340" s="11"/>
      <c r="N1340" s="11"/>
      <c r="O1340" s="4"/>
      <c r="P1340" s="11"/>
      <c r="Q1340" s="15"/>
      <c r="R1340" s="22"/>
      <c r="AF1340" s="18"/>
      <c r="AG1340" s="19"/>
      <c r="AL1340" s="18"/>
      <c r="AM1340" s="19"/>
    </row>
    <row r="1341">
      <c r="A1341" s="4"/>
      <c r="B1341" s="10"/>
      <c r="C1341" s="11"/>
      <c r="D1341" s="11"/>
      <c r="E1341" s="14"/>
      <c r="F1341" s="11"/>
      <c r="G1341" s="14"/>
      <c r="H1341" s="11"/>
      <c r="I1341" s="11"/>
      <c r="J1341" s="11"/>
      <c r="K1341" s="13"/>
      <c r="L1341" s="11"/>
      <c r="M1341" s="11"/>
      <c r="N1341" s="11"/>
      <c r="O1341" s="4"/>
      <c r="P1341" s="11"/>
      <c r="Q1341" s="15"/>
      <c r="R1341" s="22"/>
      <c r="AF1341" s="18"/>
      <c r="AG1341" s="19"/>
      <c r="AL1341" s="18"/>
      <c r="AM1341" s="19"/>
    </row>
    <row r="1342">
      <c r="A1342" s="4"/>
      <c r="B1342" s="10"/>
      <c r="C1342" s="11"/>
      <c r="D1342" s="11"/>
      <c r="E1342" s="14"/>
      <c r="F1342" s="11"/>
      <c r="G1342" s="14"/>
      <c r="H1342" s="11"/>
      <c r="I1342" s="11"/>
      <c r="J1342" s="11"/>
      <c r="K1342" s="13"/>
      <c r="L1342" s="11"/>
      <c r="M1342" s="11"/>
      <c r="N1342" s="11"/>
      <c r="O1342" s="4"/>
      <c r="P1342" s="11"/>
      <c r="Q1342" s="15"/>
      <c r="R1342" s="22"/>
      <c r="AF1342" s="18"/>
      <c r="AG1342" s="19"/>
      <c r="AL1342" s="18"/>
      <c r="AM1342" s="19"/>
    </row>
    <row r="1343">
      <c r="A1343" s="4"/>
      <c r="B1343" s="10"/>
      <c r="C1343" s="11"/>
      <c r="D1343" s="11"/>
      <c r="E1343" s="14"/>
      <c r="F1343" s="11"/>
      <c r="G1343" s="14"/>
      <c r="H1343" s="11"/>
      <c r="I1343" s="11"/>
      <c r="J1343" s="11"/>
      <c r="K1343" s="13"/>
      <c r="L1343" s="11"/>
      <c r="M1343" s="11"/>
      <c r="N1343" s="11"/>
      <c r="O1343" s="4"/>
      <c r="P1343" s="11"/>
      <c r="Q1343" s="15"/>
      <c r="R1343" s="22"/>
      <c r="AF1343" s="18"/>
      <c r="AG1343" s="19"/>
      <c r="AL1343" s="18"/>
      <c r="AM1343" s="19"/>
    </row>
    <row r="1344">
      <c r="A1344" s="4"/>
      <c r="B1344" s="10"/>
      <c r="C1344" s="11"/>
      <c r="D1344" s="11"/>
      <c r="E1344" s="14"/>
      <c r="F1344" s="11"/>
      <c r="G1344" s="14"/>
      <c r="H1344" s="11"/>
      <c r="I1344" s="11"/>
      <c r="J1344" s="11"/>
      <c r="K1344" s="13"/>
      <c r="L1344" s="11"/>
      <c r="M1344" s="11"/>
      <c r="N1344" s="11"/>
      <c r="O1344" s="4"/>
      <c r="P1344" s="11"/>
      <c r="Q1344" s="15"/>
      <c r="R1344" s="22"/>
      <c r="AF1344" s="18"/>
      <c r="AG1344" s="19"/>
      <c r="AL1344" s="18"/>
      <c r="AM1344" s="19"/>
    </row>
    <row r="1345">
      <c r="A1345" s="4"/>
      <c r="B1345" s="10"/>
      <c r="C1345" s="11"/>
      <c r="D1345" s="11"/>
      <c r="E1345" s="14"/>
      <c r="F1345" s="11"/>
      <c r="G1345" s="14"/>
      <c r="H1345" s="11"/>
      <c r="I1345" s="11"/>
      <c r="J1345" s="11"/>
      <c r="K1345" s="13"/>
      <c r="L1345" s="11"/>
      <c r="M1345" s="11"/>
      <c r="N1345" s="11"/>
      <c r="O1345" s="4"/>
      <c r="P1345" s="11"/>
      <c r="Q1345" s="15"/>
      <c r="R1345" s="22"/>
      <c r="AF1345" s="18"/>
      <c r="AG1345" s="19"/>
      <c r="AL1345" s="18"/>
      <c r="AM1345" s="19"/>
    </row>
    <row r="1346">
      <c r="A1346" s="4"/>
      <c r="B1346" s="10"/>
      <c r="C1346" s="11"/>
      <c r="D1346" s="11"/>
      <c r="E1346" s="14"/>
      <c r="F1346" s="11"/>
      <c r="G1346" s="14"/>
      <c r="H1346" s="11"/>
      <c r="I1346" s="11"/>
      <c r="J1346" s="11"/>
      <c r="K1346" s="13"/>
      <c r="L1346" s="11"/>
      <c r="M1346" s="11"/>
      <c r="N1346" s="11"/>
      <c r="O1346" s="4"/>
      <c r="P1346" s="11"/>
      <c r="Q1346" s="15"/>
      <c r="R1346" s="22"/>
      <c r="AF1346" s="18"/>
      <c r="AG1346" s="19"/>
      <c r="AL1346" s="18"/>
      <c r="AM1346" s="19"/>
    </row>
  </sheetData>
  <conditionalFormatting sqref="K1:K1346">
    <cfRule type="expression" dxfId="0" priority="1">
      <formula>R1=0</formula>
    </cfRule>
  </conditionalFormatting>
  <conditionalFormatting sqref="L1:L1346">
    <cfRule type="expression" dxfId="0" priority="2">
      <formula>R1=0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11</v>
      </c>
    </row>
    <row r="2">
      <c r="A2" s="4" t="s">
        <v>13</v>
      </c>
    </row>
    <row r="3">
      <c r="A3" s="4" t="s">
        <v>20</v>
      </c>
    </row>
    <row r="4">
      <c r="A4" s="4" t="s">
        <v>21</v>
      </c>
    </row>
    <row r="5">
      <c r="A5" s="4" t="s">
        <v>22</v>
      </c>
    </row>
    <row r="6">
      <c r="A6" s="4" t="s">
        <v>23</v>
      </c>
    </row>
    <row r="7">
      <c r="A7" s="4" t="s">
        <v>34</v>
      </c>
    </row>
    <row r="8">
      <c r="A8" s="4" t="s">
        <v>38</v>
      </c>
    </row>
    <row r="9">
      <c r="A9" s="4" t="s">
        <v>39</v>
      </c>
    </row>
    <row r="10">
      <c r="A10" s="4" t="s">
        <v>40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3.43"/>
    <col customWidth="1" min="2" max="2" width="13.29"/>
    <col customWidth="1" min="3" max="3" width="147.43"/>
    <col customWidth="1" min="4" max="4" width="23.29"/>
    <col customWidth="1" min="5" max="5" width="42.71"/>
    <col customWidth="1" hidden="1" min="7" max="7" width="19.43"/>
    <col customWidth="1" hidden="1" min="8" max="8" width="13.29"/>
    <col customWidth="1" hidden="1" min="9" max="9" width="8.14"/>
    <col customWidth="1" hidden="1" min="10" max="10" width="10.29"/>
    <col customWidth="1" hidden="1" min="12" max="12" width="19.43"/>
    <col customWidth="1" hidden="1" min="13" max="13" width="13.29"/>
    <col customWidth="1" hidden="1" min="14" max="14" width="18.71"/>
    <col customWidth="1" hidden="1" min="15" max="15" width="9.14"/>
    <col customWidth="1" hidden="1" min="16" max="16" width="10.29"/>
    <col customWidth="1" hidden="1" min="17" max="17" width="7.86"/>
    <col customWidth="1" hidden="1" min="19" max="19" width="18.86"/>
    <col customWidth="1" hidden="1" min="20" max="20" width="9.57"/>
    <col customWidth="1" hidden="1" min="21" max="21" width="8.14"/>
    <col customWidth="1" hidden="1" min="23" max="23" width="19.14"/>
    <col customWidth="1" hidden="1" min="24" max="24" width="5.71"/>
    <col customWidth="1" hidden="1" min="25" max="25" width="8.14"/>
    <col customWidth="1" hidden="1" min="26" max="26" width="10.14"/>
  </cols>
  <sheetData>
    <row r="1">
      <c r="A1" s="7" t="s">
        <v>12</v>
      </c>
      <c r="F1" s="9"/>
      <c r="G1" s="1" t="s">
        <v>45</v>
      </c>
      <c r="H1" s="1" t="s">
        <v>2</v>
      </c>
      <c r="I1" s="1" t="s">
        <v>46</v>
      </c>
      <c r="J1" s="1" t="s">
        <v>47</v>
      </c>
      <c r="K1" s="1"/>
      <c r="L1" s="1" t="s">
        <v>48</v>
      </c>
      <c r="M1" s="1" t="s">
        <v>2</v>
      </c>
      <c r="N1" s="12" t="s">
        <v>50</v>
      </c>
      <c r="O1" s="12" t="s">
        <v>46</v>
      </c>
      <c r="P1" s="1" t="s">
        <v>47</v>
      </c>
      <c r="Q1" s="1" t="s">
        <v>57</v>
      </c>
      <c r="R1" s="9"/>
      <c r="S1" s="1" t="s">
        <v>58</v>
      </c>
      <c r="T1" s="1" t="s">
        <v>2</v>
      </c>
      <c r="U1" s="1" t="s">
        <v>46</v>
      </c>
      <c r="V1" s="9"/>
      <c r="W1" s="1" t="s">
        <v>45</v>
      </c>
      <c r="X1" s="1" t="s">
        <v>2</v>
      </c>
      <c r="Y1" s="1" t="s">
        <v>46</v>
      </c>
      <c r="Z1" s="16" t="s">
        <v>47</v>
      </c>
    </row>
    <row r="2">
      <c r="A2" s="17" t="s">
        <v>2</v>
      </c>
      <c r="B2" s="7" t="s">
        <v>64</v>
      </c>
      <c r="C2" s="17" t="s">
        <v>66</v>
      </c>
      <c r="D2" s="7" t="s">
        <v>68</v>
      </c>
      <c r="E2" s="17" t="s">
        <v>70</v>
      </c>
      <c r="F2" s="9"/>
      <c r="G2" s="4" t="s">
        <v>71</v>
      </c>
      <c r="H2" s="4" t="s">
        <v>72</v>
      </c>
      <c r="I2" s="4">
        <v>1157.0</v>
      </c>
      <c r="J2" t="str">
        <f t="array" ref="J2">INDEX('TJ List'!B:B,MATCH(I2,'TJ List'!N:N,0),0)
</f>
        <v>#N/A</v>
      </c>
      <c r="K2" s="1"/>
      <c r="L2" s="4" t="s">
        <v>146</v>
      </c>
      <c r="M2" s="4" t="s">
        <v>147</v>
      </c>
      <c r="N2" s="21" t="s">
        <v>148</v>
      </c>
      <c r="O2" s="21">
        <v>3580.0</v>
      </c>
      <c r="P2" s="10">
        <f t="array" ref="P2">INDEX('TJ List'!B:B,MATCH(O2,'TJ List'!N:N,0),0)
</f>
        <v>37844</v>
      </c>
      <c r="Q2">
        <f t="shared" ref="Q2:Q87" si="1">IFERROR(INDEX(I:I,MATCH(O2,I:I,0),0),0)
</f>
        <v>0</v>
      </c>
      <c r="R2" s="9"/>
      <c r="S2" s="4" t="s">
        <v>200</v>
      </c>
      <c r="T2" s="4" t="s">
        <v>201</v>
      </c>
      <c r="U2">
        <f t="shared" ref="U2:U3" si="2">INDEX(I:I,MATCH(S2,G:G,0),0)
</f>
        <v>4403</v>
      </c>
      <c r="V2" s="9"/>
      <c r="W2" s="4" t="s">
        <v>219</v>
      </c>
      <c r="X2" s="4" t="s">
        <v>72</v>
      </c>
      <c r="Y2" s="4">
        <v>521.0</v>
      </c>
      <c r="Z2" s="29">
        <v>37257.0</v>
      </c>
    </row>
    <row r="3">
      <c r="A3" s="4" t="s">
        <v>222</v>
      </c>
      <c r="B3" s="14">
        <f t="shared" ref="B3:B32" si="3">COUNTIFS(H:H,A3,J:J,"&gt;0")</f>
        <v>13</v>
      </c>
      <c r="C3" t="str">
        <f t="shared" ref="C3:C32" si="4">IF(B3&gt;0,JOIN(", ",TRANSPOSE(INDIRECT(ADDRESS(MATCH(A3,H:H,0),7)&amp;":"&amp;ADDRESS(MATCH(A3,H:H,0)+B3-1,7)))),"")</f>
        <v>Steve Delabar, Jumbo Diaz, Josh Smith, Dayan Diaz, Alfredo Simon, Layne Somsen, A.J. Morris, John Lamb, Blake Wood, Tim Melville, Matt Magill, Homer Bailey, Jon Moscot</v>
      </c>
      <c r="D3" s="14">
        <f t="shared" ref="D3:D32" si="5">COUNTIFS(M:M,A3,P:P,"&gt;0",Q:Q,0)</f>
        <v>0</v>
      </c>
      <c r="E3" t="str">
        <f t="shared" ref="E3:E32" si="6">IF(D3&gt;0,JOIN(", ",TRANSPOSE(INDIRECT(ADDRESS(MATCH(A3,M:M,0),12)&amp;":"&amp;ADDRESS(MATCH(A3,M:M,0)+D3-1,12)))),"")</f>
        <v/>
      </c>
      <c r="G3" s="4" t="s">
        <v>241</v>
      </c>
      <c r="H3" s="4" t="s">
        <v>72</v>
      </c>
      <c r="I3" s="4">
        <v>1437.0</v>
      </c>
      <c r="J3" t="str">
        <f t="array" ref="J3">INDEX('TJ List'!B:B,MATCH(I3,'TJ List'!N:N,0),0)
</f>
        <v>#N/A</v>
      </c>
      <c r="L3" s="4" t="s">
        <v>253</v>
      </c>
      <c r="M3" s="4" t="s">
        <v>147</v>
      </c>
      <c r="N3" s="21" t="s">
        <v>148</v>
      </c>
      <c r="O3" s="21">
        <v>4776.0</v>
      </c>
      <c r="P3" s="30" t="str">
        <f t="array" ref="P3">INDEX('TJ List'!B:B,MATCH(O3,'TJ List'!N:N,0),0)
</f>
        <v>#N/A</v>
      </c>
      <c r="Q3">
        <f t="shared" si="1"/>
        <v>4776</v>
      </c>
      <c r="S3" s="4" t="s">
        <v>275</v>
      </c>
      <c r="T3" s="4" t="s">
        <v>276</v>
      </c>
      <c r="U3">
        <f t="shared" si="2"/>
        <v>9308</v>
      </c>
      <c r="W3" s="4" t="s">
        <v>277</v>
      </c>
      <c r="X3" s="4" t="s">
        <v>72</v>
      </c>
      <c r="Y3" s="4">
        <v>6283.0</v>
      </c>
      <c r="Z3" s="29">
        <v>37622.0</v>
      </c>
    </row>
    <row r="4">
      <c r="A4" s="4" t="s">
        <v>276</v>
      </c>
      <c r="B4" s="14">
        <f t="shared" si="3"/>
        <v>12</v>
      </c>
      <c r="C4" t="str">
        <f t="shared" si="4"/>
        <v>John Axford, Andrew Triggs, Jesse Hahn, Daniel Coulombe, Rich Hill, Ryan Madson, Eric Surkamp, Fernando Rodriguez, Dillon Overton, Raul Alcantara, Chris Bassitt, Sean Doolittle</v>
      </c>
      <c r="D4" s="14">
        <f t="shared" si="5"/>
        <v>2</v>
      </c>
      <c r="E4" t="str">
        <f t="shared" si="6"/>
        <v>Jarrod Parker, Felix Doubront</v>
      </c>
      <c r="G4" s="4" t="s">
        <v>282</v>
      </c>
      <c r="H4" s="4" t="s">
        <v>72</v>
      </c>
      <c r="I4" s="4">
        <v>1841.0</v>
      </c>
      <c r="J4" t="str">
        <f t="array" ref="J4">INDEX('TJ List'!B:B,MATCH(I4,'TJ List'!N:N,0),0)
</f>
        <v>#N/A</v>
      </c>
      <c r="L4" s="4" t="s">
        <v>298</v>
      </c>
      <c r="M4" s="4" t="s">
        <v>147</v>
      </c>
      <c r="N4" s="21" t="s">
        <v>148</v>
      </c>
      <c r="O4" s="21">
        <v>8258.0</v>
      </c>
      <c r="P4" s="30" t="str">
        <f t="array" ref="P4">INDEX('TJ List'!B:B,MATCH(O4,'TJ List'!N:N,0),0)
</f>
        <v>#N/A</v>
      </c>
      <c r="Q4">
        <f t="shared" si="1"/>
        <v>8258</v>
      </c>
      <c r="S4" s="4" t="s">
        <v>317</v>
      </c>
      <c r="T4" s="4" t="s">
        <v>319</v>
      </c>
      <c r="U4" s="4">
        <v>5519.0</v>
      </c>
      <c r="W4" s="4" t="s">
        <v>320</v>
      </c>
      <c r="X4" s="4" t="s">
        <v>72</v>
      </c>
      <c r="Y4" s="4">
        <v>494.0</v>
      </c>
      <c r="Z4" s="29">
        <v>38106.0</v>
      </c>
    </row>
    <row r="5">
      <c r="A5" s="4" t="s">
        <v>321</v>
      </c>
      <c r="B5" s="14">
        <f t="shared" si="3"/>
        <v>10</v>
      </c>
      <c r="C5" t="str">
        <f t="shared" si="4"/>
        <v>Edinson Volquez, Joakim Soria, Danny Duffy, Matt Strahm, Alec Mills, Brooks Pounders, Luke Hochevar, Kris Medlen, Peter Moylan, Jason Vargas</v>
      </c>
      <c r="D5" s="14">
        <f t="shared" si="5"/>
        <v>1</v>
      </c>
      <c r="E5" t="str">
        <f t="shared" si="6"/>
        <v>Tim Collins</v>
      </c>
      <c r="G5" s="4" t="s">
        <v>326</v>
      </c>
      <c r="H5" s="4" t="s">
        <v>72</v>
      </c>
      <c r="I5" s="4">
        <v>2332.0</v>
      </c>
      <c r="J5" t="str">
        <f t="array" ref="J5">INDEX('TJ List'!B:B,MATCH(I5,'TJ List'!N:N,0),0)
</f>
        <v>#N/A</v>
      </c>
      <c r="L5" s="4" t="s">
        <v>106</v>
      </c>
      <c r="M5" s="4" t="s">
        <v>147</v>
      </c>
      <c r="N5" s="21" t="s">
        <v>148</v>
      </c>
      <c r="O5" s="21">
        <v>9784.0</v>
      </c>
      <c r="P5" s="30" t="str">
        <f t="array" ref="P5">INDEX('TJ List'!B:B,MATCH(O5,'TJ List'!N:N,0),0)
</f>
        <v>#N/A</v>
      </c>
      <c r="Q5">
        <f t="shared" si="1"/>
        <v>9784</v>
      </c>
      <c r="S5" s="4" t="s">
        <v>354</v>
      </c>
      <c r="T5" s="4" t="s">
        <v>356</v>
      </c>
      <c r="U5" s="4">
        <v>9063.0</v>
      </c>
      <c r="W5" s="4" t="s">
        <v>357</v>
      </c>
      <c r="X5" s="4" t="s">
        <v>72</v>
      </c>
      <c r="Y5" s="4">
        <v>1368.0</v>
      </c>
      <c r="Z5" s="29">
        <v>38477.0</v>
      </c>
    </row>
    <row r="6">
      <c r="A6" s="4" t="s">
        <v>358</v>
      </c>
      <c r="B6" s="14">
        <f t="shared" si="3"/>
        <v>10</v>
      </c>
      <c r="C6" t="str">
        <f t="shared" si="4"/>
        <v>Anibal Sanchez, Dustin Molleken, Logan Kensing, Alex Wilson, Shane Greene, Drew VerHagen, Jordan Zimmermann, Mike Pelfrey, Bruce Rondon, Bobby Parnell</v>
      </c>
      <c r="D6" s="14">
        <f t="shared" si="5"/>
        <v>0</v>
      </c>
      <c r="E6" t="str">
        <f t="shared" si="6"/>
        <v/>
      </c>
      <c r="G6" s="4" t="s">
        <v>362</v>
      </c>
      <c r="H6" s="4" t="s">
        <v>72</v>
      </c>
      <c r="I6" s="4">
        <v>2608.0</v>
      </c>
      <c r="J6" t="str">
        <f t="array" ref="J6">INDEX('TJ List'!B:B,MATCH(I6,'TJ List'!N:N,0),0)
</f>
        <v>#N/A</v>
      </c>
      <c r="L6" s="4" t="s">
        <v>186</v>
      </c>
      <c r="M6" s="4" t="s">
        <v>147</v>
      </c>
      <c r="N6" s="21" t="s">
        <v>148</v>
      </c>
      <c r="O6" s="21">
        <v>12385.0</v>
      </c>
      <c r="P6" s="10">
        <f t="array" ref="P6">INDEX('TJ List'!B:B,MATCH(O6,'TJ List'!N:N,0),0)
</f>
        <v>42598</v>
      </c>
      <c r="Q6">
        <f t="shared" si="1"/>
        <v>12385</v>
      </c>
      <c r="S6" s="4" t="s">
        <v>386</v>
      </c>
      <c r="T6" s="4" t="s">
        <v>356</v>
      </c>
      <c r="U6" s="4">
        <v>10028.0</v>
      </c>
      <c r="W6" s="4" t="s">
        <v>387</v>
      </c>
      <c r="X6" s="4" t="s">
        <v>72</v>
      </c>
      <c r="Y6" s="4">
        <v>4264.0</v>
      </c>
      <c r="Z6" s="29">
        <v>39021.0</v>
      </c>
    </row>
    <row r="7">
      <c r="A7" s="4" t="s">
        <v>389</v>
      </c>
      <c r="B7" s="14">
        <f t="shared" si="3"/>
        <v>9</v>
      </c>
      <c r="C7" t="str">
        <f t="shared" si="4"/>
        <v>Jason Grilli, Scott Feldman, Francisco Liriano, Joseph Biagini, Arnold Leon, Dustin Antolin, Drew Hutchison, Gavin Floyd, Roberto Osuna</v>
      </c>
      <c r="D7" s="14">
        <f t="shared" si="5"/>
        <v>0</v>
      </c>
      <c r="E7" t="str">
        <f t="shared" si="6"/>
        <v/>
      </c>
      <c r="G7" s="4" t="s">
        <v>393</v>
      </c>
      <c r="H7" s="4" t="s">
        <v>72</v>
      </c>
      <c r="I7" s="4">
        <v>2646.0</v>
      </c>
      <c r="J7" t="str">
        <f t="array" ref="J7">INDEX('TJ List'!B:B,MATCH(I7,'TJ List'!N:N,0),0)
</f>
        <v>#N/A</v>
      </c>
      <c r="L7" s="4" t="s">
        <v>409</v>
      </c>
      <c r="M7" s="4" t="s">
        <v>147</v>
      </c>
      <c r="N7" s="21" t="s">
        <v>148</v>
      </c>
      <c r="O7" s="21">
        <v>13360.0</v>
      </c>
      <c r="P7" s="10">
        <f t="array" ref="P7">INDEX('TJ List'!B:B,MATCH(O7,'TJ List'!N:N,0),0)
</f>
        <v>40664</v>
      </c>
      <c r="Q7">
        <f t="shared" si="1"/>
        <v>13360</v>
      </c>
      <c r="S7" s="4" t="s">
        <v>426</v>
      </c>
      <c r="T7" s="4" t="s">
        <v>276</v>
      </c>
      <c r="U7" s="4">
        <v>3211.0</v>
      </c>
      <c r="W7" s="4" t="s">
        <v>427</v>
      </c>
      <c r="X7" s="4" t="s">
        <v>72</v>
      </c>
      <c r="Y7" s="4">
        <v>3201.0</v>
      </c>
      <c r="Z7" s="29">
        <v>39027.0</v>
      </c>
    </row>
    <row r="8">
      <c r="A8" s="4" t="s">
        <v>428</v>
      </c>
      <c r="B8" s="14">
        <f t="shared" si="3"/>
        <v>9</v>
      </c>
      <c r="C8" t="str">
        <f t="shared" si="4"/>
        <v>Jason Grilli, Matt Marksberry, Jason Hursh, Arodys Vizcaino, Casey Kelly, Eric O'Flaherty, Chris Withrow, Daniel Winkler, Shae Simmons</v>
      </c>
      <c r="D8" s="14">
        <f t="shared" si="5"/>
        <v>3</v>
      </c>
      <c r="E8" t="str">
        <f t="shared" si="6"/>
        <v>Paco Rodriguez, Jesse Biddle, Andrew McKirahan</v>
      </c>
      <c r="G8" s="4" t="s">
        <v>430</v>
      </c>
      <c r="H8" s="4" t="s">
        <v>72</v>
      </c>
      <c r="I8" s="4">
        <v>2859.0</v>
      </c>
      <c r="J8" t="str">
        <f t="array" ref="J8">INDEX('TJ List'!B:B,MATCH(I8,'TJ List'!N:N,0),0)
</f>
        <v>#N/A</v>
      </c>
      <c r="L8" s="4" t="s">
        <v>116</v>
      </c>
      <c r="M8" s="4" t="s">
        <v>147</v>
      </c>
      <c r="N8" s="21" t="s">
        <v>148</v>
      </c>
      <c r="O8" s="21">
        <v>15423.0</v>
      </c>
      <c r="P8" s="10">
        <f t="array" ref="P8">INDEX('TJ List'!B:B,MATCH(O8,'TJ List'!N:N,0),0)
</f>
        <v>42552</v>
      </c>
      <c r="Q8">
        <f t="shared" si="1"/>
        <v>15423</v>
      </c>
      <c r="S8" s="4" t="s">
        <v>465</v>
      </c>
      <c r="T8" s="4" t="s">
        <v>466</v>
      </c>
      <c r="U8" s="4">
        <v>6677.0</v>
      </c>
      <c r="W8" s="4" t="s">
        <v>468</v>
      </c>
      <c r="X8" s="4" t="s">
        <v>72</v>
      </c>
      <c r="Y8" s="4">
        <v>12220.0</v>
      </c>
      <c r="Z8" s="29">
        <v>39234.0</v>
      </c>
    </row>
    <row r="9">
      <c r="A9" s="4" t="s">
        <v>469</v>
      </c>
      <c r="B9" s="14">
        <f t="shared" si="3"/>
        <v>9</v>
      </c>
      <c r="C9" t="str">
        <f t="shared" si="4"/>
        <v>Albert Suarez, George Kontos, Josh Osich, Hunter Strickland, Matt Reynolds, Cory Gearrin, Matt Moore, Derek Law, Joe Nathan</v>
      </c>
      <c r="D9" s="14">
        <f t="shared" si="5"/>
        <v>1</v>
      </c>
      <c r="E9" t="str">
        <f t="shared" si="6"/>
        <v>Raymond Black</v>
      </c>
      <c r="G9" s="4" t="s">
        <v>470</v>
      </c>
      <c r="H9" s="4" t="s">
        <v>72</v>
      </c>
      <c r="I9" s="4">
        <v>3281.0</v>
      </c>
      <c r="J9" t="str">
        <f t="array" ref="J9">INDEX('TJ List'!B:B,MATCH(I9,'TJ List'!N:N,0),0)
</f>
        <v>#N/A</v>
      </c>
      <c r="L9" s="4" t="s">
        <v>460</v>
      </c>
      <c r="M9" s="4" t="s">
        <v>276</v>
      </c>
      <c r="N9" s="21" t="s">
        <v>474</v>
      </c>
      <c r="O9" s="21">
        <v>4913.0</v>
      </c>
      <c r="P9" s="10">
        <f t="array" ref="P9">INDEX('TJ List'!B:B,MATCH(O9,'TJ List'!N:N,0),0)
</f>
        <v>41722</v>
      </c>
      <c r="Q9">
        <f t="shared" si="1"/>
        <v>0</v>
      </c>
      <c r="S9" s="4" t="s">
        <v>482</v>
      </c>
      <c r="T9" s="4" t="s">
        <v>358</v>
      </c>
      <c r="U9" s="4">
        <v>1159.0</v>
      </c>
      <c r="W9" s="4" t="s">
        <v>484</v>
      </c>
      <c r="X9" s="4" t="s">
        <v>72</v>
      </c>
      <c r="Y9" s="4">
        <v>8992.0</v>
      </c>
      <c r="Z9" s="29">
        <v>40544.0</v>
      </c>
    </row>
    <row r="10">
      <c r="A10" s="4" t="s">
        <v>485</v>
      </c>
      <c r="B10" s="14">
        <f t="shared" si="3"/>
        <v>9</v>
      </c>
      <c r="C10" t="str">
        <f t="shared" si="4"/>
        <v>Jeff Manship, Cody Allen, Dan Otero, Joseph Colon, Danny Salazar, Joba Chamberlain, Carlos Carrasco, Mike Clevinger, Josh Tomlin</v>
      </c>
      <c r="D10" s="14">
        <f t="shared" si="5"/>
        <v>0</v>
      </c>
      <c r="E10" t="str">
        <f t="shared" si="6"/>
        <v/>
      </c>
      <c r="G10" s="4" t="s">
        <v>488</v>
      </c>
      <c r="H10" s="4" t="s">
        <v>72</v>
      </c>
      <c r="I10" s="4">
        <v>3551.0</v>
      </c>
      <c r="J10" t="str">
        <f t="array" ref="J10">INDEX('TJ List'!B:B,MATCH(I10,'TJ List'!N:N,0),0)
</f>
        <v>#N/A</v>
      </c>
      <c r="L10" s="4" t="s">
        <v>348</v>
      </c>
      <c r="M10" s="4" t="s">
        <v>276</v>
      </c>
      <c r="N10" s="21" t="s">
        <v>474</v>
      </c>
      <c r="O10" s="21">
        <v>1478.0</v>
      </c>
      <c r="P10" s="10">
        <f t="array" ref="P10">INDEX('TJ List'!B:B,MATCH(O10,'TJ List'!N:N,0),0)
</f>
        <v>42472</v>
      </c>
      <c r="Q10">
        <f t="shared" si="1"/>
        <v>0</v>
      </c>
      <c r="S10" s="4" t="s">
        <v>514</v>
      </c>
      <c r="T10" s="4" t="s">
        <v>485</v>
      </c>
      <c r="U10" s="4">
        <v>7324.0</v>
      </c>
      <c r="W10" s="4" t="s">
        <v>515</v>
      </c>
      <c r="X10" s="4" t="s">
        <v>72</v>
      </c>
      <c r="Y10" s="4">
        <v>4806.0</v>
      </c>
      <c r="Z10" s="29">
        <v>40703.0</v>
      </c>
    </row>
    <row r="11">
      <c r="A11" s="4" t="s">
        <v>516</v>
      </c>
      <c r="B11" s="14">
        <f t="shared" si="3"/>
        <v>9</v>
      </c>
      <c r="C11" t="str">
        <f t="shared" si="4"/>
        <v>Chris Narveson, Jo-Jo Reyes, Fernando Rodney, Dustin McGowan, Wei-Yin Chen, Bryan Morris, Brian Ellington, A.J. Ramos, Jose Fernandez</v>
      </c>
      <c r="D11" s="14">
        <f t="shared" si="5"/>
        <v>0</v>
      </c>
      <c r="E11" t="str">
        <f t="shared" si="6"/>
        <v/>
      </c>
      <c r="G11" s="4" t="s">
        <v>519</v>
      </c>
      <c r="H11" s="4" t="s">
        <v>72</v>
      </c>
      <c r="I11" s="4">
        <v>3815.0</v>
      </c>
      <c r="J11" t="str">
        <f t="array" ref="J11">INDEX('TJ List'!B:B,MATCH(I11,'TJ List'!N:N,0),0)
</f>
        <v>#N/A</v>
      </c>
      <c r="L11" s="4" t="s">
        <v>530</v>
      </c>
      <c r="M11" s="4" t="s">
        <v>276</v>
      </c>
      <c r="N11" s="21" t="s">
        <v>474</v>
      </c>
      <c r="O11" s="21">
        <v>5669.0</v>
      </c>
      <c r="P11" s="30" t="str">
        <f t="array" ref="P11">INDEX('TJ List'!B:B,MATCH(O11,'TJ List'!N:N,0),0)
</f>
        <v>#N/A</v>
      </c>
      <c r="Q11">
        <f t="shared" si="1"/>
        <v>0</v>
      </c>
      <c r="S11" s="4" t="s">
        <v>541</v>
      </c>
      <c r="T11" s="4" t="s">
        <v>542</v>
      </c>
      <c r="U11" s="4">
        <v>3364.0</v>
      </c>
      <c r="W11" s="4" t="s">
        <v>544</v>
      </c>
      <c r="X11" s="4" t="s">
        <v>72</v>
      </c>
      <c r="Y11" s="4">
        <v>10732.0</v>
      </c>
      <c r="Z11" s="29">
        <v>41130.0</v>
      </c>
    </row>
    <row r="12">
      <c r="A12" s="4" t="s">
        <v>545</v>
      </c>
      <c r="B12" s="14">
        <f t="shared" si="3"/>
        <v>9</v>
      </c>
      <c r="C12" t="str">
        <f t="shared" si="4"/>
        <v>Ryan Vogelsong, Mark Melancon, Francisco Liriano, Arquimedes Caminero, Neftali Feliz, Drew Hutchison, Cory Luebke, Jameson Taillon, Ivan Nova</v>
      </c>
      <c r="D12" s="14">
        <f t="shared" si="5"/>
        <v>0</v>
      </c>
      <c r="E12" t="str">
        <f t="shared" si="6"/>
        <v/>
      </c>
      <c r="G12" s="4" t="s">
        <v>548</v>
      </c>
      <c r="H12" s="4" t="s">
        <v>72</v>
      </c>
      <c r="I12" s="4">
        <v>3830.0</v>
      </c>
      <c r="J12" t="str">
        <f t="array" ref="J12">INDEX('TJ List'!B:B,MATCH(I12,'TJ List'!N:N,0),0)
</f>
        <v>#N/A</v>
      </c>
      <c r="L12" s="4" t="s">
        <v>561</v>
      </c>
      <c r="M12" s="4" t="s">
        <v>276</v>
      </c>
      <c r="N12" s="21" t="s">
        <v>474</v>
      </c>
      <c r="O12" s="21">
        <v>7558.0</v>
      </c>
      <c r="P12" s="10">
        <f t="array" ref="P12">INDEX('TJ List'!B:B,MATCH(O12,'TJ List'!N:N,0),0)
</f>
        <v>41360</v>
      </c>
      <c r="Q12">
        <f t="shared" si="1"/>
        <v>7558</v>
      </c>
      <c r="S12" s="4" t="s">
        <v>572</v>
      </c>
      <c r="T12" s="4" t="s">
        <v>573</v>
      </c>
      <c r="U12" s="4">
        <v>11287.0</v>
      </c>
      <c r="W12" s="4" t="s">
        <v>574</v>
      </c>
      <c r="X12" s="4" t="s">
        <v>72</v>
      </c>
      <c r="Y12" s="4">
        <v>1890.0</v>
      </c>
      <c r="Z12" s="29">
        <v>41751.0</v>
      </c>
    </row>
    <row r="13">
      <c r="A13" s="4" t="s">
        <v>575</v>
      </c>
      <c r="B13" s="14">
        <f t="shared" si="3"/>
        <v>9</v>
      </c>
      <c r="C13" t="str">
        <f t="shared" si="4"/>
        <v>Chin-hui Tsao, Hyun-Jin Ryu, Adam Liberatore, Alex Wood, Rich Hill, Brett Anderson, Ross Stripling, Brandon McCarthy, Clayton Kershaw</v>
      </c>
      <c r="D13" s="14">
        <f t="shared" si="5"/>
        <v>0</v>
      </c>
      <c r="E13" t="str">
        <f t="shared" si="6"/>
        <v/>
      </c>
      <c r="G13" s="4" t="s">
        <v>155</v>
      </c>
      <c r="H13" s="4" t="s">
        <v>72</v>
      </c>
      <c r="I13" s="4">
        <v>3840.0</v>
      </c>
      <c r="J13" s="45">
        <f t="array" ref="J13">INDEX('TJ List'!B:B,MATCH(I13,'TJ List'!N:N,0),0)
</f>
        <v>42644</v>
      </c>
      <c r="L13" s="4" t="s">
        <v>304</v>
      </c>
      <c r="M13" s="4" t="s">
        <v>276</v>
      </c>
      <c r="N13" s="21" t="s">
        <v>474</v>
      </c>
      <c r="O13" s="21">
        <v>12304.0</v>
      </c>
      <c r="P13" s="10">
        <f t="array" ref="P13">INDEX('TJ List'!B:B,MATCH(O13,'TJ List'!N:N,0),0)
</f>
        <v>42496</v>
      </c>
      <c r="Q13">
        <f t="shared" si="1"/>
        <v>12304</v>
      </c>
      <c r="S13" s="4" t="s">
        <v>603</v>
      </c>
      <c r="T13" s="4" t="s">
        <v>573</v>
      </c>
      <c r="U13" s="4">
        <v>10882.0</v>
      </c>
      <c r="W13" s="4" t="s">
        <v>604</v>
      </c>
      <c r="X13" s="4" t="s">
        <v>72</v>
      </c>
      <c r="Y13" s="4">
        <v>1994.0</v>
      </c>
      <c r="Z13" s="29">
        <v>41758.0</v>
      </c>
    </row>
    <row r="14">
      <c r="A14" s="4" t="s">
        <v>606</v>
      </c>
      <c r="B14" s="14">
        <f t="shared" si="3"/>
        <v>8</v>
      </c>
      <c r="C14" t="str">
        <f t="shared" si="4"/>
        <v>Jake McGee, Scott Oberg, Jorge de la Rosa, Justin Miller, Jason Motte, Jeff Hoffman, Tyler Chatwood, Adam Ottavino</v>
      </c>
      <c r="D14" s="14">
        <f t="shared" si="5"/>
        <v>1</v>
      </c>
      <c r="E14" t="str">
        <f t="shared" si="6"/>
        <v>Jairo Diaz</v>
      </c>
      <c r="G14" s="4" t="s">
        <v>608</v>
      </c>
      <c r="H14" s="4" t="s">
        <v>72</v>
      </c>
      <c r="I14" s="4">
        <v>3855.0</v>
      </c>
      <c r="J14" t="str">
        <f t="array" ref="J14">INDEX('TJ List'!B:B,MATCH(I14,'TJ List'!N:N,0),0)
</f>
        <v>#N/A</v>
      </c>
      <c r="L14" s="4" t="s">
        <v>617</v>
      </c>
      <c r="M14" s="4" t="s">
        <v>389</v>
      </c>
      <c r="N14" s="21" t="s">
        <v>619</v>
      </c>
      <c r="O14" s="21">
        <v>3886.0</v>
      </c>
      <c r="P14" s="10">
        <f t="array" ref="P14">INDEX('TJ List'!B:B,MATCH(O14,'TJ List'!N:N,0),0)
</f>
        <v>41402</v>
      </c>
      <c r="Q14">
        <f t="shared" si="1"/>
        <v>3886</v>
      </c>
      <c r="S14" s="4" t="s">
        <v>628</v>
      </c>
      <c r="T14" s="4" t="s">
        <v>629</v>
      </c>
      <c r="U14" s="4">
        <v>10700.0</v>
      </c>
      <c r="W14" s="4" t="s">
        <v>526</v>
      </c>
      <c r="X14" s="4" t="s">
        <v>72</v>
      </c>
      <c r="Y14" s="4">
        <v>1122.0</v>
      </c>
      <c r="Z14" s="29">
        <v>42123.0</v>
      </c>
    </row>
    <row r="15">
      <c r="A15" s="4" t="s">
        <v>147</v>
      </c>
      <c r="B15" s="14">
        <f t="shared" si="3"/>
        <v>7</v>
      </c>
      <c r="C15" t="str">
        <f t="shared" si="4"/>
        <v>Al Alburquerque, Javy Guerra, Andrew Bailey, Cam Bedrosian, Tyler Skaggs, Andrew Heaney, Nick Tropeano</v>
      </c>
      <c r="D15" s="14">
        <f t="shared" si="5"/>
        <v>1</v>
      </c>
      <c r="E15" t="str">
        <f t="shared" si="6"/>
        <v>C.J. Wilson</v>
      </c>
      <c r="G15" s="4" t="s">
        <v>632</v>
      </c>
      <c r="H15" s="4" t="s">
        <v>72</v>
      </c>
      <c r="I15" s="4">
        <v>3926.0</v>
      </c>
      <c r="J15" t="str">
        <f t="array" ref="J15">INDEX('TJ List'!B:B,MATCH(I15,'TJ List'!N:N,0),0)
</f>
        <v>#N/A</v>
      </c>
      <c r="L15" s="4" t="s">
        <v>438</v>
      </c>
      <c r="M15" s="4" t="s">
        <v>428</v>
      </c>
      <c r="N15" s="21" t="s">
        <v>646</v>
      </c>
      <c r="O15" s="21">
        <v>13398.0</v>
      </c>
      <c r="P15" s="10">
        <f t="array" ref="P15">INDEX('TJ List'!B:B,MATCH(O15,'TJ List'!N:N,0),0)
</f>
        <v>42248</v>
      </c>
      <c r="Q15">
        <f t="shared" si="1"/>
        <v>0</v>
      </c>
      <c r="S15" s="4" t="s">
        <v>658</v>
      </c>
      <c r="T15" s="4" t="s">
        <v>389</v>
      </c>
      <c r="U15" s="4">
        <v>2430.0</v>
      </c>
      <c r="Z15" s="29"/>
    </row>
    <row r="16">
      <c r="A16" s="4" t="s">
        <v>659</v>
      </c>
      <c r="B16" s="14">
        <f t="shared" si="3"/>
        <v>7</v>
      </c>
      <c r="C16" t="str">
        <f t="shared" si="4"/>
        <v>Keith Hessler, Andrew Chafin, Rubby de la Rosa, Kyle Drabek, Daniel Hudson, Patrick Corbin, Vicente Campos</v>
      </c>
      <c r="D16" s="14">
        <f t="shared" si="5"/>
        <v>0</v>
      </c>
      <c r="E16" t="str">
        <f t="shared" si="6"/>
        <v/>
      </c>
      <c r="G16" s="4" t="s">
        <v>661</v>
      </c>
      <c r="H16" s="4" t="s">
        <v>72</v>
      </c>
      <c r="I16" s="4">
        <v>4026.0</v>
      </c>
      <c r="J16" t="str">
        <f t="array" ref="J16">INDEX('TJ List'!B:B,MATCH(I16,'TJ List'!N:N,0),0)
</f>
        <v>#N/A</v>
      </c>
      <c r="L16" s="4" t="s">
        <v>411</v>
      </c>
      <c r="M16" s="4" t="s">
        <v>428</v>
      </c>
      <c r="N16" s="21" t="s">
        <v>646</v>
      </c>
      <c r="O16" s="21" t="s">
        <v>413</v>
      </c>
      <c r="P16" s="10">
        <f t="array" ref="P16">INDEX('TJ List'!B:B,MATCH(O16,'TJ List'!N:N,0),0)
</f>
        <v>42291</v>
      </c>
      <c r="Q16">
        <f t="shared" si="1"/>
        <v>0</v>
      </c>
      <c r="S16" s="4" t="s">
        <v>693</v>
      </c>
      <c r="T16" s="4" t="s">
        <v>389</v>
      </c>
      <c r="U16" s="4">
        <v>9807.0</v>
      </c>
      <c r="Z16" s="29"/>
    </row>
    <row r="17">
      <c r="A17" s="4" t="s">
        <v>695</v>
      </c>
      <c r="B17" s="14">
        <f t="shared" si="3"/>
        <v>7</v>
      </c>
      <c r="C17" t="str">
        <f t="shared" si="4"/>
        <v>Mark Melancon, Shawn Kelley, Stephen Strasburg, Koda Glover, Sammy Solis, Lucas Giolito, Sean Burnett</v>
      </c>
      <c r="D17" s="14">
        <f t="shared" si="5"/>
        <v>1</v>
      </c>
      <c r="E17" t="str">
        <f t="shared" si="6"/>
        <v>Aaron Barrett</v>
      </c>
      <c r="G17" s="4" t="s">
        <v>200</v>
      </c>
      <c r="H17" s="4" t="s">
        <v>72</v>
      </c>
      <c r="I17" s="4">
        <v>4403.0</v>
      </c>
      <c r="J17" t="str">
        <f t="array" ref="J17">INDEX('TJ List'!B:B,MATCH(I17,'TJ List'!N:N,0),0)
</f>
        <v>#N/A</v>
      </c>
      <c r="L17" s="4" t="s">
        <v>203</v>
      </c>
      <c r="M17" s="4" t="s">
        <v>428</v>
      </c>
      <c r="N17" s="21" t="s">
        <v>646</v>
      </c>
      <c r="O17" s="21">
        <v>12870.0</v>
      </c>
      <c r="P17" s="10">
        <f t="array" ref="P17">INDEX('TJ List'!B:B,MATCH(O17,'TJ List'!N:N,0),0)
</f>
        <v>42439</v>
      </c>
      <c r="Q17">
        <f t="shared" si="1"/>
        <v>0</v>
      </c>
      <c r="S17" s="4" t="s">
        <v>720</v>
      </c>
      <c r="T17" s="4" t="s">
        <v>721</v>
      </c>
      <c r="U17" s="4">
        <v>12399.0</v>
      </c>
      <c r="Z17" s="29"/>
    </row>
    <row r="18">
      <c r="A18" s="4" t="s">
        <v>722</v>
      </c>
      <c r="B18" s="14">
        <f t="shared" si="3"/>
        <v>7</v>
      </c>
      <c r="C18" t="str">
        <f t="shared" si="4"/>
        <v>Andrew Bailey, Alec Asher, Elvis Araujo, Vince Velasquez, Charlie Morton, Frank Herrmann, David Hernandez</v>
      </c>
      <c r="D18" s="14">
        <f t="shared" si="5"/>
        <v>0</v>
      </c>
      <c r="E18" t="str">
        <f t="shared" si="6"/>
        <v/>
      </c>
      <c r="G18" s="4" t="s">
        <v>726</v>
      </c>
      <c r="H18" s="4" t="s">
        <v>72</v>
      </c>
      <c r="I18" s="4">
        <v>4424.0</v>
      </c>
      <c r="J18" t="str">
        <f t="array" ref="J18">INDEX('TJ List'!B:B,MATCH(I18,'TJ List'!N:N,0),0)
</f>
        <v>#N/A</v>
      </c>
      <c r="L18" s="4" t="s">
        <v>736</v>
      </c>
      <c r="M18" s="4" t="s">
        <v>428</v>
      </c>
      <c r="N18" s="21" t="s">
        <v>646</v>
      </c>
      <c r="O18" s="21">
        <v>5498.0</v>
      </c>
      <c r="P18" s="10">
        <f t="array" ref="P18">INDEX('TJ List'!B:B,MATCH(O18,'TJ List'!N:N,0),0)
</f>
        <v>40988</v>
      </c>
      <c r="Q18">
        <f t="shared" si="1"/>
        <v>5498</v>
      </c>
      <c r="S18" s="4" t="s">
        <v>749</v>
      </c>
      <c r="T18" s="4" t="s">
        <v>321</v>
      </c>
      <c r="U18" s="4">
        <v>3411.0</v>
      </c>
      <c r="Z18" s="29"/>
    </row>
    <row r="19">
      <c r="A19" s="4" t="s">
        <v>573</v>
      </c>
      <c r="B19" s="14">
        <f t="shared" si="3"/>
        <v>7</v>
      </c>
      <c r="C19" t="str">
        <f t="shared" si="4"/>
        <v>Colby Lewis, Shawn Tolleson, Matt Bush, Sam Dyson, A.J. Griffin, Martin Perez, Yu Darvish</v>
      </c>
      <c r="D19" s="14">
        <f t="shared" si="5"/>
        <v>0</v>
      </c>
      <c r="E19" t="str">
        <f t="shared" si="6"/>
        <v/>
      </c>
      <c r="G19" s="4" t="s">
        <v>752</v>
      </c>
      <c r="H19" s="4" t="s">
        <v>72</v>
      </c>
      <c r="I19" s="4">
        <v>4869.0</v>
      </c>
      <c r="J19" t="str">
        <f t="array" ref="J19">INDEX('TJ List'!B:B,MATCH(I19,'TJ List'!N:N,0),0)
</f>
        <v>#N/A</v>
      </c>
      <c r="L19" s="4" t="s">
        <v>767</v>
      </c>
      <c r="M19" s="4" t="s">
        <v>428</v>
      </c>
      <c r="N19" s="21" t="s">
        <v>646</v>
      </c>
      <c r="O19" s="21">
        <v>5746.0</v>
      </c>
      <c r="P19" s="10">
        <f t="array" ref="P19">INDEX('TJ List'!B:B,MATCH(O19,'TJ List'!N:N,0),0)
</f>
        <v>41415</v>
      </c>
      <c r="Q19">
        <f t="shared" si="1"/>
        <v>5746</v>
      </c>
      <c r="S19" s="4" t="s">
        <v>790</v>
      </c>
      <c r="T19" s="4" t="s">
        <v>791</v>
      </c>
      <c r="U19" s="4">
        <v>13153.0</v>
      </c>
      <c r="Z19" s="29"/>
    </row>
    <row r="20">
      <c r="A20" s="4" t="s">
        <v>201</v>
      </c>
      <c r="B20" s="14">
        <f t="shared" si="3"/>
        <v>6</v>
      </c>
      <c r="C20" t="str">
        <f t="shared" si="4"/>
        <v>Scott Feldman, Tony Sipp, Kevin Chapman, Pat Neshek, Will Harris, David Paulino</v>
      </c>
      <c r="D20" s="14">
        <f t="shared" si="5"/>
        <v>0</v>
      </c>
      <c r="E20" t="str">
        <f t="shared" si="6"/>
        <v/>
      </c>
      <c r="G20" s="4" t="s">
        <v>794</v>
      </c>
      <c r="H20" s="4" t="s">
        <v>72</v>
      </c>
      <c r="I20" s="4">
        <v>4971.0</v>
      </c>
      <c r="J20" t="str">
        <f t="array" ref="J20">INDEX('TJ List'!B:B,MATCH(I20,'TJ List'!N:N,0),0)
</f>
        <v>#N/A</v>
      </c>
      <c r="L20" s="4" t="s">
        <v>809</v>
      </c>
      <c r="M20" s="4" t="s">
        <v>428</v>
      </c>
      <c r="N20" s="21" t="s">
        <v>646</v>
      </c>
      <c r="O20" s="21">
        <v>12237.0</v>
      </c>
      <c r="P20" s="10">
        <f t="array" ref="P20">INDEX('TJ List'!B:B,MATCH(O20,'TJ List'!N:N,0),0)
</f>
        <v>41821</v>
      </c>
      <c r="Q20">
        <f t="shared" si="1"/>
        <v>12237</v>
      </c>
      <c r="S20" s="4" t="s">
        <v>826</v>
      </c>
      <c r="T20" s="4" t="s">
        <v>827</v>
      </c>
      <c r="U20" s="4">
        <v>6153.0</v>
      </c>
      <c r="Z20" s="29"/>
    </row>
    <row r="21">
      <c r="A21" s="4" t="s">
        <v>466</v>
      </c>
      <c r="B21" s="14">
        <f t="shared" si="3"/>
        <v>6</v>
      </c>
      <c r="C21" t="str">
        <f t="shared" si="4"/>
        <v>Miguel Gonzalez, Michael Ynoa, Scott Carroll, Matt Purke, Nate Jones, Daniel Webb</v>
      </c>
      <c r="D21" s="14">
        <f t="shared" si="5"/>
        <v>0</v>
      </c>
      <c r="E21" t="str">
        <f t="shared" si="6"/>
        <v/>
      </c>
      <c r="G21" s="4" t="s">
        <v>831</v>
      </c>
      <c r="H21" s="4" t="s">
        <v>72</v>
      </c>
      <c r="I21" s="4">
        <v>4994.0</v>
      </c>
      <c r="J21" t="str">
        <f t="array" ref="J21">INDEX('TJ List'!B:B,MATCH(I21,'TJ List'!N:N,0),0)
</f>
        <v>#N/A</v>
      </c>
      <c r="L21" s="4" t="s">
        <v>849</v>
      </c>
      <c r="M21" s="4" t="s">
        <v>428</v>
      </c>
      <c r="N21" s="21" t="s">
        <v>646</v>
      </c>
      <c r="O21" s="21">
        <v>14165.0</v>
      </c>
      <c r="P21" s="30" t="str">
        <f t="array" ref="P21">INDEX('TJ List'!B:B,MATCH(O21,'TJ List'!N:N,0),0)
</f>
        <v>#N/A</v>
      </c>
      <c r="Q21">
        <f t="shared" si="1"/>
        <v>14165</v>
      </c>
      <c r="S21" s="4" t="s">
        <v>855</v>
      </c>
      <c r="T21" s="4" t="s">
        <v>201</v>
      </c>
      <c r="U21" s="4">
        <v>15564.0</v>
      </c>
      <c r="Z21" s="29"/>
    </row>
    <row r="22">
      <c r="A22" s="4" t="s">
        <v>857</v>
      </c>
      <c r="B22" s="14">
        <f t="shared" si="3"/>
        <v>6</v>
      </c>
      <c r="C22" t="str">
        <f t="shared" si="4"/>
        <v>Kirby Yates, Conor Mullee, Nick Goody, Ivan Nova, Branden Pinder, Nathan Eovaldi</v>
      </c>
      <c r="D22" s="14">
        <f t="shared" si="5"/>
        <v>1</v>
      </c>
      <c r="E22" t="str">
        <f t="shared" si="6"/>
        <v>Nick Rumbelow</v>
      </c>
      <c r="G22" s="4" t="s">
        <v>861</v>
      </c>
      <c r="H22" s="4" t="s">
        <v>72</v>
      </c>
      <c r="I22" s="4">
        <v>5070.0</v>
      </c>
      <c r="J22" t="str">
        <f t="array" ref="J22">INDEX('TJ List'!B:B,MATCH(I22,'TJ List'!N:N,0),0)
</f>
        <v>#N/A</v>
      </c>
      <c r="L22" s="4" t="s">
        <v>870</v>
      </c>
      <c r="M22" s="4" t="s">
        <v>428</v>
      </c>
      <c r="N22" s="21" t="s">
        <v>646</v>
      </c>
      <c r="O22" s="21">
        <v>15089.0</v>
      </c>
      <c r="P22" s="10">
        <f t="array" ref="P22">INDEX('TJ List'!B:B,MATCH(O22,'TJ List'!N:N,0),0)
</f>
        <v>39814</v>
      </c>
      <c r="Q22">
        <f t="shared" si="1"/>
        <v>15089</v>
      </c>
      <c r="S22" s="4" t="s">
        <v>886</v>
      </c>
      <c r="T22" s="4" t="s">
        <v>887</v>
      </c>
      <c r="U22" s="4">
        <v>7888.0</v>
      </c>
      <c r="Z22" s="29"/>
    </row>
    <row r="23">
      <c r="A23" s="4" t="s">
        <v>889</v>
      </c>
      <c r="B23" s="14">
        <f t="shared" si="3"/>
        <v>5</v>
      </c>
      <c r="C23" t="str">
        <f t="shared" si="4"/>
        <v>Erik Goeddel, Jacob deGrom, Steven Matz, Matt Harvey, Josh Edgin</v>
      </c>
      <c r="D23" s="14">
        <f t="shared" si="5"/>
        <v>1</v>
      </c>
      <c r="E23" t="str">
        <f t="shared" si="6"/>
        <v>Zack Wheeler</v>
      </c>
      <c r="G23" s="4" t="s">
        <v>892</v>
      </c>
      <c r="H23" s="4" t="s">
        <v>72</v>
      </c>
      <c r="I23" s="4">
        <v>5221.0</v>
      </c>
      <c r="J23" t="str">
        <f t="array" ref="J23">INDEX('TJ List'!B:B,MATCH(I23,'TJ List'!N:N,0),0)
</f>
        <v>#N/A</v>
      </c>
      <c r="L23" s="4" t="s">
        <v>111</v>
      </c>
      <c r="M23" s="4" t="s">
        <v>905</v>
      </c>
      <c r="N23" s="21" t="s">
        <v>906</v>
      </c>
      <c r="O23" s="21">
        <v>11341.0</v>
      </c>
      <c r="P23" s="10">
        <f t="array" ref="P23">INDEX('TJ List'!B:B,MATCH(O23,'TJ List'!N:N,0),0)
</f>
        <v>42583</v>
      </c>
      <c r="Q23">
        <f t="shared" si="1"/>
        <v>0</v>
      </c>
      <c r="S23" s="4" t="s">
        <v>919</v>
      </c>
      <c r="T23" s="4" t="s">
        <v>222</v>
      </c>
      <c r="U23" s="4">
        <v>11391.0</v>
      </c>
      <c r="Z23" s="29"/>
    </row>
    <row r="24">
      <c r="A24" s="4" t="s">
        <v>356</v>
      </c>
      <c r="B24" s="14">
        <f t="shared" si="3"/>
        <v>5</v>
      </c>
      <c r="C24" t="str">
        <f t="shared" si="4"/>
        <v>Matt Thornton, Fernando Rodney, Keith Hessler, Leonel Campos, Robbie Erlin</v>
      </c>
      <c r="D24" s="14">
        <f t="shared" si="5"/>
        <v>1</v>
      </c>
      <c r="E24" t="str">
        <f t="shared" si="6"/>
        <v>Carter Capps</v>
      </c>
      <c r="G24" s="4" t="s">
        <v>923</v>
      </c>
      <c r="H24" s="4" t="s">
        <v>72</v>
      </c>
      <c r="I24" s="4">
        <v>5224.0</v>
      </c>
      <c r="J24" t="str">
        <f t="array" ref="J24">INDEX('TJ List'!B:B,MATCH(I24,'TJ List'!N:N,0),0)
</f>
        <v>#N/A</v>
      </c>
      <c r="L24" s="4" t="s">
        <v>933</v>
      </c>
      <c r="M24" s="4" t="s">
        <v>905</v>
      </c>
      <c r="N24" s="21" t="s">
        <v>906</v>
      </c>
      <c r="O24" s="21">
        <v>11166.0</v>
      </c>
      <c r="P24" s="30" t="str">
        <f t="array" ref="P24">INDEX('TJ List'!B:B,MATCH(O24,'TJ List'!N:N,0),0)
</f>
        <v>#N/A</v>
      </c>
      <c r="Q24">
        <f t="shared" si="1"/>
        <v>0</v>
      </c>
      <c r="Z24" s="29"/>
    </row>
    <row r="25">
      <c r="A25" s="4" t="s">
        <v>721</v>
      </c>
      <c r="B25" s="14">
        <f t="shared" si="3"/>
        <v>5</v>
      </c>
      <c r="C25" t="str">
        <f t="shared" si="4"/>
        <v>Eddie Gamboa, Tyler Sturdevant, Matt Moore, Alex Cobb, Chase Whitley</v>
      </c>
      <c r="D25" s="14">
        <f t="shared" si="5"/>
        <v>0</v>
      </c>
      <c r="E25" t="str">
        <f t="shared" si="6"/>
        <v/>
      </c>
      <c r="G25" s="4" t="s">
        <v>952</v>
      </c>
      <c r="H25" s="4" t="s">
        <v>72</v>
      </c>
      <c r="I25" s="4">
        <v>5448.0</v>
      </c>
      <c r="J25" t="str">
        <f t="array" ref="J25">INDEX('TJ List'!B:B,MATCH(I25,'TJ List'!N:N,0),0)
</f>
        <v>#N/A</v>
      </c>
      <c r="L25" s="4" t="s">
        <v>310</v>
      </c>
      <c r="M25" s="4" t="s">
        <v>905</v>
      </c>
      <c r="N25" s="21" t="s">
        <v>906</v>
      </c>
      <c r="O25" s="21">
        <v>1701.0</v>
      </c>
      <c r="P25" s="10">
        <f t="array" ref="P25">INDEX('TJ List'!B:B,MATCH(O25,'TJ List'!N:N,0),0)
</f>
        <v>39583</v>
      </c>
      <c r="Q25">
        <f t="shared" si="1"/>
        <v>1701</v>
      </c>
      <c r="Z25" s="29"/>
    </row>
    <row r="26">
      <c r="A26" s="4" t="s">
        <v>319</v>
      </c>
      <c r="B26" s="14">
        <f t="shared" si="3"/>
        <v>4</v>
      </c>
      <c r="C26" t="str">
        <f t="shared" si="4"/>
        <v>Seung Hwan Oh, Miguel Socolovich, Jaime Garcia, Adam Wainwright</v>
      </c>
      <c r="D26" s="14">
        <f t="shared" si="5"/>
        <v>1</v>
      </c>
      <c r="E26" t="str">
        <f t="shared" si="6"/>
        <v>Lance Lynn</v>
      </c>
      <c r="G26" s="4" t="s">
        <v>988</v>
      </c>
      <c r="H26" s="4" t="s">
        <v>72</v>
      </c>
      <c r="I26" s="4">
        <v>5535.0</v>
      </c>
      <c r="J26" t="str">
        <f t="array" ref="J26">INDEX('TJ List'!B:B,MATCH(I26,'TJ List'!N:N,0),0)
</f>
        <v>#N/A</v>
      </c>
      <c r="L26" s="4" t="s">
        <v>403</v>
      </c>
      <c r="M26" s="4" t="s">
        <v>319</v>
      </c>
      <c r="N26" s="21" t="s">
        <v>994</v>
      </c>
      <c r="O26" s="21">
        <v>2520.0</v>
      </c>
      <c r="P26" s="10">
        <f t="array" ref="P26">INDEX('TJ List'!B:B,MATCH(O26,'TJ List'!N:N,0),0)
</f>
        <v>42318</v>
      </c>
      <c r="Q26">
        <f t="shared" si="1"/>
        <v>0</v>
      </c>
      <c r="Z26" s="29"/>
    </row>
    <row r="27">
      <c r="A27" s="4" t="s">
        <v>827</v>
      </c>
      <c r="B27" s="14">
        <f t="shared" si="3"/>
        <v>4</v>
      </c>
      <c r="C27" t="str">
        <f t="shared" si="4"/>
        <v>Andrew Albers, Kyle Gibson, Alex Wimmers, J.T. Chargois</v>
      </c>
      <c r="D27" s="14">
        <f t="shared" si="5"/>
        <v>0</v>
      </c>
      <c r="E27" t="str">
        <f t="shared" si="6"/>
        <v/>
      </c>
      <c r="G27" s="4" t="s">
        <v>1024</v>
      </c>
      <c r="H27" s="4" t="s">
        <v>72</v>
      </c>
      <c r="I27" s="4">
        <v>5640.0</v>
      </c>
      <c r="J27" t="str">
        <f t="array" ref="J27">INDEX('TJ List'!B:B,MATCH(I27,'TJ List'!N:N,0),0)
</f>
        <v>#N/A</v>
      </c>
      <c r="L27" s="4" t="s">
        <v>1076</v>
      </c>
      <c r="M27" s="4" t="s">
        <v>319</v>
      </c>
      <c r="N27" s="21" t="s">
        <v>994</v>
      </c>
      <c r="O27" s="21">
        <v>3271.0</v>
      </c>
      <c r="P27" s="30" t="str">
        <f t="array" ref="P27">INDEX('TJ List'!B:B,MATCH(O27,'TJ List'!N:N,0),0)
</f>
        <v>#N/A</v>
      </c>
      <c r="Q27">
        <f t="shared" si="1"/>
        <v>0</v>
      </c>
      <c r="Z27" s="29"/>
    </row>
    <row r="28">
      <c r="A28" s="4" t="s">
        <v>905</v>
      </c>
      <c r="B28" s="14">
        <f t="shared" si="3"/>
        <v>3</v>
      </c>
      <c r="C28" t="str">
        <f t="shared" si="4"/>
        <v>Wily Peralta, Chris Capuano, Sam Freeman</v>
      </c>
      <c r="D28" s="14">
        <f t="shared" si="5"/>
        <v>1</v>
      </c>
      <c r="E28" t="str">
        <f t="shared" si="6"/>
        <v>Sean Nolin</v>
      </c>
      <c r="G28" s="4" t="s">
        <v>1099</v>
      </c>
      <c r="H28" s="4" t="s">
        <v>72</v>
      </c>
      <c r="I28" s="4">
        <v>5830.0</v>
      </c>
      <c r="J28" t="str">
        <f t="array" ref="J28">INDEX('TJ List'!B:B,MATCH(I28,'TJ List'!N:N,0),0)
</f>
        <v>#N/A</v>
      </c>
      <c r="L28" s="4" t="s">
        <v>1112</v>
      </c>
      <c r="M28" s="4" t="s">
        <v>319</v>
      </c>
      <c r="N28" s="21" t="s">
        <v>994</v>
      </c>
      <c r="O28" s="21">
        <v>4530.0</v>
      </c>
      <c r="P28" s="30" t="str">
        <f t="array" ref="P28">INDEX('TJ List'!B:B,MATCH(O28,'TJ List'!N:N,0),0)
</f>
        <v>#N/A</v>
      </c>
      <c r="Q28">
        <f t="shared" si="1"/>
        <v>0</v>
      </c>
      <c r="Z28" s="29"/>
    </row>
    <row r="29">
      <c r="A29" s="4" t="s">
        <v>542</v>
      </c>
      <c r="B29" s="14">
        <f t="shared" si="3"/>
        <v>3</v>
      </c>
      <c r="C29" t="str">
        <f t="shared" si="4"/>
        <v>Hector Rondon, John Lackey, Joe Nathan</v>
      </c>
      <c r="D29" s="14">
        <f t="shared" si="5"/>
        <v>1</v>
      </c>
      <c r="E29" t="str">
        <f t="shared" si="6"/>
        <v>Dallas Beeler</v>
      </c>
      <c r="G29" s="4" t="s">
        <v>1119</v>
      </c>
      <c r="H29" s="4" t="s">
        <v>72</v>
      </c>
      <c r="I29" s="4">
        <v>6475.0</v>
      </c>
      <c r="J29" t="str">
        <f t="array" ref="J29">INDEX('TJ List'!B:B,MATCH(I29,'TJ List'!N:N,0),0)
</f>
        <v>#N/A</v>
      </c>
      <c r="L29" s="4" t="s">
        <v>1133</v>
      </c>
      <c r="M29" s="4" t="s">
        <v>319</v>
      </c>
      <c r="N29" s="21" t="s">
        <v>994</v>
      </c>
      <c r="O29" s="21">
        <v>11334.0</v>
      </c>
      <c r="P29" s="30" t="str">
        <f t="array" ref="P29">INDEX('TJ List'!B:B,MATCH(O29,'TJ List'!N:N,0),0)
</f>
        <v>#N/A</v>
      </c>
      <c r="Q29">
        <f t="shared" si="1"/>
        <v>11334</v>
      </c>
      <c r="Z29" s="29"/>
    </row>
    <row r="30">
      <c r="A30" s="4" t="s">
        <v>791</v>
      </c>
      <c r="B30" s="14">
        <f t="shared" si="3"/>
        <v>3</v>
      </c>
      <c r="C30" t="str">
        <f t="shared" si="4"/>
        <v>Adrian Sampson, Arquimedes Caminero, Joe Wieland</v>
      </c>
      <c r="D30" s="14">
        <f t="shared" si="5"/>
        <v>2</v>
      </c>
      <c r="E30" t="str">
        <f t="shared" si="6"/>
        <v>Charlie Furbush, Ryan Cook</v>
      </c>
      <c r="G30" s="4" t="s">
        <v>1142</v>
      </c>
      <c r="H30" s="4" t="s">
        <v>72</v>
      </c>
      <c r="I30" s="4">
        <v>6612.0</v>
      </c>
      <c r="J30" t="str">
        <f t="array" ref="J30">INDEX('TJ List'!B:B,MATCH(I30,'TJ List'!N:N,0),0)
</f>
        <v>#N/A</v>
      </c>
      <c r="L30" s="4" t="s">
        <v>1161</v>
      </c>
      <c r="M30" s="4" t="s">
        <v>319</v>
      </c>
      <c r="N30" s="21" t="s">
        <v>994</v>
      </c>
      <c r="O30" s="21">
        <v>12235.0</v>
      </c>
      <c r="P30" s="30" t="str">
        <f t="array" ref="P30">INDEX('TJ List'!B:B,MATCH(O30,'TJ List'!N:N,0),0)
</f>
        <v>#N/A</v>
      </c>
      <c r="Q30">
        <f t="shared" si="1"/>
        <v>12235</v>
      </c>
      <c r="Z30" s="29"/>
    </row>
    <row r="31">
      <c r="A31" s="4" t="s">
        <v>887</v>
      </c>
      <c r="B31" s="14">
        <f t="shared" si="3"/>
        <v>2</v>
      </c>
      <c r="C31" t="str">
        <f t="shared" si="4"/>
        <v>Brian Duensing, Dylan Bundy</v>
      </c>
      <c r="D31" s="14">
        <f t="shared" si="5"/>
        <v>0</v>
      </c>
      <c r="E31" t="str">
        <f t="shared" si="6"/>
        <v/>
      </c>
      <c r="G31" s="4" t="s">
        <v>1180</v>
      </c>
      <c r="H31" s="4" t="s">
        <v>72</v>
      </c>
      <c r="I31" s="4">
        <v>6785.0</v>
      </c>
      <c r="J31" t="str">
        <f t="array" ref="J31">INDEX('TJ List'!B:B,MATCH(I31,'TJ List'!N:N,0),0)
</f>
        <v>#N/A</v>
      </c>
      <c r="L31" s="4" t="s">
        <v>1194</v>
      </c>
      <c r="M31" s="4" t="s">
        <v>542</v>
      </c>
      <c r="N31" s="21" t="s">
        <v>1196</v>
      </c>
      <c r="O31" s="21">
        <v>11471.0</v>
      </c>
      <c r="P31" s="10">
        <f t="array" ref="P31">INDEX('TJ List'!B:B,MATCH(O31,'TJ List'!N:N,0),0)
</f>
        <v>39965</v>
      </c>
      <c r="Q31">
        <f t="shared" si="1"/>
        <v>0</v>
      </c>
      <c r="Z31" s="29"/>
    </row>
    <row r="32">
      <c r="A32" s="4" t="s">
        <v>629</v>
      </c>
      <c r="B32" s="14">
        <f t="shared" si="3"/>
        <v>2</v>
      </c>
      <c r="C32" t="str">
        <f t="shared" si="4"/>
        <v>Junichi Tazawa, Carson Smith</v>
      </c>
      <c r="D32" s="14">
        <f t="shared" si="5"/>
        <v>1</v>
      </c>
      <c r="E32" t="str">
        <f t="shared" si="6"/>
        <v>Brandon Workman</v>
      </c>
      <c r="G32" s="4" t="s">
        <v>1206</v>
      </c>
      <c r="H32" s="4" t="s">
        <v>72</v>
      </c>
      <c r="I32" s="4">
        <v>6983.0</v>
      </c>
      <c r="J32" t="str">
        <f t="array" ref="J32">INDEX('TJ List'!B:B,MATCH(I32,'TJ List'!N:N,0),0)
</f>
        <v>#N/A</v>
      </c>
      <c r="L32" s="4" t="s">
        <v>1213</v>
      </c>
      <c r="M32" s="4" t="s">
        <v>542</v>
      </c>
      <c r="N32" s="21" t="s">
        <v>1196</v>
      </c>
      <c r="O32" s="21">
        <v>12272.0</v>
      </c>
      <c r="P32" s="30" t="str">
        <f t="array" ref="P32">INDEX('TJ List'!B:B,MATCH(O32,'TJ List'!N:N,0),0)
</f>
        <v>#N/A</v>
      </c>
      <c r="Q32">
        <f t="shared" si="1"/>
        <v>0</v>
      </c>
      <c r="Z32" s="29"/>
    </row>
    <row r="33">
      <c r="A33" s="17" t="s">
        <v>1096</v>
      </c>
      <c r="B33" s="56">
        <f>SUM(B3:B32)-COUNTIFS(Y:Y,"&gt;0")</f>
        <v>192</v>
      </c>
      <c r="C33" s="57"/>
      <c r="D33" s="56">
        <f>SUM(D3:D32)</f>
        <v>19</v>
      </c>
      <c r="E33" s="57"/>
      <c r="G33" s="4" t="s">
        <v>1236</v>
      </c>
      <c r="H33" s="4" t="s">
        <v>72</v>
      </c>
      <c r="I33" s="4">
        <v>7059.0</v>
      </c>
      <c r="J33" t="str">
        <f t="array" ref="J33">INDEX('TJ List'!B:B,MATCH(I33,'TJ List'!N:N,0),0)
</f>
        <v>#N/A</v>
      </c>
      <c r="L33" s="4" t="s">
        <v>1243</v>
      </c>
      <c r="M33" s="4" t="s">
        <v>542</v>
      </c>
      <c r="N33" s="21" t="s">
        <v>1196</v>
      </c>
      <c r="O33" s="21">
        <v>9419.0</v>
      </c>
      <c r="P33" s="30" t="str">
        <f t="array" ref="P33">INDEX('TJ List'!B:B,MATCH(O33,'TJ List'!N:N,0),0)
</f>
        <v>#N/A</v>
      </c>
      <c r="Q33">
        <f t="shared" si="1"/>
        <v>0</v>
      </c>
      <c r="Z33" s="29"/>
    </row>
    <row r="34">
      <c r="A34" s="17" t="s">
        <v>1255</v>
      </c>
      <c r="B34" s="58">
        <f>(COUNTIFS(J:J,"&gt;0")-COUNTIFS(Y:Y,"&gt;0"))/((COUNTIFS(I:I,"&gt;0")-COUNTIFS(U:U,"&gt;0")-COUNTIFS(Y:Y,"&gt;0")))</f>
        <v>0.2708333333</v>
      </c>
      <c r="C34" s="57"/>
      <c r="D34" s="58">
        <f>D33/COUNTIFS(O:O,"&lt;&gt;0",Q:Q,0)</f>
        <v>0.6551724138</v>
      </c>
      <c r="E34" s="57"/>
      <c r="G34" s="4" t="s">
        <v>1263</v>
      </c>
      <c r="H34" s="4" t="s">
        <v>72</v>
      </c>
      <c r="I34" s="4">
        <v>7108.0</v>
      </c>
      <c r="J34" t="str">
        <f t="array" ref="J34">INDEX('TJ List'!B:B,MATCH(I34,'TJ List'!N:N,0),0)
</f>
        <v>#N/A</v>
      </c>
      <c r="L34" s="4" t="s">
        <v>1271</v>
      </c>
      <c r="M34" s="4" t="s">
        <v>575</v>
      </c>
      <c r="N34" s="21" t="s">
        <v>1272</v>
      </c>
      <c r="O34" s="21">
        <v>1776.0</v>
      </c>
      <c r="P34" s="10">
        <f t="array" ref="P34">INDEX('TJ List'!B:B,MATCH(O34,'TJ List'!N:N,0),0)
</f>
        <v>36892</v>
      </c>
      <c r="Q34">
        <f t="shared" si="1"/>
        <v>1776</v>
      </c>
      <c r="Z34" s="29"/>
    </row>
    <row r="35">
      <c r="A35" s="17" t="s">
        <v>1277</v>
      </c>
      <c r="B35" s="59">
        <v>42645.0</v>
      </c>
      <c r="C35" s="57"/>
      <c r="D35" s="59">
        <v>42645.0</v>
      </c>
      <c r="E35" s="57"/>
      <c r="G35" s="4" t="s">
        <v>1279</v>
      </c>
      <c r="H35" s="4" t="s">
        <v>72</v>
      </c>
      <c r="I35" s="4">
        <v>7293.0</v>
      </c>
      <c r="J35" t="str">
        <f t="array" ref="J35">INDEX('TJ List'!B:B,MATCH(I35,'TJ List'!N:N,0),0)
</f>
        <v>#N/A</v>
      </c>
      <c r="L35" s="4" t="s">
        <v>1288</v>
      </c>
      <c r="M35" s="4" t="s">
        <v>575</v>
      </c>
      <c r="N35" s="21" t="s">
        <v>1272</v>
      </c>
      <c r="O35" s="21">
        <v>3299.0</v>
      </c>
      <c r="P35" s="30" t="str">
        <f t="array" ref="P35">INDEX('TJ List'!B:B,MATCH(O35,'TJ List'!N:N,0),0)
</f>
        <v>#N/A</v>
      </c>
      <c r="Q35">
        <f t="shared" si="1"/>
        <v>3299</v>
      </c>
      <c r="Z35" s="29"/>
    </row>
    <row r="36">
      <c r="B36" s="14"/>
      <c r="D36" s="14"/>
      <c r="G36" s="4" t="s">
        <v>1295</v>
      </c>
      <c r="H36" s="4" t="s">
        <v>72</v>
      </c>
      <c r="I36" s="4">
        <v>7312.0</v>
      </c>
      <c r="J36" t="str">
        <f t="array" ref="J36">INDEX('TJ List'!B:B,MATCH(I36,'TJ List'!N:N,0),0)
</f>
        <v>#N/A</v>
      </c>
      <c r="L36" s="4" t="s">
        <v>1301</v>
      </c>
      <c r="M36" s="4" t="s">
        <v>575</v>
      </c>
      <c r="N36" s="21" t="s">
        <v>1272</v>
      </c>
      <c r="O36" s="21">
        <v>3547.0</v>
      </c>
      <c r="P36" s="30" t="str">
        <f t="array" ref="P36">INDEX('TJ List'!B:B,MATCH(O36,'TJ List'!N:N,0),0)
</f>
        <v>#N/A</v>
      </c>
      <c r="Q36">
        <f t="shared" si="1"/>
        <v>3547</v>
      </c>
      <c r="Z36" s="29"/>
    </row>
    <row r="37">
      <c r="A37" s="17" t="s">
        <v>1310</v>
      </c>
      <c r="B37" s="58">
        <f>(B33+D33)/(COUNTIFS(I:I,"&gt;0")+COUNTIFS(O:O,"&lt;&gt;0",Q:Q,0)-COUNTIFS(U:U,"&gt;0"))</f>
        <v>0.2769028871</v>
      </c>
      <c r="D37" s="14"/>
      <c r="G37" s="4" t="s">
        <v>1315</v>
      </c>
      <c r="H37" s="4" t="s">
        <v>72</v>
      </c>
      <c r="I37" s="4">
        <v>7501.0</v>
      </c>
      <c r="J37" t="str">
        <f t="array" ref="J37">INDEX('TJ List'!B:B,MATCH(I37,'TJ List'!N:N,0),0)
</f>
        <v>#N/A</v>
      </c>
      <c r="L37" s="4" t="s">
        <v>80</v>
      </c>
      <c r="M37" s="4" t="s">
        <v>575</v>
      </c>
      <c r="N37" s="21" t="s">
        <v>1272</v>
      </c>
      <c r="O37" s="21">
        <v>12095.0</v>
      </c>
      <c r="P37" s="10">
        <f t="array" ref="P37">INDEX('TJ List'!B:B,MATCH(O37,'TJ List'!N:N,0),0)
</f>
        <v>42668</v>
      </c>
      <c r="Q37">
        <f t="shared" si="1"/>
        <v>12095</v>
      </c>
      <c r="Z37" s="29"/>
    </row>
    <row r="38">
      <c r="A38" s="17" t="s">
        <v>1277</v>
      </c>
      <c r="B38" s="59">
        <v>42645.0</v>
      </c>
      <c r="D38" s="14"/>
      <c r="G38" s="4" t="s">
        <v>1335</v>
      </c>
      <c r="H38" s="4" t="s">
        <v>72</v>
      </c>
      <c r="I38" s="4">
        <v>7541.0</v>
      </c>
      <c r="J38" t="str">
        <f t="array" ref="J38">INDEX('TJ List'!B:B,MATCH(I38,'TJ List'!N:N,0),0)
</f>
        <v>#N/A</v>
      </c>
      <c r="L38" s="4" t="s">
        <v>1344</v>
      </c>
      <c r="M38" s="4" t="s">
        <v>575</v>
      </c>
      <c r="N38" s="21" t="s">
        <v>1272</v>
      </c>
      <c r="O38" s="21">
        <v>14444.0</v>
      </c>
      <c r="P38" s="10">
        <f t="array" ref="P38">INDEX('TJ List'!B:B,MATCH(O38,'TJ List'!N:N,0),0)
</f>
        <v>37987</v>
      </c>
      <c r="Q38">
        <f t="shared" si="1"/>
        <v>14444</v>
      </c>
      <c r="Z38" s="29"/>
    </row>
    <row r="39">
      <c r="D39" s="14"/>
      <c r="G39" s="4" t="s">
        <v>1361</v>
      </c>
      <c r="H39" s="4" t="s">
        <v>72</v>
      </c>
      <c r="I39" s="4">
        <v>7677.0</v>
      </c>
      <c r="J39" t="str">
        <f t="array" ref="J39">INDEX('TJ List'!B:B,MATCH(I39,'TJ List'!N:N,0),0)
</f>
        <v>#N/A</v>
      </c>
      <c r="L39" s="4" t="s">
        <v>1371</v>
      </c>
      <c r="M39" s="4" t="s">
        <v>469</v>
      </c>
      <c r="N39" s="21" t="s">
        <v>1372</v>
      </c>
      <c r="O39" s="21" t="s">
        <v>1373</v>
      </c>
      <c r="P39" s="10">
        <f t="array" ref="P39">INDEX('TJ List'!B:B,MATCH(O39,'TJ List'!N:N,0),0)
</f>
        <v>39539</v>
      </c>
      <c r="Q39">
        <f t="shared" si="1"/>
        <v>0</v>
      </c>
      <c r="Z39" s="29"/>
    </row>
    <row r="40">
      <c r="D40" s="14"/>
      <c r="G40" s="4" t="s">
        <v>1393</v>
      </c>
      <c r="H40" s="4" t="s">
        <v>72</v>
      </c>
      <c r="I40" s="4">
        <v>8037.0</v>
      </c>
      <c r="J40" t="str">
        <f t="array" ref="J40">INDEX('TJ List'!B:B,MATCH(I40,'TJ List'!N:N,0),0)
</f>
        <v>#N/A</v>
      </c>
      <c r="L40" s="4" t="s">
        <v>1408</v>
      </c>
      <c r="M40" s="4" t="s">
        <v>469</v>
      </c>
      <c r="N40" s="21" t="s">
        <v>1372</v>
      </c>
      <c r="O40" s="21">
        <v>10302.0</v>
      </c>
      <c r="P40" s="30" t="str">
        <f t="array" ref="P40">INDEX('TJ List'!B:B,MATCH(O40,'TJ List'!N:N,0),0)
</f>
        <v>#N/A</v>
      </c>
      <c r="Q40">
        <f t="shared" si="1"/>
        <v>10302</v>
      </c>
      <c r="Z40" s="29"/>
    </row>
    <row r="41">
      <c r="B41" s="14"/>
      <c r="D41" s="14"/>
      <c r="G41" s="4" t="s">
        <v>1417</v>
      </c>
      <c r="H41" s="4" t="s">
        <v>72</v>
      </c>
      <c r="I41" s="4">
        <v>8048.0</v>
      </c>
      <c r="J41" t="str">
        <f t="array" ref="J41">INDEX('TJ List'!B:B,MATCH(I41,'TJ List'!N:N,0),0)
</f>
        <v>#N/A</v>
      </c>
      <c r="L41" s="4" t="s">
        <v>1425</v>
      </c>
      <c r="M41" s="4" t="s">
        <v>485</v>
      </c>
      <c r="N41" s="21" t="s">
        <v>1427</v>
      </c>
      <c r="O41" s="21">
        <v>6632.0</v>
      </c>
      <c r="P41" s="10">
        <f t="array" ref="P41">INDEX('TJ List'!B:B,MATCH(O41,'TJ List'!N:N,0),0)
</f>
        <v>40800</v>
      </c>
      <c r="Q41">
        <f t="shared" si="1"/>
        <v>6632</v>
      </c>
      <c r="Z41" s="29"/>
    </row>
    <row r="42">
      <c r="B42" s="14"/>
      <c r="D42" s="14"/>
      <c r="G42" s="4" t="s">
        <v>1434</v>
      </c>
      <c r="H42" s="4" t="s">
        <v>72</v>
      </c>
      <c r="I42" s="4">
        <v>8302.0</v>
      </c>
      <c r="J42" t="str">
        <f t="array" ref="J42">INDEX('TJ List'!B:B,MATCH(I42,'TJ List'!N:N,0),0)
</f>
        <v>#N/A</v>
      </c>
      <c r="L42" s="4" t="s">
        <v>1443</v>
      </c>
      <c r="M42" s="4" t="s">
        <v>791</v>
      </c>
      <c r="N42" s="21" t="s">
        <v>1444</v>
      </c>
      <c r="O42" s="21">
        <v>1370.0</v>
      </c>
      <c r="P42" s="10">
        <f t="array" ref="P42">INDEX('TJ List'!B:B,MATCH(O42,'TJ List'!N:N,0),0)
</f>
        <v>39600</v>
      </c>
      <c r="Q42">
        <f t="shared" si="1"/>
        <v>0</v>
      </c>
      <c r="Z42" s="29"/>
    </row>
    <row r="43">
      <c r="B43" s="14"/>
      <c r="D43" s="14"/>
      <c r="G43" s="4" t="s">
        <v>1449</v>
      </c>
      <c r="H43" s="4" t="s">
        <v>72</v>
      </c>
      <c r="I43" s="4">
        <v>8779.0</v>
      </c>
      <c r="J43" t="str">
        <f t="array" ref="J43">INDEX('TJ List'!B:B,MATCH(I43,'TJ List'!N:N,0),0)
</f>
        <v>#N/A</v>
      </c>
      <c r="L43" s="4" t="s">
        <v>89</v>
      </c>
      <c r="M43" s="4" t="s">
        <v>791</v>
      </c>
      <c r="N43" s="21" t="s">
        <v>1444</v>
      </c>
      <c r="O43" s="21">
        <v>8855.0</v>
      </c>
      <c r="P43" s="10">
        <f t="array" ref="P43">INDEX('TJ List'!B:B,MATCH(O43,'TJ List'!N:N,0),0)
</f>
        <v>42663</v>
      </c>
      <c r="Q43">
        <f t="shared" si="1"/>
        <v>0</v>
      </c>
      <c r="Z43" s="29"/>
    </row>
    <row r="44">
      <c r="B44" s="14"/>
      <c r="D44" s="14"/>
      <c r="G44" s="4" t="s">
        <v>1463</v>
      </c>
      <c r="H44" s="4" t="s">
        <v>72</v>
      </c>
      <c r="I44" s="4">
        <v>8782.0</v>
      </c>
      <c r="J44" t="str">
        <f t="array" ref="J44">INDEX('TJ List'!B:B,MATCH(I44,'TJ List'!N:N,0),0)
</f>
        <v>#N/A</v>
      </c>
      <c r="L44" s="4" t="s">
        <v>1472</v>
      </c>
      <c r="M44" s="4" t="s">
        <v>791</v>
      </c>
      <c r="N44" s="21" t="s">
        <v>1444</v>
      </c>
      <c r="O44" s="21">
        <v>12638.0</v>
      </c>
      <c r="P44" s="30" t="str">
        <f t="array" ref="P44">INDEX('TJ List'!B:B,MATCH(O44,'TJ List'!N:N,0),0)
</f>
        <v>#N/A</v>
      </c>
      <c r="Q44">
        <f t="shared" si="1"/>
        <v>12638</v>
      </c>
      <c r="Z44" s="29"/>
    </row>
    <row r="45">
      <c r="B45" s="14"/>
      <c r="D45" s="14"/>
      <c r="G45" s="4" t="s">
        <v>1480</v>
      </c>
      <c r="H45" s="4" t="s">
        <v>72</v>
      </c>
      <c r="I45" s="4">
        <v>8844.0</v>
      </c>
      <c r="J45" t="str">
        <f t="array" ref="J45">INDEX('TJ List'!B:B,MATCH(I45,'TJ List'!N:N,0),0)
</f>
        <v>#N/A</v>
      </c>
      <c r="L45" s="4" t="s">
        <v>1488</v>
      </c>
      <c r="M45" s="4" t="s">
        <v>791</v>
      </c>
      <c r="N45" s="21" t="s">
        <v>1444</v>
      </c>
      <c r="O45" s="21">
        <v>13339.0</v>
      </c>
      <c r="P45" s="10">
        <f t="array" ref="P45">INDEX('TJ List'!B:B,MATCH(O45,'TJ List'!N:N,0),0)
</f>
        <v>40023</v>
      </c>
      <c r="Q45">
        <f t="shared" si="1"/>
        <v>13339</v>
      </c>
      <c r="Z45" s="29"/>
    </row>
    <row r="46">
      <c r="B46" s="14"/>
      <c r="D46" s="14"/>
      <c r="G46" s="4" t="s">
        <v>1499</v>
      </c>
      <c r="H46" s="4" t="s">
        <v>72</v>
      </c>
      <c r="I46" s="4">
        <v>9029.0</v>
      </c>
      <c r="J46" t="str">
        <f t="array" ref="J46">INDEX('TJ List'!B:B,MATCH(I46,'TJ List'!N:N,0),0)
</f>
        <v>#N/A</v>
      </c>
      <c r="L46" s="4" t="s">
        <v>713</v>
      </c>
      <c r="M46" s="4" t="s">
        <v>889</v>
      </c>
      <c r="N46" s="21" t="s">
        <v>1506</v>
      </c>
      <c r="O46" s="21">
        <v>10310.0</v>
      </c>
      <c r="P46" s="10">
        <f t="array" ref="P46">INDEX('TJ List'!B:B,MATCH(O46,'TJ List'!N:N,0),0)
</f>
        <v>42088</v>
      </c>
      <c r="Q46">
        <f t="shared" si="1"/>
        <v>0</v>
      </c>
      <c r="Z46" s="29"/>
    </row>
    <row r="47">
      <c r="B47" s="14"/>
      <c r="D47" s="14"/>
      <c r="G47" s="4" t="s">
        <v>1517</v>
      </c>
      <c r="H47" s="4" t="s">
        <v>72</v>
      </c>
      <c r="I47" s="4">
        <v>9286.0</v>
      </c>
      <c r="J47" t="str">
        <f t="array" ref="J47">INDEX('TJ List'!B:B,MATCH(I47,'TJ List'!N:N,0),0)
</f>
        <v>#N/A</v>
      </c>
      <c r="L47" s="4" t="s">
        <v>726</v>
      </c>
      <c r="M47" s="4" t="s">
        <v>889</v>
      </c>
      <c r="N47" s="21" t="s">
        <v>1506</v>
      </c>
      <c r="O47" s="21">
        <v>4424.0</v>
      </c>
      <c r="P47" s="30" t="str">
        <f t="array" ref="P47">INDEX('TJ List'!B:B,MATCH(O47,'TJ List'!N:N,0),0)
</f>
        <v>#N/A</v>
      </c>
      <c r="Q47">
        <f t="shared" si="1"/>
        <v>4424</v>
      </c>
      <c r="Z47" s="29"/>
    </row>
    <row r="48">
      <c r="B48" s="14"/>
      <c r="D48" s="14"/>
      <c r="G48" s="4" t="s">
        <v>1530</v>
      </c>
      <c r="H48" s="4" t="s">
        <v>72</v>
      </c>
      <c r="I48" s="4">
        <v>9490.0</v>
      </c>
      <c r="J48" t="str">
        <f t="array" ref="J48">INDEX('TJ List'!B:B,MATCH(I48,'TJ List'!N:N,0),0)
</f>
        <v>#N/A</v>
      </c>
      <c r="L48" s="4" t="s">
        <v>1197</v>
      </c>
      <c r="M48" s="4" t="s">
        <v>889</v>
      </c>
      <c r="N48" s="21" t="s">
        <v>1506</v>
      </c>
      <c r="O48" s="21">
        <v>11713.0</v>
      </c>
      <c r="P48" s="10">
        <f t="array" ref="P48">INDEX('TJ List'!B:B,MATCH(O48,'TJ List'!N:N,0),0)
</f>
        <v>41569</v>
      </c>
      <c r="Q48">
        <f t="shared" si="1"/>
        <v>11713</v>
      </c>
      <c r="Z48" s="29"/>
    </row>
    <row r="49">
      <c r="B49" s="14"/>
      <c r="D49" s="14"/>
      <c r="G49" s="4" t="s">
        <v>1548</v>
      </c>
      <c r="H49" s="4" t="s">
        <v>72</v>
      </c>
      <c r="I49" s="4">
        <v>9492.0</v>
      </c>
      <c r="J49" t="str">
        <f t="array" ref="J49">INDEX('TJ List'!B:B,MATCH(I49,'TJ List'!N:N,0),0)
</f>
        <v>#N/A</v>
      </c>
      <c r="L49" s="4" t="s">
        <v>1554</v>
      </c>
      <c r="M49" s="4" t="s">
        <v>889</v>
      </c>
      <c r="N49" s="21" t="s">
        <v>1506</v>
      </c>
      <c r="O49" s="21">
        <v>13361.0</v>
      </c>
      <c r="P49" s="10">
        <f t="array" ref="P49">INDEX('TJ List'!B:B,MATCH(O49,'TJ List'!N:N,0),0)
</f>
        <v>40316</v>
      </c>
      <c r="Q49">
        <f t="shared" si="1"/>
        <v>13361</v>
      </c>
      <c r="Z49" s="29"/>
    </row>
    <row r="50">
      <c r="B50" s="14"/>
      <c r="D50" s="14"/>
      <c r="G50" s="4" t="s">
        <v>1565</v>
      </c>
      <c r="H50" s="4" t="s">
        <v>72</v>
      </c>
      <c r="I50" s="4">
        <v>9866.0</v>
      </c>
      <c r="J50" t="str">
        <f t="array" ref="J50">INDEX('TJ List'!B:B,MATCH(I50,'TJ List'!N:N,0),0)
</f>
        <v>#N/A</v>
      </c>
      <c r="L50" s="4" t="s">
        <v>431</v>
      </c>
      <c r="M50" s="4" t="s">
        <v>695</v>
      </c>
      <c r="N50" s="21" t="s">
        <v>316</v>
      </c>
      <c r="O50" s="21">
        <v>11243.0</v>
      </c>
      <c r="P50" s="10">
        <f t="array" ref="P50">INDEX('TJ List'!B:B,MATCH(O50,'TJ List'!N:N,0),0)
</f>
        <v>42250</v>
      </c>
      <c r="Q50">
        <f t="shared" si="1"/>
        <v>0</v>
      </c>
      <c r="Z50" s="29"/>
    </row>
    <row r="51">
      <c r="B51" s="14"/>
      <c r="D51" s="14"/>
      <c r="G51" s="4" t="s">
        <v>1584</v>
      </c>
      <c r="H51" s="4" t="s">
        <v>72</v>
      </c>
      <c r="I51" s="4">
        <v>9877.0</v>
      </c>
      <c r="J51" t="str">
        <f t="array" ref="J51">INDEX('TJ List'!B:B,MATCH(I51,'TJ List'!N:N,0),0)
</f>
        <v>#N/A</v>
      </c>
      <c r="L51" s="4" t="s">
        <v>1587</v>
      </c>
      <c r="M51" s="4" t="s">
        <v>887</v>
      </c>
      <c r="N51" s="21" t="s">
        <v>1588</v>
      </c>
      <c r="O51" s="21" t="s">
        <v>1590</v>
      </c>
      <c r="P51" s="30" t="str">
        <f t="array" ref="P51">INDEX('TJ List'!B:B,MATCH(O51,'TJ List'!N:N,0),0)
</f>
        <v>#N/A</v>
      </c>
      <c r="Q51">
        <f t="shared" si="1"/>
        <v>0</v>
      </c>
      <c r="Z51" s="29"/>
    </row>
    <row r="52">
      <c r="B52" s="14"/>
      <c r="D52" s="14"/>
      <c r="G52" s="4" t="s">
        <v>1596</v>
      </c>
      <c r="H52" s="4" t="s">
        <v>72</v>
      </c>
      <c r="I52" s="4">
        <v>9975.0</v>
      </c>
      <c r="J52" t="str">
        <f t="array" ref="J52">INDEX('TJ List'!B:B,MATCH(I52,'TJ List'!N:N,0),0)
</f>
        <v>#N/A</v>
      </c>
      <c r="L52" s="4" t="s">
        <v>388</v>
      </c>
      <c r="M52" s="4" t="s">
        <v>356</v>
      </c>
      <c r="N52" s="21" t="s">
        <v>518</v>
      </c>
      <c r="O52" s="21">
        <v>12803.0</v>
      </c>
      <c r="P52" s="10">
        <f t="array" ref="P52">INDEX('TJ List'!B:B,MATCH(O52,'TJ List'!N:N,0),0)
</f>
        <v>42437</v>
      </c>
      <c r="Q52">
        <f t="shared" si="1"/>
        <v>0</v>
      </c>
      <c r="Z52" s="29"/>
    </row>
    <row r="53">
      <c r="B53" s="14"/>
      <c r="D53" s="14"/>
      <c r="G53" s="4" t="s">
        <v>1611</v>
      </c>
      <c r="H53" s="4" t="s">
        <v>72</v>
      </c>
      <c r="I53" s="4">
        <v>10029.0</v>
      </c>
      <c r="J53" t="str">
        <f t="array" ref="J53">INDEX('TJ List'!B:B,MATCH(I53,'TJ List'!N:N,0),0)
</f>
        <v>#N/A</v>
      </c>
      <c r="L53" s="4" t="s">
        <v>61</v>
      </c>
      <c r="M53" s="4" t="s">
        <v>356</v>
      </c>
      <c r="N53" s="21" t="s">
        <v>518</v>
      </c>
      <c r="O53" s="21">
        <v>1483.0</v>
      </c>
      <c r="P53" s="30" t="str">
        <f t="array" ref="P53">INDEX('TJ List'!B:B,MATCH(O53,'TJ List'!N:N,0),0)
</f>
        <v>#N/A</v>
      </c>
      <c r="Q53">
        <f t="shared" si="1"/>
        <v>0</v>
      </c>
      <c r="Z53" s="29"/>
    </row>
    <row r="54">
      <c r="B54" s="14"/>
      <c r="D54" s="14"/>
      <c r="G54" s="4" t="s">
        <v>1622</v>
      </c>
      <c r="H54" s="4" t="s">
        <v>72</v>
      </c>
      <c r="I54" s="4">
        <v>10233.0</v>
      </c>
      <c r="J54" t="str">
        <f t="array" ref="J54">INDEX('TJ List'!B:B,MATCH(I54,'TJ List'!N:N,0),0)
</f>
        <v>#N/A</v>
      </c>
      <c r="L54" s="4" t="s">
        <v>1081</v>
      </c>
      <c r="M54" s="4" t="s">
        <v>356</v>
      </c>
      <c r="N54" s="21" t="s">
        <v>518</v>
      </c>
      <c r="O54" s="21">
        <v>7872.0</v>
      </c>
      <c r="P54" s="30" t="str">
        <f t="array" ref="P54">INDEX('TJ List'!B:B,MATCH(O54,'TJ List'!N:N,0),0)
</f>
        <v>#N/A</v>
      </c>
      <c r="Q54">
        <f t="shared" si="1"/>
        <v>7872</v>
      </c>
      <c r="Z54" s="29"/>
    </row>
    <row r="55">
      <c r="B55" s="14"/>
      <c r="D55" s="14"/>
      <c r="G55" s="4" t="s">
        <v>1636</v>
      </c>
      <c r="H55" s="4" t="s">
        <v>72</v>
      </c>
      <c r="I55" s="4">
        <v>10304.0</v>
      </c>
      <c r="J55" t="str">
        <f t="array" ref="J55">INDEX('TJ List'!B:B,MATCH(I55,'TJ List'!N:N,0),0)
</f>
        <v>#N/A</v>
      </c>
      <c r="L55" s="4" t="s">
        <v>294</v>
      </c>
      <c r="M55" s="4" t="s">
        <v>356</v>
      </c>
      <c r="N55" s="21" t="s">
        <v>518</v>
      </c>
      <c r="O55" s="21">
        <v>10354.0</v>
      </c>
      <c r="P55" s="10">
        <f t="array" ref="P55">INDEX('TJ List'!B:B,MATCH(O55,'TJ List'!N:N,0),0)
</f>
        <v>42507</v>
      </c>
      <c r="Q55">
        <f t="shared" si="1"/>
        <v>10354</v>
      </c>
      <c r="Z55" s="29"/>
    </row>
    <row r="56">
      <c r="B56" s="14"/>
      <c r="D56" s="14"/>
      <c r="G56" s="4" t="s">
        <v>1653</v>
      </c>
      <c r="H56" s="4" t="s">
        <v>72</v>
      </c>
      <c r="I56" s="4">
        <v>10510.0</v>
      </c>
      <c r="J56" t="str">
        <f t="array" ref="J56">INDEX('TJ List'!B:B,MATCH(I56,'TJ List'!N:N,0),0)
</f>
        <v>#N/A</v>
      </c>
      <c r="L56" s="4" t="s">
        <v>44</v>
      </c>
      <c r="M56" s="4" t="s">
        <v>356</v>
      </c>
      <c r="N56" s="21" t="s">
        <v>518</v>
      </c>
      <c r="O56" s="21">
        <v>12317.0</v>
      </c>
      <c r="P56" s="10">
        <f t="array" ref="P56">INDEX('TJ List'!B:B,MATCH(O56,'TJ List'!N:N,0),0)
</f>
        <v>42684</v>
      </c>
      <c r="Q56">
        <f t="shared" si="1"/>
        <v>12317</v>
      </c>
      <c r="Z56" s="29"/>
    </row>
    <row r="57">
      <c r="B57" s="14"/>
      <c r="D57" s="14"/>
      <c r="G57" s="4" t="s">
        <v>1672</v>
      </c>
      <c r="H57" s="4" t="s">
        <v>72</v>
      </c>
      <c r="I57" s="4">
        <v>11424.0</v>
      </c>
      <c r="J57" t="str">
        <f t="array" ref="J57">INDEX('TJ List'!B:B,MATCH(I57,'TJ List'!N:N,0),0)
</f>
        <v>#N/A</v>
      </c>
      <c r="L57" s="4" t="s">
        <v>135</v>
      </c>
      <c r="M57" s="4" t="s">
        <v>356</v>
      </c>
      <c r="N57" s="21" t="s">
        <v>518</v>
      </c>
      <c r="O57" s="21">
        <v>12520.0</v>
      </c>
      <c r="P57" s="10">
        <f t="array" ref="P57">INDEX('TJ List'!B:B,MATCH(O57,'TJ List'!N:N,0),0)
</f>
        <v>42649</v>
      </c>
      <c r="Q57">
        <f t="shared" si="1"/>
        <v>12520</v>
      </c>
      <c r="Z57" s="29"/>
    </row>
    <row r="58">
      <c r="B58" s="14"/>
      <c r="D58" s="14"/>
      <c r="G58" s="4" t="s">
        <v>1691</v>
      </c>
      <c r="H58" s="4" t="s">
        <v>72</v>
      </c>
      <c r="I58" s="4">
        <v>11426.0</v>
      </c>
      <c r="J58" t="str">
        <f t="array" ref="J58">INDEX('TJ List'!B:B,MATCH(I58,'TJ List'!N:N,0),0)
</f>
        <v>#N/A</v>
      </c>
      <c r="L58" s="4" t="s">
        <v>1696</v>
      </c>
      <c r="M58" s="4" t="s">
        <v>356</v>
      </c>
      <c r="N58" s="21" t="s">
        <v>518</v>
      </c>
      <c r="O58" s="21">
        <v>14099.0</v>
      </c>
      <c r="P58" s="30" t="str">
        <f t="array" ref="P58">INDEX('TJ List'!B:B,MATCH(O58,'TJ List'!N:N,0),0)
</f>
        <v>#N/A</v>
      </c>
      <c r="Q58">
        <f t="shared" si="1"/>
        <v>14099</v>
      </c>
      <c r="Z58" s="29"/>
    </row>
    <row r="59">
      <c r="B59" s="14"/>
      <c r="D59" s="14"/>
      <c r="G59" s="4" t="s">
        <v>1704</v>
      </c>
      <c r="H59" s="4" t="s">
        <v>72</v>
      </c>
      <c r="I59" s="4">
        <v>12076.0</v>
      </c>
      <c r="J59" t="str">
        <f t="array" ref="J59">INDEX('TJ List'!B:B,MATCH(I59,'TJ List'!N:N,0),0)
</f>
        <v>#N/A</v>
      </c>
      <c r="L59" s="4" t="s">
        <v>1709</v>
      </c>
      <c r="M59" s="4" t="s">
        <v>722</v>
      </c>
      <c r="N59" s="21" t="s">
        <v>1710</v>
      </c>
      <c r="O59" s="21">
        <v>5551.0</v>
      </c>
      <c r="P59" s="30" t="str">
        <f t="array" ref="P59">INDEX('TJ List'!B:B,MATCH(O59,'TJ List'!N:N,0),0)
</f>
        <v>#N/A</v>
      </c>
      <c r="Q59">
        <f t="shared" si="1"/>
        <v>0</v>
      </c>
      <c r="Z59" s="29"/>
    </row>
    <row r="60">
      <c r="B60" s="14"/>
      <c r="D60" s="14"/>
      <c r="G60" s="4" t="s">
        <v>44</v>
      </c>
      <c r="H60" s="4" t="s">
        <v>72</v>
      </c>
      <c r="I60" s="4">
        <v>12317.0</v>
      </c>
      <c r="J60" s="45">
        <f t="array" ref="J60">INDEX('TJ List'!B:B,MATCH(I60,'TJ List'!N:N,0),0)
</f>
        <v>42684</v>
      </c>
      <c r="L60" s="4" t="s">
        <v>1465</v>
      </c>
      <c r="M60" s="4" t="s">
        <v>722</v>
      </c>
      <c r="N60" s="21" t="s">
        <v>1710</v>
      </c>
      <c r="O60" s="21">
        <v>4676.0</v>
      </c>
      <c r="P60" s="10">
        <f t="array" ref="P60">INDEX('TJ List'!B:B,MATCH(O60,'TJ List'!N:N,0),0)
</f>
        <v>41081</v>
      </c>
      <c r="Q60">
        <f t="shared" si="1"/>
        <v>4676</v>
      </c>
      <c r="Z60" s="29"/>
    </row>
    <row r="61">
      <c r="B61" s="14"/>
      <c r="D61" s="14"/>
      <c r="G61" s="4" t="s">
        <v>135</v>
      </c>
      <c r="H61" s="4" t="s">
        <v>72</v>
      </c>
      <c r="I61" s="4">
        <v>12520.0</v>
      </c>
      <c r="J61" s="45">
        <f t="array" ref="J61">INDEX('TJ List'!B:B,MATCH(I61,'TJ List'!N:N,0),0)
</f>
        <v>42649</v>
      </c>
      <c r="L61" s="4" t="s">
        <v>1732</v>
      </c>
      <c r="M61" s="4" t="s">
        <v>722</v>
      </c>
      <c r="N61" s="21" t="s">
        <v>1710</v>
      </c>
      <c r="O61" s="21">
        <v>13774.0</v>
      </c>
      <c r="P61" s="30" t="str">
        <f t="array" ref="P61">INDEX('TJ List'!B:B,MATCH(O61,'TJ List'!N:N,0),0)
</f>
        <v>#N/A</v>
      </c>
      <c r="Q61">
        <f t="shared" si="1"/>
        <v>13774</v>
      </c>
      <c r="Z61" s="29"/>
    </row>
    <row r="62">
      <c r="B62" s="14"/>
      <c r="D62" s="14"/>
      <c r="G62" s="4" t="s">
        <v>1740</v>
      </c>
      <c r="H62" s="4" t="s">
        <v>72</v>
      </c>
      <c r="I62" s="4">
        <v>12675.0</v>
      </c>
      <c r="J62" t="str">
        <f t="array" ref="J62">INDEX('TJ List'!B:B,MATCH(I62,'TJ List'!N:N,0),0)
</f>
        <v>#N/A</v>
      </c>
      <c r="L62" s="4" t="s">
        <v>63</v>
      </c>
      <c r="M62" s="4" t="s">
        <v>722</v>
      </c>
      <c r="N62" s="21" t="s">
        <v>1710</v>
      </c>
      <c r="O62" s="21">
        <v>16149.0</v>
      </c>
      <c r="P62" s="30" t="str">
        <f t="array" ref="P62">INDEX('TJ List'!B:B,MATCH(O62,'TJ List'!N:N,0),0)
</f>
        <v>#N/A</v>
      </c>
      <c r="Q62">
        <f t="shared" si="1"/>
        <v>16149</v>
      </c>
      <c r="Z62" s="29"/>
    </row>
    <row r="63">
      <c r="B63" s="14"/>
      <c r="D63" s="14"/>
      <c r="G63" s="4" t="s">
        <v>1759</v>
      </c>
      <c r="H63" s="4" t="s">
        <v>72</v>
      </c>
      <c r="I63" s="4">
        <v>12833.0</v>
      </c>
      <c r="J63" t="str">
        <f t="array" ref="J63">INDEX('TJ List'!B:B,MATCH(I63,'TJ List'!N:N,0),0)
</f>
        <v>#N/A</v>
      </c>
      <c r="L63" s="4" t="s">
        <v>1767</v>
      </c>
      <c r="M63" s="4" t="s">
        <v>545</v>
      </c>
      <c r="N63" s="21" t="s">
        <v>563</v>
      </c>
      <c r="O63" s="4">
        <v>11432.0</v>
      </c>
      <c r="P63" s="30" t="str">
        <f t="array" ref="P63">INDEX('TJ List'!B:B,MATCH(O63,'TJ List'!N:N,0),0)
</f>
        <v>#N/A</v>
      </c>
      <c r="Q63">
        <f t="shared" si="1"/>
        <v>11432</v>
      </c>
      <c r="Z63" s="29"/>
    </row>
    <row r="64">
      <c r="B64" s="14"/>
      <c r="D64" s="14"/>
      <c r="G64" s="4" t="s">
        <v>1772</v>
      </c>
      <c r="H64" s="4" t="s">
        <v>72</v>
      </c>
      <c r="I64" s="4">
        <v>13427.0</v>
      </c>
      <c r="J64" t="str">
        <f t="array" ref="J64">INDEX('TJ List'!B:B,MATCH(I64,'TJ List'!N:N,0),0)
</f>
        <v>#N/A</v>
      </c>
      <c r="L64" s="4" t="s">
        <v>1779</v>
      </c>
      <c r="M64" s="4" t="s">
        <v>545</v>
      </c>
      <c r="N64" s="21" t="s">
        <v>563</v>
      </c>
      <c r="O64" s="21">
        <v>13125.0</v>
      </c>
      <c r="P64" s="30" t="str">
        <f t="array" ref="P64">INDEX('TJ List'!B:B,MATCH(O64,'TJ List'!N:N,0),0)
</f>
        <v>#N/A</v>
      </c>
      <c r="Q64">
        <f t="shared" si="1"/>
        <v>13125</v>
      </c>
      <c r="Z64" s="29"/>
    </row>
    <row r="65">
      <c r="B65" s="14"/>
      <c r="D65" s="14"/>
      <c r="G65" s="4" t="s">
        <v>1785</v>
      </c>
      <c r="H65" s="4" t="s">
        <v>72</v>
      </c>
      <c r="I65" s="4">
        <v>14239.0</v>
      </c>
      <c r="J65" t="str">
        <f t="array" ref="J65">INDEX('TJ List'!B:B,MATCH(I65,'TJ List'!N:N,0),0)
</f>
        <v>#N/A</v>
      </c>
      <c r="L65" s="4" t="s">
        <v>1335</v>
      </c>
      <c r="M65" s="4" t="s">
        <v>573</v>
      </c>
      <c r="N65" s="21" t="s">
        <v>157</v>
      </c>
      <c r="O65" s="21">
        <v>7541.0</v>
      </c>
      <c r="P65" s="30" t="str">
        <f t="array" ref="P65">INDEX('TJ List'!B:B,MATCH(O65,'TJ List'!N:N,0),0)
</f>
        <v>#N/A</v>
      </c>
      <c r="Q65">
        <f t="shared" si="1"/>
        <v>7541</v>
      </c>
      <c r="Z65" s="29"/>
    </row>
    <row r="66">
      <c r="B66" s="14"/>
      <c r="D66" s="14"/>
      <c r="G66" s="4" t="s">
        <v>1806</v>
      </c>
      <c r="H66" s="4" t="s">
        <v>72</v>
      </c>
      <c r="I66" s="4">
        <v>15179.0</v>
      </c>
      <c r="J66" t="str">
        <f t="array" ref="J66">INDEX('TJ List'!B:B,MATCH(I66,'TJ List'!N:N,0),0)
</f>
        <v>#N/A</v>
      </c>
      <c r="L66" s="4" t="s">
        <v>1819</v>
      </c>
      <c r="M66" s="4" t="s">
        <v>573</v>
      </c>
      <c r="N66" s="21" t="s">
        <v>157</v>
      </c>
      <c r="O66" s="21">
        <v>10481.0</v>
      </c>
      <c r="P66" s="10">
        <f t="array" ref="P66">INDEX('TJ List'!B:B,MATCH(O66,'TJ List'!N:N,0),0)
</f>
        <v>38777</v>
      </c>
      <c r="Q66">
        <f t="shared" si="1"/>
        <v>10481</v>
      </c>
      <c r="Z66" s="29"/>
    </row>
    <row r="67">
      <c r="B67" s="14"/>
      <c r="D67" s="14"/>
      <c r="G67" s="4" t="s">
        <v>1830</v>
      </c>
      <c r="H67" s="4" t="s">
        <v>72</v>
      </c>
      <c r="I67" s="4">
        <v>15928.0</v>
      </c>
      <c r="J67" t="str">
        <f t="array" ref="J67">INDEX('TJ List'!B:B,MATCH(I67,'TJ List'!N:N,0),0)
</f>
        <v>#N/A</v>
      </c>
      <c r="L67" s="4" t="s">
        <v>132</v>
      </c>
      <c r="M67" s="4" t="s">
        <v>629</v>
      </c>
      <c r="N67" s="21" t="s">
        <v>1841</v>
      </c>
      <c r="O67" s="21">
        <v>11428.0</v>
      </c>
      <c r="P67" s="10">
        <f t="array" ref="P67">INDEX('TJ List'!B:B,MATCH(O67,'TJ List'!N:N,0),0)
</f>
        <v>42170</v>
      </c>
      <c r="Q67">
        <f t="shared" si="1"/>
        <v>0</v>
      </c>
      <c r="Z67" s="29"/>
    </row>
    <row r="68">
      <c r="B68" s="14"/>
      <c r="D68" s="14"/>
      <c r="G68" s="4" t="s">
        <v>1851</v>
      </c>
      <c r="H68" s="4" t="s">
        <v>72</v>
      </c>
      <c r="I68" s="4">
        <v>16017.0</v>
      </c>
      <c r="J68" t="str">
        <f t="array" ref="J68">INDEX('TJ List'!B:B,MATCH(I68,'TJ List'!N:N,0),0)
</f>
        <v>#N/A</v>
      </c>
      <c r="L68" s="4" t="s">
        <v>285</v>
      </c>
      <c r="M68" s="4" t="s">
        <v>629</v>
      </c>
      <c r="N68" s="21" t="s">
        <v>1841</v>
      </c>
      <c r="O68" s="21">
        <v>13172.0</v>
      </c>
      <c r="P68" s="10">
        <f t="array" ref="P68">INDEX('TJ List'!B:B,MATCH(O68,'TJ List'!N:N,0),0)
</f>
        <v>42514</v>
      </c>
      <c r="Q68">
        <f t="shared" si="1"/>
        <v>13172</v>
      </c>
      <c r="Z68" s="29"/>
    </row>
    <row r="69">
      <c r="B69" s="14"/>
      <c r="D69" s="14"/>
      <c r="G69" s="4" t="s">
        <v>1867</v>
      </c>
      <c r="H69" s="4" t="s">
        <v>72</v>
      </c>
      <c r="I69" s="4">
        <v>17526.0</v>
      </c>
      <c r="J69" t="str">
        <f t="array" ref="J69">INDEX('TJ List'!B:B,MATCH(I69,'TJ List'!N:N,0),0)
</f>
        <v>#N/A</v>
      </c>
      <c r="L69" s="4" t="s">
        <v>1873</v>
      </c>
      <c r="M69" s="4" t="s">
        <v>222</v>
      </c>
      <c r="N69" s="21" t="s">
        <v>1874</v>
      </c>
      <c r="O69" s="21">
        <v>2155.0</v>
      </c>
      <c r="P69" s="10">
        <f t="array" ref="P69">INDEX('TJ List'!B:B,MATCH(O69,'TJ List'!N:N,0),0)
</f>
        <v>39938</v>
      </c>
      <c r="Q69">
        <f t="shared" si="1"/>
        <v>2155</v>
      </c>
      <c r="Z69" s="29"/>
    </row>
    <row r="70">
      <c r="B70" s="14"/>
      <c r="D70" s="14"/>
      <c r="G70" s="4" t="s">
        <v>1884</v>
      </c>
      <c r="H70" s="4" t="s">
        <v>147</v>
      </c>
      <c r="I70" s="4">
        <v>6324.0</v>
      </c>
      <c r="J70" s="45">
        <f t="array" ref="J70">INDEX('TJ List'!B:B,MATCH(I70,'TJ List'!N:N,0),0)
</f>
        <v>38353</v>
      </c>
      <c r="L70" s="4" t="s">
        <v>1899</v>
      </c>
      <c r="M70" s="4" t="s">
        <v>222</v>
      </c>
      <c r="N70" s="21" t="s">
        <v>1874</v>
      </c>
      <c r="O70" s="21">
        <v>10075.0</v>
      </c>
      <c r="P70" s="30" t="str">
        <f t="array" ref="P70">INDEX('TJ List'!B:B,MATCH(O70,'TJ List'!N:N,0),0)
</f>
        <v>#N/A</v>
      </c>
      <c r="Q70">
        <f t="shared" si="1"/>
        <v>10075</v>
      </c>
      <c r="Z70" s="29"/>
    </row>
    <row r="71">
      <c r="B71" s="14"/>
      <c r="D71" s="14"/>
      <c r="G71" s="4" t="s">
        <v>1910</v>
      </c>
      <c r="H71" s="4" t="s">
        <v>147</v>
      </c>
      <c r="I71" s="4">
        <v>7407.0</v>
      </c>
      <c r="J71" s="45">
        <f t="array" ref="J71">INDEX('TJ List'!B:B,MATCH(I71,'TJ List'!N:N,0),0)
</f>
        <v>38353</v>
      </c>
      <c r="L71" s="4" t="s">
        <v>1921</v>
      </c>
      <c r="M71" s="4" t="s">
        <v>222</v>
      </c>
      <c r="N71" s="21" t="s">
        <v>1874</v>
      </c>
      <c r="O71" s="21">
        <v>15232.0</v>
      </c>
      <c r="P71" s="30" t="str">
        <f t="array" ref="P71">INDEX('TJ List'!B:B,MATCH(O71,'TJ List'!N:N,0),0)
</f>
        <v>#N/A</v>
      </c>
      <c r="Q71">
        <f t="shared" si="1"/>
        <v>15232</v>
      </c>
      <c r="Z71" s="29"/>
    </row>
    <row r="72">
      <c r="B72" s="14"/>
      <c r="D72" s="14"/>
      <c r="G72" s="4" t="s">
        <v>357</v>
      </c>
      <c r="H72" s="4" t="s">
        <v>147</v>
      </c>
      <c r="I72" s="4">
        <v>1368.0</v>
      </c>
      <c r="J72" s="45">
        <f t="array" ref="J72">INDEX('TJ List'!B:B,MATCH(I72,'TJ List'!N:N,0),0)
</f>
        <v>38477</v>
      </c>
      <c r="L72" s="4" t="s">
        <v>381</v>
      </c>
      <c r="M72" s="4" t="s">
        <v>606</v>
      </c>
      <c r="N72" s="21" t="s">
        <v>341</v>
      </c>
      <c r="O72" s="21">
        <v>12774.0</v>
      </c>
      <c r="P72" s="10">
        <f t="array" ref="P72">INDEX('TJ List'!B:B,MATCH(O72,'TJ List'!N:N,0),0)
</f>
        <v>42447</v>
      </c>
      <c r="Q72">
        <f t="shared" si="1"/>
        <v>0</v>
      </c>
      <c r="Z72" s="29"/>
    </row>
    <row r="73">
      <c r="B73" s="14"/>
      <c r="D73" s="14"/>
      <c r="G73" s="4" t="s">
        <v>409</v>
      </c>
      <c r="H73" s="4" t="s">
        <v>147</v>
      </c>
      <c r="I73" s="4">
        <v>13360.0</v>
      </c>
      <c r="J73" s="45">
        <f t="array" ref="J73">INDEX('TJ List'!B:B,MATCH(I73,'TJ List'!N:N,0),0)
</f>
        <v>40664</v>
      </c>
      <c r="L73" s="4" t="s">
        <v>1671</v>
      </c>
      <c r="M73" s="4" t="s">
        <v>606</v>
      </c>
      <c r="N73" s="21" t="s">
        <v>341</v>
      </c>
      <c r="O73" s="21">
        <v>13911.0</v>
      </c>
      <c r="P73" s="10">
        <f t="array" ref="P73">INDEX('TJ List'!B:B,MATCH(O73,'TJ List'!N:N,0),0)
</f>
        <v>40544</v>
      </c>
      <c r="Q73">
        <f t="shared" si="1"/>
        <v>13911</v>
      </c>
      <c r="Z73" s="29"/>
    </row>
    <row r="74">
      <c r="B74" s="14"/>
      <c r="D74" s="14"/>
      <c r="G74" s="4" t="s">
        <v>828</v>
      </c>
      <c r="H74" s="4" t="s">
        <v>147</v>
      </c>
      <c r="I74" s="4">
        <v>10190.0</v>
      </c>
      <c r="J74" s="45">
        <f t="array" ref="J74">INDEX('TJ List'!B:B,MATCH(I74,'TJ List'!N:N,0),0)
</f>
        <v>41864</v>
      </c>
      <c r="L74" s="4" t="s">
        <v>336</v>
      </c>
      <c r="M74" s="4" t="s">
        <v>321</v>
      </c>
      <c r="N74" s="21" t="s">
        <v>1962</v>
      </c>
      <c r="O74" s="21">
        <v>3164.0</v>
      </c>
      <c r="P74" s="10">
        <f t="array" ref="P74">INDEX('TJ List'!B:B,MATCH(O74,'TJ List'!N:N,0),0)
</f>
        <v>42475</v>
      </c>
      <c r="Q74">
        <f t="shared" si="1"/>
        <v>0</v>
      </c>
      <c r="Z74" s="29"/>
    </row>
    <row r="75">
      <c r="B75" s="14"/>
      <c r="D75" s="14"/>
      <c r="G75" s="4" t="s">
        <v>116</v>
      </c>
      <c r="H75" s="4" t="s">
        <v>147</v>
      </c>
      <c r="I75" s="4">
        <v>15423.0</v>
      </c>
      <c r="J75" s="45">
        <f t="array" ref="J75">INDEX('TJ List'!B:B,MATCH(I75,'TJ List'!N:N,0),0)
</f>
        <v>42552</v>
      </c>
      <c r="L75" s="4" t="s">
        <v>1981</v>
      </c>
      <c r="M75" s="4" t="s">
        <v>321</v>
      </c>
      <c r="N75" s="21" t="s">
        <v>1962</v>
      </c>
      <c r="O75" s="21">
        <v>10021.0</v>
      </c>
      <c r="P75" s="30" t="str">
        <f t="array" ref="P75">INDEX('TJ List'!B:B,MATCH(O75,'TJ List'!N:N,0),0)
</f>
        <v>#N/A</v>
      </c>
      <c r="Q75">
        <f t="shared" si="1"/>
        <v>0</v>
      </c>
      <c r="Z75" s="29"/>
    </row>
    <row r="76">
      <c r="B76" s="14"/>
      <c r="D76" s="14"/>
      <c r="G76" s="4" t="s">
        <v>186</v>
      </c>
      <c r="H76" s="4" t="s">
        <v>147</v>
      </c>
      <c r="I76" s="4">
        <v>12385.0</v>
      </c>
      <c r="J76" s="45">
        <f t="array" ref="J76">INDEX('TJ List'!B:B,MATCH(I76,'TJ List'!N:N,0),0)
</f>
        <v>42598</v>
      </c>
      <c r="L76" s="4" t="s">
        <v>1118</v>
      </c>
      <c r="M76" s="4" t="s">
        <v>321</v>
      </c>
      <c r="N76" s="21" t="s">
        <v>1962</v>
      </c>
      <c r="O76" s="21">
        <v>6943.0</v>
      </c>
      <c r="P76" s="10">
        <f t="array" ref="P76">INDEX('TJ List'!B:B,MATCH(O76,'TJ List'!N:N,0),0)
</f>
        <v>41716</v>
      </c>
      <c r="Q76">
        <f t="shared" si="1"/>
        <v>6943</v>
      </c>
      <c r="Z76" s="29"/>
    </row>
    <row r="77">
      <c r="B77" s="14"/>
      <c r="D77" s="14"/>
      <c r="G77" s="4" t="s">
        <v>2006</v>
      </c>
      <c r="H77" s="4" t="s">
        <v>147</v>
      </c>
      <c r="I77" s="4">
        <v>2413.0</v>
      </c>
      <c r="J77" t="str">
        <f t="array" ref="J77">INDEX('TJ List'!B:B,MATCH(I77,'TJ List'!N:N,0),0)
</f>
        <v>#N/A</v>
      </c>
      <c r="L77" s="4" t="s">
        <v>615</v>
      </c>
      <c r="M77" s="4" t="s">
        <v>321</v>
      </c>
      <c r="N77" s="21" t="s">
        <v>1962</v>
      </c>
      <c r="O77" s="21">
        <v>9417.0</v>
      </c>
      <c r="P77" s="10">
        <f t="array" ref="P77">INDEX('TJ List'!B:B,MATCH(O77,'TJ List'!N:N,0),0)
</f>
        <v>41716</v>
      </c>
      <c r="Q77">
        <f t="shared" si="1"/>
        <v>9417</v>
      </c>
      <c r="Z77" s="29"/>
    </row>
    <row r="78">
      <c r="B78" s="14"/>
      <c r="D78" s="14"/>
      <c r="G78" s="4" t="s">
        <v>2019</v>
      </c>
      <c r="H78" s="4" t="s">
        <v>147</v>
      </c>
      <c r="I78" s="4">
        <v>4235.0</v>
      </c>
      <c r="J78" t="str">
        <f t="array" ref="J78">INDEX('TJ List'!B:B,MATCH(I78,'TJ List'!N:N,0),0)
</f>
        <v>#N/A</v>
      </c>
      <c r="L78" s="4" t="s">
        <v>2016</v>
      </c>
      <c r="M78" s="4" t="s">
        <v>358</v>
      </c>
      <c r="N78" s="21" t="s">
        <v>2024</v>
      </c>
      <c r="O78" s="21">
        <v>13424.0</v>
      </c>
      <c r="P78" s="10">
        <f t="array" ref="P78">INDEX('TJ List'!B:B,MATCH(O78,'TJ List'!N:N,0),0)
</f>
        <v>39600</v>
      </c>
      <c r="Q78">
        <f t="shared" si="1"/>
        <v>13424</v>
      </c>
      <c r="Z78" s="29"/>
    </row>
    <row r="79">
      <c r="B79" s="14"/>
      <c r="D79" s="14"/>
      <c r="G79" s="4" t="s">
        <v>2031</v>
      </c>
      <c r="H79" s="4" t="s">
        <v>147</v>
      </c>
      <c r="I79" s="4">
        <v>4257.0</v>
      </c>
      <c r="J79" t="str">
        <f t="array" ref="J79">INDEX('TJ List'!B:B,MATCH(I79,'TJ List'!N:N,0),0)
</f>
        <v>#N/A</v>
      </c>
      <c r="L79" s="4" t="s">
        <v>2036</v>
      </c>
      <c r="M79" s="4" t="s">
        <v>827</v>
      </c>
      <c r="N79" s="21" t="s">
        <v>232</v>
      </c>
      <c r="O79" s="21">
        <v>7450.0</v>
      </c>
      <c r="P79" s="30" t="str">
        <f t="array" ref="P79">INDEX('TJ List'!B:B,MATCH(O79,'TJ List'!N:N,0),0)
</f>
        <v>#N/A</v>
      </c>
      <c r="Q79">
        <f t="shared" si="1"/>
        <v>7450</v>
      </c>
      <c r="Z79" s="29"/>
    </row>
    <row r="80">
      <c r="B80" s="14"/>
      <c r="D80" s="14"/>
      <c r="G80" s="4" t="s">
        <v>253</v>
      </c>
      <c r="H80" s="4" t="s">
        <v>147</v>
      </c>
      <c r="I80" s="4">
        <v>4776.0</v>
      </c>
      <c r="J80" t="str">
        <f t="array" ref="J80">INDEX('TJ List'!B:B,MATCH(I80,'TJ List'!N:N,0),0)
</f>
        <v>#N/A</v>
      </c>
      <c r="L80" s="4" t="s">
        <v>2056</v>
      </c>
      <c r="M80" s="4" t="s">
        <v>827</v>
      </c>
      <c r="N80" s="21" t="s">
        <v>232</v>
      </c>
      <c r="O80" s="21">
        <v>8041.0</v>
      </c>
      <c r="P80" s="30" t="str">
        <f t="array" ref="P80">INDEX('TJ List'!B:B,MATCH(O80,'TJ List'!N:N,0),0)
</f>
        <v>#N/A</v>
      </c>
      <c r="Q80">
        <f t="shared" si="1"/>
        <v>8041</v>
      </c>
      <c r="Z80" s="29"/>
    </row>
    <row r="81">
      <c r="B81" s="14"/>
      <c r="D81" s="14"/>
      <c r="G81" s="4" t="s">
        <v>2064</v>
      </c>
      <c r="H81" s="4" t="s">
        <v>147</v>
      </c>
      <c r="I81" s="4">
        <v>5358.0</v>
      </c>
      <c r="J81" t="str">
        <f t="array" ref="J81">INDEX('TJ List'!B:B,MATCH(I81,'TJ List'!N:N,0),0)
</f>
        <v>#N/A</v>
      </c>
      <c r="L81" s="4" t="s">
        <v>2071</v>
      </c>
      <c r="M81" s="4" t="s">
        <v>466</v>
      </c>
      <c r="N81" s="21" t="s">
        <v>2072</v>
      </c>
      <c r="O81" s="21">
        <v>10534.0</v>
      </c>
      <c r="P81" s="30" t="str">
        <f t="array" ref="P81">INDEX('TJ List'!B:B,MATCH(O81,'TJ List'!N:N,0),0)
</f>
        <v>#N/A</v>
      </c>
      <c r="Q81">
        <f t="shared" si="1"/>
        <v>10534</v>
      </c>
      <c r="Z81" s="29"/>
    </row>
    <row r="82">
      <c r="B82" s="14"/>
      <c r="D82" s="14"/>
      <c r="G82" s="4" t="s">
        <v>2079</v>
      </c>
      <c r="H82" s="4" t="s">
        <v>147</v>
      </c>
      <c r="I82" s="4">
        <v>5705.0</v>
      </c>
      <c r="J82" t="str">
        <f t="array" ref="J82">INDEX('TJ List'!B:B,MATCH(I82,'TJ List'!N:N,0),0)
</f>
        <v>#N/A</v>
      </c>
      <c r="L82" s="4" t="s">
        <v>258</v>
      </c>
      <c r="M82" s="4" t="s">
        <v>466</v>
      </c>
      <c r="N82" s="21" t="s">
        <v>2072</v>
      </c>
      <c r="O82" s="21">
        <v>10558.0</v>
      </c>
      <c r="P82" s="10">
        <f t="array" ref="P82">INDEX('TJ List'!B:B,MATCH(O82,'TJ List'!N:N,0),0)
</f>
        <v>42531</v>
      </c>
      <c r="Q82">
        <f t="shared" si="1"/>
        <v>10558</v>
      </c>
      <c r="Z82" s="29"/>
    </row>
    <row r="83">
      <c r="B83" s="14"/>
      <c r="D83" s="14"/>
      <c r="G83" s="4" t="s">
        <v>298</v>
      </c>
      <c r="H83" s="4" t="s">
        <v>147</v>
      </c>
      <c r="I83" s="4">
        <v>8258.0</v>
      </c>
      <c r="J83" t="str">
        <f t="array" ref="J83">INDEX('TJ List'!B:B,MATCH(I83,'TJ List'!N:N,0),0)
</f>
        <v>#N/A</v>
      </c>
      <c r="L83" s="4" t="s">
        <v>333</v>
      </c>
      <c r="M83" s="4" t="s">
        <v>857</v>
      </c>
      <c r="N83" s="21" t="s">
        <v>2096</v>
      </c>
      <c r="O83" s="21">
        <v>14867.0</v>
      </c>
      <c r="P83" s="10">
        <f t="array" ref="P83">INDEX('TJ List'!B:B,MATCH(O83,'TJ List'!N:N,0),0)
</f>
        <v>42479</v>
      </c>
      <c r="Q83">
        <f t="shared" si="1"/>
        <v>0</v>
      </c>
      <c r="Z83" s="29"/>
    </row>
    <row r="84">
      <c r="B84" s="14"/>
      <c r="D84" s="14"/>
      <c r="G84" s="4" t="s">
        <v>2099</v>
      </c>
      <c r="H84" s="4" t="s">
        <v>147</v>
      </c>
      <c r="I84" s="4">
        <v>8410.0</v>
      </c>
      <c r="J84" t="str">
        <f t="array" ref="J84">INDEX('TJ List'!B:B,MATCH(I84,'TJ List'!N:N,0),0)
</f>
        <v>#N/A</v>
      </c>
      <c r="L84" s="4" t="s">
        <v>181</v>
      </c>
      <c r="M84" s="4" t="s">
        <v>857</v>
      </c>
      <c r="N84" s="21" t="s">
        <v>2096</v>
      </c>
      <c r="O84" s="21">
        <v>9132.0</v>
      </c>
      <c r="P84" s="10">
        <f t="array" ref="P84">INDEX('TJ List'!B:B,MATCH(O84,'TJ List'!N:N,0),0)
</f>
        <v>42601</v>
      </c>
      <c r="Q84">
        <f t="shared" si="1"/>
        <v>9132</v>
      </c>
      <c r="Z84" s="29"/>
    </row>
    <row r="85">
      <c r="B85" s="14"/>
      <c r="D85" s="14"/>
      <c r="G85" s="4" t="s">
        <v>106</v>
      </c>
      <c r="H85" s="4" t="s">
        <v>147</v>
      </c>
      <c r="I85" s="4">
        <v>9784.0</v>
      </c>
      <c r="J85" t="str">
        <f t="array" ref="J85">INDEX('TJ List'!B:B,MATCH(I85,'TJ List'!N:N,0),0)
</f>
        <v>#N/A</v>
      </c>
      <c r="L85" s="4" t="s">
        <v>1015</v>
      </c>
      <c r="M85" s="4" t="s">
        <v>857</v>
      </c>
      <c r="N85" s="21" t="s">
        <v>2096</v>
      </c>
      <c r="O85" s="21">
        <v>11580.0</v>
      </c>
      <c r="P85" s="10">
        <f t="array" ref="P85">INDEX('TJ List'!B:B,MATCH(O85,'TJ List'!N:N,0),0)
</f>
        <v>40722</v>
      </c>
      <c r="Q85">
        <f t="shared" si="1"/>
        <v>11580</v>
      </c>
      <c r="Z85" s="29"/>
    </row>
    <row r="86">
      <c r="B86" s="14"/>
      <c r="D86" s="14"/>
      <c r="G86" s="4" t="s">
        <v>2125</v>
      </c>
      <c r="H86" s="4" t="s">
        <v>147</v>
      </c>
      <c r="I86" s="4">
        <v>11387.0</v>
      </c>
      <c r="J86" t="str">
        <f t="array" ref="J86">INDEX('TJ List'!B:B,MATCH(I86,'TJ List'!N:N,0),0)
</f>
        <v>#N/A</v>
      </c>
      <c r="L86" s="4" t="s">
        <v>324</v>
      </c>
      <c r="M86" s="4" t="s">
        <v>857</v>
      </c>
      <c r="N86" s="21" t="s">
        <v>2096</v>
      </c>
      <c r="O86" s="21">
        <v>12093.0</v>
      </c>
      <c r="P86" s="10">
        <f t="array" ref="P86">INDEX('TJ List'!B:B,MATCH(O86,'TJ List'!N:N,0),0)
</f>
        <v>42486</v>
      </c>
      <c r="Q86">
        <f t="shared" si="1"/>
        <v>12093</v>
      </c>
      <c r="Z86" s="29"/>
    </row>
    <row r="87">
      <c r="B87" s="14"/>
      <c r="D87" s="14"/>
      <c r="G87" s="4" t="s">
        <v>2144</v>
      </c>
      <c r="H87" s="4" t="s">
        <v>147</v>
      </c>
      <c r="I87" s="4">
        <v>13442.0</v>
      </c>
      <c r="J87" t="str">
        <f t="array" ref="J87">INDEX('TJ List'!B:B,MATCH(I87,'TJ List'!N:N,0),0)
</f>
        <v>#N/A</v>
      </c>
      <c r="L87" s="4" t="s">
        <v>2154</v>
      </c>
      <c r="M87" s="4" t="s">
        <v>857</v>
      </c>
      <c r="N87" s="21" t="s">
        <v>2096</v>
      </c>
      <c r="O87" s="21">
        <v>15552.0</v>
      </c>
      <c r="P87" s="30" t="str">
        <f t="array" ref="P87">INDEX('TJ List'!B:B,MATCH(O87,'TJ List'!N:N,0),0)
</f>
        <v>#N/A</v>
      </c>
      <c r="Q87">
        <f t="shared" si="1"/>
        <v>15552</v>
      </c>
      <c r="Z87" s="29"/>
    </row>
    <row r="88">
      <c r="B88" s="14"/>
      <c r="D88" s="14"/>
      <c r="G88" s="4" t="s">
        <v>2162</v>
      </c>
      <c r="H88" s="4" t="s">
        <v>147</v>
      </c>
      <c r="I88" s="4">
        <v>14470.0</v>
      </c>
      <c r="J88" t="str">
        <f t="array" ref="J88">INDEX('TJ List'!B:B,MATCH(I88,'TJ List'!N:N,0),0)
</f>
        <v>#N/A</v>
      </c>
      <c r="L88" s="4"/>
      <c r="M88" s="4"/>
      <c r="N88" s="21"/>
      <c r="O88" s="4"/>
      <c r="P88" s="30"/>
      <c r="Z88" s="29"/>
    </row>
    <row r="89">
      <c r="B89" s="14"/>
      <c r="D89" s="14"/>
      <c r="G89" s="4" t="s">
        <v>2170</v>
      </c>
      <c r="H89" s="4" t="s">
        <v>147</v>
      </c>
      <c r="I89" s="4">
        <v>16877.0</v>
      </c>
      <c r="J89" t="str">
        <f t="array" ref="J89">INDEX('TJ List'!B:B,MATCH(I89,'TJ List'!N:N,0),0)
</f>
        <v>#N/A</v>
      </c>
      <c r="L89" s="4"/>
      <c r="M89" s="4"/>
      <c r="N89" s="21"/>
      <c r="O89" s="21"/>
      <c r="P89" s="30"/>
      <c r="Z89" s="29"/>
    </row>
    <row r="90">
      <c r="B90" s="14"/>
      <c r="D90" s="14"/>
      <c r="G90" s="4" t="s">
        <v>277</v>
      </c>
      <c r="H90" s="4" t="s">
        <v>201</v>
      </c>
      <c r="I90" s="4">
        <v>6283.0</v>
      </c>
      <c r="J90" s="45">
        <f t="array" ref="J90">INDEX('TJ List'!B:B,MATCH(I90,'TJ List'!N:N,0),0)
</f>
        <v>37622</v>
      </c>
      <c r="L90" s="4"/>
      <c r="M90" s="4"/>
      <c r="N90" s="21"/>
      <c r="O90" s="21"/>
      <c r="P90" s="30"/>
      <c r="Z90" s="29"/>
    </row>
    <row r="91">
      <c r="B91" s="14"/>
      <c r="D91" s="14"/>
      <c r="G91" s="4" t="s">
        <v>2090</v>
      </c>
      <c r="H91" s="4" t="s">
        <v>201</v>
      </c>
      <c r="I91" s="4">
        <v>8280.0</v>
      </c>
      <c r="J91" s="45">
        <f t="array" ref="J91">INDEX('TJ List'!B:B,MATCH(I91,'TJ List'!N:N,0),0)
</f>
        <v>39273</v>
      </c>
      <c r="L91" s="4"/>
      <c r="M91" s="4"/>
      <c r="N91" s="21"/>
      <c r="O91" s="21"/>
      <c r="P91" s="30"/>
      <c r="Z91" s="29"/>
    </row>
    <row r="92">
      <c r="B92" s="14"/>
      <c r="D92" s="14"/>
      <c r="G92" s="4" t="s">
        <v>2048</v>
      </c>
      <c r="H92" s="4" t="s">
        <v>201</v>
      </c>
      <c r="I92" s="4">
        <v>11240.0</v>
      </c>
      <c r="J92" s="45">
        <f t="array" ref="J92">INDEX('TJ List'!B:B,MATCH(I92,'TJ List'!N:N,0),0)
</f>
        <v>39448</v>
      </c>
      <c r="L92" s="4"/>
      <c r="M92" s="4"/>
      <c r="N92" s="21"/>
      <c r="O92" s="21"/>
      <c r="P92" s="30"/>
      <c r="Z92" s="29"/>
    </row>
    <row r="93">
      <c r="B93" s="14"/>
      <c r="D93" s="14"/>
      <c r="G93" s="4" t="s">
        <v>1979</v>
      </c>
      <c r="H93" s="4" t="s">
        <v>201</v>
      </c>
      <c r="I93" s="4">
        <v>4682.0</v>
      </c>
      <c r="J93" s="45">
        <f t="array" ref="J93">INDEX('TJ List'!B:B,MATCH(I93,'TJ List'!N:N,0),0)
</f>
        <v>39763</v>
      </c>
      <c r="L93" s="4"/>
      <c r="M93" s="4"/>
      <c r="N93" s="21"/>
      <c r="O93" s="21"/>
      <c r="P93" s="30"/>
      <c r="Z93" s="29"/>
    </row>
    <row r="94">
      <c r="B94" s="14"/>
      <c r="D94" s="14"/>
      <c r="G94" s="4" t="s">
        <v>1948</v>
      </c>
      <c r="H94" s="4" t="s">
        <v>201</v>
      </c>
      <c r="I94" s="4">
        <v>3192.0</v>
      </c>
      <c r="J94" s="45">
        <f t="array" ref="J94">INDEX('TJ List'!B:B,MATCH(I94,'TJ List'!N:N,0),0)
</f>
        <v>39814</v>
      </c>
      <c r="L94" s="4"/>
      <c r="M94" s="4"/>
      <c r="N94" s="21"/>
      <c r="O94" s="21"/>
      <c r="P94" s="30"/>
      <c r="Z94" s="29"/>
    </row>
    <row r="95">
      <c r="B95" s="14"/>
      <c r="D95" s="14"/>
      <c r="G95" s="4" t="s">
        <v>1246</v>
      </c>
      <c r="H95" s="4" t="s">
        <v>201</v>
      </c>
      <c r="I95" s="4">
        <v>17418.0</v>
      </c>
      <c r="J95" s="45">
        <f t="array" ref="J95">INDEX('TJ List'!B:B,MATCH(I95,'TJ List'!N:N,0),0)
</f>
        <v>41475</v>
      </c>
      <c r="L95" s="4"/>
      <c r="M95" s="4"/>
      <c r="N95" s="21"/>
      <c r="O95" s="21"/>
      <c r="P95" s="30"/>
      <c r="Z95" s="29"/>
    </row>
    <row r="96">
      <c r="B96" s="14"/>
      <c r="D96" s="14"/>
      <c r="G96" s="4" t="s">
        <v>2202</v>
      </c>
      <c r="H96" s="4" t="s">
        <v>201</v>
      </c>
      <c r="I96" s="4">
        <v>4090.0</v>
      </c>
      <c r="J96" t="str">
        <f t="array" ref="J96">INDEX('TJ List'!B:B,MATCH(I96,'TJ List'!N:N,0),0)
</f>
        <v>#N/A</v>
      </c>
      <c r="L96" s="4"/>
      <c r="M96" s="4"/>
      <c r="N96" s="21"/>
      <c r="O96" s="21"/>
      <c r="P96" s="30"/>
      <c r="Z96" s="29"/>
    </row>
    <row r="97">
      <c r="B97" s="14"/>
      <c r="D97" s="14"/>
      <c r="G97" s="4" t="s">
        <v>2210</v>
      </c>
      <c r="H97" s="4" t="s">
        <v>201</v>
      </c>
      <c r="I97" s="4">
        <v>5401.0</v>
      </c>
      <c r="J97" t="str">
        <f t="array" ref="J97">INDEX('TJ List'!B:B,MATCH(I97,'TJ List'!N:N,0),0)
</f>
        <v>#N/A</v>
      </c>
      <c r="L97" s="4"/>
      <c r="M97" s="4"/>
      <c r="N97" s="21"/>
      <c r="O97" s="21"/>
      <c r="P97" s="30"/>
      <c r="Z97" s="29"/>
    </row>
    <row r="98">
      <c r="B98" s="14"/>
      <c r="D98" s="14"/>
      <c r="G98" s="4" t="s">
        <v>2216</v>
      </c>
      <c r="H98" s="4" t="s">
        <v>201</v>
      </c>
      <c r="I98" s="4">
        <v>7531.0</v>
      </c>
      <c r="J98" t="str">
        <f t="array" ref="J98">INDEX('TJ List'!B:B,MATCH(I98,'TJ List'!N:N,0),0)
</f>
        <v>#N/A</v>
      </c>
      <c r="L98" s="4"/>
      <c r="M98" s="4"/>
      <c r="N98" s="21"/>
      <c r="O98" s="21"/>
      <c r="P98" s="30"/>
      <c r="Z98" s="29"/>
    </row>
    <row r="99">
      <c r="B99" s="14"/>
      <c r="D99" s="14"/>
      <c r="G99" s="4" t="s">
        <v>2224</v>
      </c>
      <c r="H99" s="4" t="s">
        <v>201</v>
      </c>
      <c r="I99" s="4">
        <v>7754.0</v>
      </c>
      <c r="J99" t="str">
        <f t="array" ref="J99">INDEX('TJ List'!B:B,MATCH(I99,'TJ List'!N:N,0),0)
</f>
        <v>#N/A</v>
      </c>
      <c r="L99" s="4"/>
      <c r="M99" s="4"/>
      <c r="N99" s="21"/>
      <c r="O99" s="21"/>
      <c r="P99" s="30"/>
      <c r="Z99" s="29"/>
    </row>
    <row r="100">
      <c r="B100" s="14"/>
      <c r="D100" s="14"/>
      <c r="G100" s="4" t="s">
        <v>2230</v>
      </c>
      <c r="H100" s="4" t="s">
        <v>201</v>
      </c>
      <c r="I100" s="4">
        <v>9425.0</v>
      </c>
      <c r="J100" t="str">
        <f t="array" ref="J100">INDEX('TJ List'!B:B,MATCH(I100,'TJ List'!N:N,0),0)
</f>
        <v>#N/A</v>
      </c>
      <c r="L100" s="4"/>
      <c r="M100" s="4"/>
      <c r="N100" s="21"/>
      <c r="O100" s="21"/>
      <c r="P100" s="30"/>
      <c r="Z100" s="29"/>
    </row>
    <row r="101">
      <c r="B101" s="14"/>
      <c r="D101" s="14"/>
      <c r="G101" s="4" t="s">
        <v>2243</v>
      </c>
      <c r="H101" s="4" t="s">
        <v>201</v>
      </c>
      <c r="I101" s="4">
        <v>9434.0</v>
      </c>
      <c r="J101" t="str">
        <f t="array" ref="J101">INDEX('TJ List'!B:B,MATCH(I101,'TJ List'!N:N,0),0)
</f>
        <v>#N/A</v>
      </c>
      <c r="L101" s="4"/>
      <c r="M101" s="4"/>
      <c r="N101" s="21"/>
      <c r="O101" s="21"/>
      <c r="P101" s="30"/>
      <c r="Z101" s="29"/>
    </row>
    <row r="102">
      <c r="B102" s="14"/>
      <c r="D102" s="14"/>
      <c r="G102" s="4" t="s">
        <v>2250</v>
      </c>
      <c r="H102" s="4" t="s">
        <v>201</v>
      </c>
      <c r="I102" s="4">
        <v>11903.0</v>
      </c>
      <c r="J102" t="str">
        <f t="array" ref="J102">INDEX('TJ List'!B:B,MATCH(I102,'TJ List'!N:N,0),0)
</f>
        <v>#N/A</v>
      </c>
      <c r="L102" s="4"/>
      <c r="M102" s="4"/>
      <c r="N102" s="21"/>
      <c r="O102" s="21"/>
      <c r="P102" s="30"/>
      <c r="Z102" s="29"/>
    </row>
    <row r="103">
      <c r="B103" s="14"/>
      <c r="D103" s="14"/>
      <c r="G103" s="4" t="s">
        <v>2254</v>
      </c>
      <c r="H103" s="4" t="s">
        <v>201</v>
      </c>
      <c r="I103" s="4">
        <v>12763.0</v>
      </c>
      <c r="J103" t="str">
        <f t="array" ref="J103">INDEX('TJ List'!B:B,MATCH(I103,'TJ List'!N:N,0),0)
</f>
        <v>#N/A</v>
      </c>
      <c r="L103" s="4"/>
      <c r="M103" s="4"/>
      <c r="N103" s="21"/>
      <c r="O103" s="21"/>
      <c r="P103" s="30"/>
      <c r="Z103" s="29"/>
    </row>
    <row r="104">
      <c r="B104" s="14"/>
      <c r="D104" s="14"/>
      <c r="G104" s="4" t="s">
        <v>2258</v>
      </c>
      <c r="H104" s="4" t="s">
        <v>201</v>
      </c>
      <c r="I104" s="4">
        <v>12910.0</v>
      </c>
      <c r="J104" t="str">
        <f t="array" ref="J104">INDEX('TJ List'!B:B,MATCH(I104,'TJ List'!N:N,0),0)
</f>
        <v>#N/A</v>
      </c>
      <c r="L104" s="4"/>
      <c r="M104" s="4"/>
      <c r="N104" s="21"/>
      <c r="O104" s="21"/>
      <c r="P104" s="30"/>
      <c r="Z104" s="29"/>
    </row>
    <row r="105">
      <c r="B105" s="14"/>
      <c r="D105" s="14"/>
      <c r="G105" s="4" t="s">
        <v>2261</v>
      </c>
      <c r="H105" s="4" t="s">
        <v>201</v>
      </c>
      <c r="I105" s="4">
        <v>12970.0</v>
      </c>
      <c r="J105" t="str">
        <f t="array" ref="J105">INDEX('TJ List'!B:B,MATCH(I105,'TJ List'!N:N,0),0)
</f>
        <v>#N/A</v>
      </c>
      <c r="L105" s="4"/>
      <c r="M105" s="4"/>
      <c r="N105" s="21"/>
      <c r="O105" s="21"/>
      <c r="P105" s="30"/>
      <c r="Z105" s="29"/>
    </row>
    <row r="106">
      <c r="B106" s="14"/>
      <c r="D106" s="14"/>
      <c r="G106" s="4" t="s">
        <v>2269</v>
      </c>
      <c r="H106" s="4" t="s">
        <v>201</v>
      </c>
      <c r="I106" s="4">
        <v>13393.0</v>
      </c>
      <c r="J106" t="str">
        <f t="array" ref="J106">INDEX('TJ List'!B:B,MATCH(I106,'TJ List'!N:N,0),0)
</f>
        <v>#N/A</v>
      </c>
      <c r="L106" s="4"/>
      <c r="M106" s="4"/>
      <c r="N106" s="21"/>
      <c r="O106" s="21"/>
      <c r="P106" s="30"/>
      <c r="Z106" s="29"/>
    </row>
    <row r="107">
      <c r="B107" s="14"/>
      <c r="D107" s="14"/>
      <c r="G107" s="4" t="s">
        <v>2276</v>
      </c>
      <c r="H107" s="4" t="s">
        <v>201</v>
      </c>
      <c r="I107" s="4">
        <v>14120.0</v>
      </c>
      <c r="J107" t="str">
        <f t="array" ref="J107">INDEX('TJ List'!B:B,MATCH(I107,'TJ List'!N:N,0),0)
</f>
        <v>#N/A</v>
      </c>
      <c r="L107" s="4"/>
      <c r="M107" s="4"/>
      <c r="N107" s="21"/>
      <c r="O107" s="21"/>
      <c r="P107" s="30"/>
      <c r="Z107" s="29"/>
    </row>
    <row r="108">
      <c r="B108" s="14"/>
      <c r="D108" s="14"/>
      <c r="G108" s="4" t="s">
        <v>2281</v>
      </c>
      <c r="H108" s="4" t="s">
        <v>201</v>
      </c>
      <c r="I108" s="4">
        <v>14605.0</v>
      </c>
      <c r="J108" t="str">
        <f t="array" ref="J108">INDEX('TJ List'!B:B,MATCH(I108,'TJ List'!N:N,0),0)
</f>
        <v>#N/A</v>
      </c>
      <c r="L108" s="4"/>
      <c r="M108" s="4"/>
      <c r="N108" s="21"/>
      <c r="O108" s="21"/>
      <c r="P108" s="30"/>
      <c r="Z108" s="29"/>
    </row>
    <row r="109">
      <c r="B109" s="14"/>
      <c r="D109" s="14"/>
      <c r="G109" s="4" t="s">
        <v>2287</v>
      </c>
      <c r="H109" s="4" t="s">
        <v>201</v>
      </c>
      <c r="I109" s="4">
        <v>14665.0</v>
      </c>
      <c r="J109" t="str">
        <f t="array" ref="J109">INDEX('TJ List'!B:B,MATCH(I109,'TJ List'!N:N,0),0)
</f>
        <v>#N/A</v>
      </c>
      <c r="L109" s="4"/>
      <c r="M109" s="4"/>
      <c r="N109" s="21"/>
      <c r="O109" s="21"/>
      <c r="P109" s="30"/>
      <c r="Z109" s="29"/>
    </row>
    <row r="110">
      <c r="B110" s="14"/>
      <c r="D110" s="14"/>
      <c r="G110" s="4" t="s">
        <v>855</v>
      </c>
      <c r="H110" s="4" t="s">
        <v>201</v>
      </c>
      <c r="I110" s="4">
        <v>15564.0</v>
      </c>
      <c r="J110" t="str">
        <f t="array" ref="J110">INDEX('TJ List'!B:B,MATCH(I110,'TJ List'!N:N,0),0)
</f>
        <v>#N/A</v>
      </c>
      <c r="L110" s="4"/>
      <c r="M110" s="4"/>
      <c r="N110" s="21"/>
      <c r="O110" s="21"/>
      <c r="P110" s="30"/>
      <c r="Z110" s="29"/>
    </row>
    <row r="111">
      <c r="B111" s="14"/>
      <c r="D111" s="14"/>
      <c r="G111" s="4" t="s">
        <v>2295</v>
      </c>
      <c r="H111" s="4" t="s">
        <v>276</v>
      </c>
      <c r="I111" s="4">
        <v>9059.0</v>
      </c>
      <c r="J111" s="45">
        <f t="array" ref="J111">INDEX('TJ List'!B:B,MATCH(I111,'TJ List'!N:N,0),0)
</f>
        <v>37930</v>
      </c>
      <c r="L111" s="4"/>
      <c r="M111" s="4"/>
      <c r="N111" s="21"/>
      <c r="O111" s="21"/>
      <c r="P111" s="30"/>
      <c r="Z111" s="29"/>
    </row>
    <row r="112">
      <c r="B112" s="14"/>
      <c r="D112" s="14"/>
      <c r="G112" s="4" t="s">
        <v>2153</v>
      </c>
      <c r="H112" s="4" t="s">
        <v>276</v>
      </c>
      <c r="I112" s="4">
        <v>13533.0</v>
      </c>
      <c r="J112" s="45">
        <f t="array" ref="J112">INDEX('TJ List'!B:B,MATCH(I112,'TJ List'!N:N,0),0)
</f>
        <v>39083</v>
      </c>
      <c r="L112" s="4"/>
      <c r="M112" s="4"/>
      <c r="N112" s="21"/>
      <c r="O112" s="21"/>
      <c r="P112" s="30"/>
      <c r="Z112" s="29"/>
    </row>
    <row r="113">
      <c r="B113" s="14"/>
      <c r="D113" s="14"/>
      <c r="G113" s="4" t="s">
        <v>1839</v>
      </c>
      <c r="H113" s="4" t="s">
        <v>276</v>
      </c>
      <c r="I113" s="4">
        <v>13287.0</v>
      </c>
      <c r="J113" s="45">
        <f t="array" ref="J113">INDEX('TJ List'!B:B,MATCH(I113,'TJ List'!N:N,0),0)
</f>
        <v>40179</v>
      </c>
      <c r="L113" s="4"/>
      <c r="M113" s="4"/>
      <c r="N113" s="21"/>
      <c r="O113" s="21"/>
      <c r="P113" s="30"/>
      <c r="Z113" s="29"/>
    </row>
    <row r="114">
      <c r="B114" s="14"/>
      <c r="D114" s="14"/>
      <c r="G114" s="4" t="s">
        <v>1657</v>
      </c>
      <c r="H114" s="4" t="s">
        <v>276</v>
      </c>
      <c r="I114" s="4">
        <v>13293.0</v>
      </c>
      <c r="J114" s="45">
        <f t="array" ref="J114">INDEX('TJ List'!B:B,MATCH(I114,'TJ List'!N:N,0),0)
</f>
        <v>40603</v>
      </c>
      <c r="L114" s="4"/>
      <c r="M114" s="4"/>
      <c r="N114" s="21"/>
      <c r="O114" s="21"/>
      <c r="P114" s="30"/>
      <c r="Z114" s="29"/>
    </row>
    <row r="115">
      <c r="B115" s="14"/>
      <c r="D115" s="14"/>
      <c r="G115" s="4" t="s">
        <v>515</v>
      </c>
      <c r="H115" s="4" t="s">
        <v>276</v>
      </c>
      <c r="I115" s="4">
        <v>4806.0</v>
      </c>
      <c r="J115" s="45">
        <f t="array" ref="J115">INDEX('TJ List'!B:B,MATCH(I115,'TJ List'!N:N,0),0)
</f>
        <v>40703</v>
      </c>
      <c r="L115" s="4"/>
      <c r="M115" s="4"/>
      <c r="N115" s="21"/>
      <c r="O115" s="21"/>
      <c r="P115" s="30"/>
      <c r="Z115" s="29"/>
    </row>
    <row r="116">
      <c r="B116" s="14"/>
      <c r="D116" s="14"/>
      <c r="G116" s="4" t="s">
        <v>1524</v>
      </c>
      <c r="H116" s="4" t="s">
        <v>276</v>
      </c>
      <c r="I116" s="4">
        <v>1852.0</v>
      </c>
      <c r="J116" s="45">
        <f t="array" ref="J116">INDEX('TJ List'!B:B,MATCH(I116,'TJ List'!N:N,0),0)
</f>
        <v>41010</v>
      </c>
      <c r="L116" s="4"/>
      <c r="M116" s="4"/>
      <c r="N116" s="21"/>
      <c r="O116" s="21"/>
      <c r="P116" s="30"/>
      <c r="Z116" s="29"/>
    </row>
    <row r="117">
      <c r="B117" s="14"/>
      <c r="D117" s="14"/>
      <c r="G117" s="4" t="s">
        <v>1445</v>
      </c>
      <c r="H117" s="4" t="s">
        <v>276</v>
      </c>
      <c r="I117" s="4">
        <v>2540.0</v>
      </c>
      <c r="J117" s="45">
        <f t="array" ref="J117">INDEX('TJ List'!B:B,MATCH(I117,'TJ List'!N:N,0),0)
</f>
        <v>41114</v>
      </c>
      <c r="L117" s="4"/>
      <c r="M117" s="4"/>
      <c r="N117" s="21"/>
      <c r="O117" s="21"/>
      <c r="P117" s="30"/>
      <c r="Z117" s="29"/>
    </row>
    <row r="118">
      <c r="B118" s="14"/>
      <c r="D118" s="14"/>
      <c r="G118" s="4" t="s">
        <v>561</v>
      </c>
      <c r="H118" s="4" t="s">
        <v>276</v>
      </c>
      <c r="I118" s="4">
        <v>7558.0</v>
      </c>
      <c r="J118" s="45">
        <f t="array" ref="J118">INDEX('TJ List'!B:B,MATCH(I118,'TJ List'!N:N,0),0)
</f>
        <v>41360</v>
      </c>
      <c r="L118" s="4"/>
      <c r="M118" s="4"/>
      <c r="N118" s="21"/>
      <c r="O118" s="21"/>
      <c r="P118" s="30"/>
      <c r="Z118" s="29"/>
    </row>
    <row r="119">
      <c r="B119" s="14"/>
      <c r="D119" s="14"/>
      <c r="G119" s="4" t="s">
        <v>1264</v>
      </c>
      <c r="H119" s="4" t="s">
        <v>276</v>
      </c>
      <c r="I119" s="4">
        <v>15627.0</v>
      </c>
      <c r="J119" s="45">
        <f t="array" ref="J119">INDEX('TJ List'!B:B,MATCH(I119,'TJ List'!N:N,0),0)
</f>
        <v>41456</v>
      </c>
      <c r="L119" s="4"/>
      <c r="M119" s="4"/>
      <c r="N119" s="21"/>
      <c r="O119" s="21"/>
      <c r="P119" s="30"/>
      <c r="Z119" s="29"/>
    </row>
    <row r="120">
      <c r="B120" s="14"/>
      <c r="D120" s="14"/>
      <c r="G120" s="4" t="s">
        <v>970</v>
      </c>
      <c r="H120" s="4" t="s">
        <v>276</v>
      </c>
      <c r="I120" s="4">
        <v>12790.0</v>
      </c>
      <c r="J120" s="45">
        <f t="array" ref="J120">INDEX('TJ List'!B:B,MATCH(I120,'TJ List'!N:N,0),0)
</f>
        <v>41773</v>
      </c>
      <c r="L120" s="4"/>
      <c r="M120" s="4"/>
      <c r="N120" s="21"/>
      <c r="O120" s="21"/>
      <c r="P120" s="30"/>
      <c r="Z120" s="29"/>
    </row>
    <row r="121">
      <c r="B121" s="14"/>
      <c r="D121" s="14"/>
      <c r="G121" s="4" t="s">
        <v>304</v>
      </c>
      <c r="H121" s="4" t="s">
        <v>276</v>
      </c>
      <c r="I121" s="4">
        <v>12304.0</v>
      </c>
      <c r="J121" s="45">
        <f t="array" ref="J121">INDEX('TJ List'!B:B,MATCH(I121,'TJ List'!N:N,0),0)
</f>
        <v>42496</v>
      </c>
      <c r="L121" s="4"/>
      <c r="M121" s="4"/>
      <c r="N121" s="21"/>
      <c r="O121" s="21"/>
      <c r="P121" s="30"/>
      <c r="Z121" s="29"/>
    </row>
    <row r="122">
      <c r="B122" s="14"/>
      <c r="D122" s="14"/>
      <c r="G122" s="4" t="s">
        <v>2380</v>
      </c>
      <c r="H122" s="4" t="s">
        <v>276</v>
      </c>
      <c r="I122" s="4">
        <v>1581.0</v>
      </c>
      <c r="J122" t="str">
        <f t="array" ref="J122">INDEX('TJ List'!B:B,MATCH(I122,'TJ List'!N:N,0),0)
</f>
        <v>#N/A</v>
      </c>
      <c r="L122" s="4"/>
      <c r="M122" s="4"/>
      <c r="N122" s="21"/>
      <c r="O122" s="21"/>
      <c r="P122" s="30"/>
      <c r="Z122" s="29"/>
    </row>
    <row r="123">
      <c r="B123" s="14"/>
      <c r="D123" s="14"/>
      <c r="G123" s="4" t="s">
        <v>426</v>
      </c>
      <c r="H123" s="4" t="s">
        <v>276</v>
      </c>
      <c r="I123" s="4">
        <v>3211.0</v>
      </c>
      <c r="J123" t="str">
        <f t="array" ref="J123">INDEX('TJ List'!B:B,MATCH(I123,'TJ List'!N:N,0),0)
</f>
        <v>#N/A</v>
      </c>
      <c r="L123" s="4"/>
      <c r="M123" s="4"/>
      <c r="N123" s="21"/>
      <c r="O123" s="21"/>
      <c r="P123" s="30"/>
      <c r="Z123" s="29"/>
    </row>
    <row r="124">
      <c r="B124" s="14"/>
      <c r="D124" s="14"/>
      <c r="G124" s="4" t="s">
        <v>2396</v>
      </c>
      <c r="H124" s="4" t="s">
        <v>276</v>
      </c>
      <c r="I124" s="4">
        <v>3548.0</v>
      </c>
      <c r="J124" t="str">
        <f t="array" ref="J124">INDEX('TJ List'!B:B,MATCH(I124,'TJ List'!N:N,0),0)
</f>
        <v>#N/A</v>
      </c>
      <c r="L124" s="4"/>
      <c r="M124" s="4"/>
      <c r="N124" s="21"/>
      <c r="O124" s="21"/>
      <c r="P124" s="30"/>
      <c r="Z124" s="29"/>
    </row>
    <row r="125">
      <c r="B125" s="14"/>
      <c r="D125" s="14"/>
      <c r="G125" s="4" t="s">
        <v>2405</v>
      </c>
      <c r="H125" s="4" t="s">
        <v>276</v>
      </c>
      <c r="I125" s="4">
        <v>4544.0</v>
      </c>
      <c r="J125" t="str">
        <f t="array" ref="J125">INDEX('TJ List'!B:B,MATCH(I125,'TJ List'!N:N,0),0)
</f>
        <v>#N/A</v>
      </c>
      <c r="L125" s="4"/>
      <c r="M125" s="4"/>
      <c r="N125" s="21"/>
      <c r="O125" s="21"/>
      <c r="P125" s="30"/>
      <c r="Z125" s="29"/>
    </row>
    <row r="126">
      <c r="B126" s="14"/>
      <c r="D126" s="14"/>
      <c r="G126" s="4" t="s">
        <v>275</v>
      </c>
      <c r="H126" s="4" t="s">
        <v>276</v>
      </c>
      <c r="I126" s="4">
        <v>9308.0</v>
      </c>
      <c r="J126" t="str">
        <f t="array" ref="J126">INDEX('TJ List'!B:B,MATCH(I126,'TJ List'!N:N,0),0)
</f>
        <v>#N/A</v>
      </c>
      <c r="L126" s="4"/>
      <c r="M126" s="4"/>
      <c r="N126" s="21"/>
      <c r="O126" s="21"/>
      <c r="P126" s="30"/>
      <c r="Z126" s="29"/>
    </row>
    <row r="127">
      <c r="B127" s="14"/>
      <c r="D127" s="14"/>
      <c r="G127" s="4" t="s">
        <v>2420</v>
      </c>
      <c r="H127" s="4" t="s">
        <v>276</v>
      </c>
      <c r="I127" s="4">
        <v>11294.0</v>
      </c>
      <c r="J127" t="str">
        <f t="array" ref="J127">INDEX('TJ List'!B:B,MATCH(I127,'TJ List'!N:N,0),0)
</f>
        <v>#N/A</v>
      </c>
      <c r="L127" s="4"/>
      <c r="M127" s="4"/>
      <c r="N127" s="21"/>
      <c r="O127" s="21"/>
      <c r="P127" s="30"/>
      <c r="Z127" s="29"/>
    </row>
    <row r="128">
      <c r="B128" s="14"/>
      <c r="D128" s="14"/>
      <c r="G128" s="4" t="s">
        <v>2426</v>
      </c>
      <c r="H128" s="4" t="s">
        <v>276</v>
      </c>
      <c r="I128" s="4">
        <v>12768.0</v>
      </c>
      <c r="J128" t="str">
        <f t="array" ref="J128">INDEX('TJ List'!B:B,MATCH(I128,'TJ List'!N:N,0),0)
</f>
        <v>#N/A</v>
      </c>
      <c r="L128" s="4"/>
      <c r="M128" s="4"/>
      <c r="N128" s="21"/>
      <c r="O128" s="21"/>
      <c r="P128" s="30"/>
      <c r="Z128" s="29"/>
    </row>
    <row r="129">
      <c r="B129" s="14"/>
      <c r="D129" s="14"/>
      <c r="G129" s="4" t="s">
        <v>2433</v>
      </c>
      <c r="H129" s="4" t="s">
        <v>276</v>
      </c>
      <c r="I129" s="4">
        <v>13654.0</v>
      </c>
      <c r="J129" t="str">
        <f t="array" ref="J129">INDEX('TJ List'!B:B,MATCH(I129,'TJ List'!N:N,0),0)
</f>
        <v>#N/A</v>
      </c>
      <c r="L129" s="4"/>
      <c r="M129" s="4"/>
      <c r="N129" s="21"/>
      <c r="O129" s="21"/>
      <c r="P129" s="30"/>
      <c r="Z129" s="29"/>
    </row>
    <row r="130">
      <c r="B130" s="14"/>
      <c r="D130" s="14"/>
      <c r="G130" s="4" t="s">
        <v>2438</v>
      </c>
      <c r="H130" s="4" t="s">
        <v>276</v>
      </c>
      <c r="I130" s="4">
        <v>13974.0</v>
      </c>
      <c r="J130" t="str">
        <f t="array" ref="J130">INDEX('TJ List'!B:B,MATCH(I130,'TJ List'!N:N,0),0)
</f>
        <v>#N/A</v>
      </c>
      <c r="L130" s="4"/>
      <c r="M130" s="4"/>
      <c r="N130" s="21"/>
      <c r="O130" s="21"/>
      <c r="P130" s="30"/>
      <c r="Z130" s="29"/>
    </row>
    <row r="131">
      <c r="B131" s="14"/>
      <c r="D131" s="14"/>
      <c r="G131" s="4" t="s">
        <v>95</v>
      </c>
      <c r="H131" s="4" t="s">
        <v>276</v>
      </c>
      <c r="I131" s="4">
        <v>14506.0</v>
      </c>
      <c r="J131" s="45">
        <f t="array" ref="J131">INDEX('TJ List'!B:B,MATCH(I131,'TJ List'!N:N,0),0)
</f>
        <v>42655</v>
      </c>
      <c r="L131" s="4"/>
      <c r="M131" s="4"/>
      <c r="N131" s="21"/>
      <c r="O131" s="21"/>
      <c r="P131" s="30"/>
      <c r="Z131" s="29"/>
    </row>
    <row r="132">
      <c r="B132" s="14"/>
      <c r="D132" s="14"/>
      <c r="G132" s="4" t="s">
        <v>2455</v>
      </c>
      <c r="H132" s="4" t="s">
        <v>276</v>
      </c>
      <c r="I132" s="4">
        <v>15514.0</v>
      </c>
      <c r="J132" t="str">
        <f t="array" ref="J132">INDEX('TJ List'!B:B,MATCH(I132,'TJ List'!N:N,0),0)
</f>
        <v>#N/A</v>
      </c>
      <c r="L132" s="4"/>
      <c r="M132" s="4"/>
      <c r="N132" s="21"/>
      <c r="O132" s="21"/>
      <c r="P132" s="30"/>
      <c r="Z132" s="29"/>
    </row>
    <row r="133">
      <c r="B133" s="14"/>
      <c r="D133" s="14"/>
      <c r="G133" s="4" t="s">
        <v>2463</v>
      </c>
      <c r="H133" s="4" t="s">
        <v>276</v>
      </c>
      <c r="I133" s="4">
        <v>15873.0</v>
      </c>
      <c r="J133" t="str">
        <f t="array" ref="J133">INDEX('TJ List'!B:B,MATCH(I133,'TJ List'!N:N,0),0)
</f>
        <v>#N/A</v>
      </c>
      <c r="L133" s="4"/>
      <c r="M133" s="4"/>
      <c r="N133" s="21"/>
      <c r="O133" s="21"/>
      <c r="P133" s="30"/>
      <c r="Z133" s="29"/>
    </row>
    <row r="134">
      <c r="B134" s="14"/>
      <c r="D134" s="14"/>
      <c r="G134" s="4" t="s">
        <v>2471</v>
      </c>
      <c r="H134" s="4" t="s">
        <v>276</v>
      </c>
      <c r="I134" s="4">
        <v>16980.0</v>
      </c>
      <c r="J134" t="str">
        <f t="array" ref="J134">INDEX('TJ List'!B:B,MATCH(I134,'TJ List'!N:N,0),0)
</f>
        <v>#N/A</v>
      </c>
      <c r="L134" s="4"/>
      <c r="M134" s="4"/>
      <c r="N134" s="21"/>
      <c r="O134" s="21"/>
      <c r="P134" s="30"/>
      <c r="Z134" s="29"/>
    </row>
    <row r="135">
      <c r="B135" s="14"/>
      <c r="D135" s="14"/>
      <c r="G135" s="4" t="s">
        <v>219</v>
      </c>
      <c r="H135" s="4" t="s">
        <v>389</v>
      </c>
      <c r="I135" s="4">
        <v>521.0</v>
      </c>
      <c r="J135" s="45">
        <f t="array" ref="J135">INDEX('TJ List'!B:B,MATCH(I135,'TJ List'!N:N,0),0)
</f>
        <v>37257</v>
      </c>
      <c r="L135" s="4"/>
      <c r="M135" s="4"/>
      <c r="N135" s="21"/>
      <c r="O135" s="21"/>
      <c r="P135" s="30"/>
      <c r="Z135" s="29"/>
    </row>
    <row r="136">
      <c r="B136" s="14"/>
      <c r="D136" s="14"/>
      <c r="G136" s="4" t="s">
        <v>277</v>
      </c>
      <c r="H136" s="4" t="s">
        <v>389</v>
      </c>
      <c r="I136" s="4">
        <v>6283.0</v>
      </c>
      <c r="J136" s="45">
        <f t="array" ref="J136">INDEX('TJ List'!B:B,MATCH(I136,'TJ List'!N:N,0),0)
</f>
        <v>37622</v>
      </c>
      <c r="L136" s="4"/>
      <c r="M136" s="4"/>
      <c r="N136" s="21"/>
      <c r="O136" s="21"/>
      <c r="P136" s="30"/>
      <c r="Z136" s="29"/>
    </row>
    <row r="137">
      <c r="B137" s="14"/>
      <c r="D137" s="14"/>
      <c r="G137" s="4" t="s">
        <v>427</v>
      </c>
      <c r="H137" s="4" t="s">
        <v>389</v>
      </c>
      <c r="I137" s="4">
        <v>3201.0</v>
      </c>
      <c r="J137" s="45">
        <f t="array" ref="J137">INDEX('TJ List'!B:B,MATCH(I137,'TJ List'!N:N,0),0)
</f>
        <v>39027</v>
      </c>
      <c r="L137" s="4"/>
      <c r="M137" s="4"/>
      <c r="N137" s="21"/>
      <c r="O137" s="21"/>
      <c r="P137" s="30"/>
      <c r="Z137" s="29"/>
    </row>
    <row r="138">
      <c r="B138" s="14"/>
      <c r="D138" s="14"/>
      <c r="G138" s="4" t="s">
        <v>2494</v>
      </c>
      <c r="H138" s="4" t="s">
        <v>389</v>
      </c>
      <c r="I138" s="4">
        <v>13194.0</v>
      </c>
      <c r="J138" s="45">
        <f t="array" ref="J138">INDEX('TJ List'!B:B,MATCH(I138,'TJ List'!N:N,0),0)
</f>
        <v>40179</v>
      </c>
      <c r="L138" s="4"/>
      <c r="M138" s="4"/>
      <c r="N138" s="21"/>
      <c r="O138" s="21"/>
      <c r="P138" s="30"/>
      <c r="Z138" s="29"/>
    </row>
    <row r="139">
      <c r="B139" s="14"/>
      <c r="D139" s="14"/>
      <c r="G139" s="4" t="s">
        <v>1754</v>
      </c>
      <c r="H139" s="4" t="s">
        <v>389</v>
      </c>
      <c r="I139" s="4">
        <v>5595.0</v>
      </c>
      <c r="J139" s="45">
        <f t="array" ref="J139">INDEX('TJ List'!B:B,MATCH(I139,'TJ List'!N:N,0),0)
</f>
        <v>40324</v>
      </c>
      <c r="L139" s="4"/>
      <c r="M139" s="4"/>
      <c r="N139" s="21"/>
      <c r="O139" s="21"/>
      <c r="P139" s="30"/>
      <c r="Z139" s="29"/>
    </row>
    <row r="140">
      <c r="B140" s="14"/>
      <c r="D140" s="14"/>
      <c r="G140" s="4" t="s">
        <v>1752</v>
      </c>
      <c r="H140" s="4" t="s">
        <v>389</v>
      </c>
      <c r="I140" s="4">
        <v>7119.0</v>
      </c>
      <c r="J140" s="45">
        <f t="array" ref="J140">INDEX('TJ List'!B:B,MATCH(I140,'TJ List'!N:N,0),0)
</f>
        <v>40330</v>
      </c>
      <c r="L140" s="4"/>
      <c r="M140" s="4"/>
      <c r="N140" s="21"/>
      <c r="O140" s="21"/>
      <c r="Z140" s="29"/>
    </row>
    <row r="141">
      <c r="B141" s="14"/>
      <c r="D141" s="14"/>
      <c r="G141" s="4" t="s">
        <v>544</v>
      </c>
      <c r="H141" s="4" t="s">
        <v>389</v>
      </c>
      <c r="I141" s="4">
        <v>10732.0</v>
      </c>
      <c r="J141" s="45">
        <f t="array" ref="J141">INDEX('TJ List'!B:B,MATCH(I141,'TJ List'!N:N,0),0)
</f>
        <v>41130</v>
      </c>
      <c r="L141" s="4"/>
      <c r="M141" s="4"/>
      <c r="N141" s="21"/>
      <c r="O141" s="21"/>
      <c r="Z141" s="29"/>
    </row>
    <row r="142">
      <c r="B142" s="14"/>
      <c r="D142" s="14"/>
      <c r="G142" s="4" t="s">
        <v>617</v>
      </c>
      <c r="H142" s="4" t="s">
        <v>389</v>
      </c>
      <c r="I142" s="4">
        <v>3886.0</v>
      </c>
      <c r="J142" s="45">
        <f t="array" ref="J142">INDEX('TJ List'!B:B,MATCH(I142,'TJ List'!N:N,0),0)
</f>
        <v>41402</v>
      </c>
      <c r="L142" s="4"/>
      <c r="M142" s="4"/>
      <c r="N142" s="21"/>
      <c r="O142" s="21"/>
      <c r="Z142" s="29"/>
    </row>
    <row r="143">
      <c r="B143" s="14"/>
      <c r="D143" s="14"/>
      <c r="G143" s="4" t="s">
        <v>1242</v>
      </c>
      <c r="H143" s="4" t="s">
        <v>389</v>
      </c>
      <c r="I143" s="4">
        <v>13764.0</v>
      </c>
      <c r="J143" s="45">
        <f t="array" ref="J143">INDEX('TJ List'!B:B,MATCH(I143,'TJ List'!N:N,0),0)
</f>
        <v>41485</v>
      </c>
      <c r="L143" s="4"/>
      <c r="M143" s="4"/>
      <c r="N143" s="21"/>
      <c r="O143" s="21"/>
      <c r="Z143" s="29"/>
    </row>
    <row r="144">
      <c r="B144" s="14"/>
      <c r="D144" s="14"/>
      <c r="G144" s="4" t="s">
        <v>2526</v>
      </c>
      <c r="H144" s="4" t="s">
        <v>389</v>
      </c>
      <c r="I144" s="4">
        <v>1118.0</v>
      </c>
      <c r="J144" t="str">
        <f t="array" ref="J144">INDEX('TJ List'!B:B,MATCH(I144,'TJ List'!N:N,0),0)
</f>
        <v>#N/A</v>
      </c>
      <c r="L144" s="4"/>
      <c r="M144" s="4"/>
      <c r="N144" s="21"/>
      <c r="O144" s="21"/>
      <c r="Z144" s="29"/>
    </row>
    <row r="145">
      <c r="B145" s="14"/>
      <c r="D145" s="14"/>
      <c r="G145" s="4" t="s">
        <v>2530</v>
      </c>
      <c r="H145" s="4" t="s">
        <v>389</v>
      </c>
      <c r="I145" s="4">
        <v>1245.0</v>
      </c>
      <c r="J145" t="str">
        <f t="array" ref="J145">INDEX('TJ List'!B:B,MATCH(I145,'TJ List'!N:N,0),0)
</f>
        <v>#N/A</v>
      </c>
      <c r="L145" s="4"/>
      <c r="M145" s="4"/>
      <c r="N145" s="21"/>
      <c r="O145" s="21"/>
      <c r="Z145" s="29"/>
    </row>
    <row r="146">
      <c r="B146" s="14"/>
      <c r="D146" s="14"/>
      <c r="G146" s="4" t="s">
        <v>658</v>
      </c>
      <c r="H146" s="4" t="s">
        <v>389</v>
      </c>
      <c r="I146" s="4">
        <v>2430.0</v>
      </c>
      <c r="J146" t="str">
        <f t="array" ref="J146">INDEX('TJ List'!B:B,MATCH(I146,'TJ List'!N:N,0),0)
</f>
        <v>#N/A</v>
      </c>
      <c r="L146" s="4"/>
      <c r="M146" s="4"/>
      <c r="N146" s="21"/>
      <c r="O146" s="21"/>
      <c r="Z146" s="29"/>
    </row>
    <row r="147">
      <c r="B147" s="14"/>
      <c r="D147" s="14"/>
      <c r="G147" s="4" t="s">
        <v>2542</v>
      </c>
      <c r="H147" s="4" t="s">
        <v>389</v>
      </c>
      <c r="I147" s="4">
        <v>2660.0</v>
      </c>
      <c r="J147" t="str">
        <f t="array" ref="J147">INDEX('TJ List'!B:B,MATCH(I147,'TJ List'!N:N,0),0)
</f>
        <v>#N/A</v>
      </c>
      <c r="L147" s="4"/>
      <c r="M147" s="4"/>
      <c r="N147" s="21"/>
      <c r="O147" s="21"/>
      <c r="Z147" s="29"/>
    </row>
    <row r="148">
      <c r="B148" s="14"/>
      <c r="D148" s="14"/>
      <c r="G148" s="4" t="s">
        <v>2550</v>
      </c>
      <c r="H148" s="4" t="s">
        <v>389</v>
      </c>
      <c r="I148" s="4">
        <v>5028.0</v>
      </c>
      <c r="J148" t="str">
        <f t="array" ref="J148">INDEX('TJ List'!B:B,MATCH(I148,'TJ List'!N:N,0),0)
</f>
        <v>#N/A</v>
      </c>
      <c r="L148" s="4"/>
      <c r="M148" s="4"/>
      <c r="N148" s="21"/>
      <c r="O148" s="21"/>
      <c r="Z148" s="29"/>
    </row>
    <row r="149">
      <c r="B149" s="14"/>
      <c r="D149" s="14"/>
      <c r="G149" s="4" t="s">
        <v>2559</v>
      </c>
      <c r="H149" s="4" t="s">
        <v>389</v>
      </c>
      <c r="I149" s="4">
        <v>5088.0</v>
      </c>
      <c r="J149" t="str">
        <f t="array" ref="J149">INDEX('TJ List'!B:B,MATCH(I149,'TJ List'!N:N,0),0)
</f>
        <v>#N/A</v>
      </c>
      <c r="L149" s="4"/>
      <c r="M149" s="4"/>
      <c r="N149" s="21"/>
      <c r="O149" s="21"/>
      <c r="Z149" s="29"/>
    </row>
    <row r="150">
      <c r="B150" s="14"/>
      <c r="D150" s="14"/>
      <c r="G150" s="4" t="s">
        <v>2565</v>
      </c>
      <c r="H150" s="4" t="s">
        <v>389</v>
      </c>
      <c r="I150" s="4">
        <v>5089.0</v>
      </c>
      <c r="J150" t="str">
        <f t="array" ref="J150">INDEX('TJ List'!B:B,MATCH(I150,'TJ List'!N:N,0),0)
</f>
        <v>#N/A</v>
      </c>
      <c r="L150" s="4"/>
      <c r="M150" s="4"/>
      <c r="N150" s="21"/>
      <c r="O150" s="21"/>
      <c r="Z150" s="29"/>
    </row>
    <row r="151">
      <c r="B151" s="14"/>
      <c r="D151" s="14"/>
      <c r="G151" s="4" t="s">
        <v>2571</v>
      </c>
      <c r="H151" s="4" t="s">
        <v>389</v>
      </c>
      <c r="I151" s="4">
        <v>7410.0</v>
      </c>
      <c r="J151" t="str">
        <f t="array" ref="J151">INDEX('TJ List'!B:B,MATCH(I151,'TJ List'!N:N,0),0)
</f>
        <v>#N/A</v>
      </c>
      <c r="L151" s="4"/>
      <c r="M151" s="4"/>
      <c r="N151" s="21"/>
      <c r="O151" s="21"/>
      <c r="Z151" s="29"/>
    </row>
    <row r="152">
      <c r="B152" s="14"/>
      <c r="D152" s="14"/>
      <c r="G152" s="4" t="s">
        <v>693</v>
      </c>
      <c r="H152" s="4" t="s">
        <v>389</v>
      </c>
      <c r="I152" s="4">
        <v>9807.0</v>
      </c>
      <c r="J152" t="str">
        <f t="array" ref="J152">INDEX('TJ List'!B:B,MATCH(I152,'TJ List'!N:N,0),0)
</f>
        <v>#N/A</v>
      </c>
      <c r="L152" s="4"/>
      <c r="M152" s="4"/>
      <c r="N152" s="21"/>
      <c r="O152" s="21"/>
      <c r="Z152" s="29"/>
    </row>
    <row r="153">
      <c r="B153" s="14"/>
      <c r="D153" s="14"/>
      <c r="G153" s="4" t="s">
        <v>2585</v>
      </c>
      <c r="H153" s="4" t="s">
        <v>389</v>
      </c>
      <c r="I153" s="4">
        <v>10291.0</v>
      </c>
      <c r="J153" t="str">
        <f t="array" ref="J153">INDEX('TJ List'!B:B,MATCH(I153,'TJ List'!N:N,0),0)
</f>
        <v>#N/A</v>
      </c>
      <c r="L153" s="4"/>
      <c r="M153" s="4"/>
      <c r="N153" s="21"/>
      <c r="O153" s="21"/>
      <c r="Z153" s="29"/>
    </row>
    <row r="154">
      <c r="B154" s="14"/>
      <c r="D154" s="14"/>
      <c r="G154" s="4" t="s">
        <v>2592</v>
      </c>
      <c r="H154" s="4" t="s">
        <v>389</v>
      </c>
      <c r="I154" s="4">
        <v>10343.0</v>
      </c>
      <c r="J154" t="str">
        <f t="array" ref="J154">INDEX('TJ List'!B:B,MATCH(I154,'TJ List'!N:N,0),0)
</f>
        <v>#N/A</v>
      </c>
      <c r="L154" s="4"/>
      <c r="M154" s="4"/>
      <c r="N154" s="21"/>
      <c r="O154" s="21"/>
      <c r="Z154" s="29"/>
    </row>
    <row r="155">
      <c r="B155" s="14"/>
      <c r="D155" s="14"/>
      <c r="G155" s="4" t="s">
        <v>2598</v>
      </c>
      <c r="H155" s="4" t="s">
        <v>389</v>
      </c>
      <c r="I155" s="4">
        <v>11388.0</v>
      </c>
      <c r="J155" t="str">
        <f t="array" ref="J155">INDEX('TJ List'!B:B,MATCH(I155,'TJ List'!N:N,0),0)
</f>
        <v>#N/A</v>
      </c>
      <c r="L155" s="4"/>
      <c r="M155" s="4"/>
      <c r="N155" s="21"/>
      <c r="O155" s="21"/>
      <c r="Z155" s="29"/>
    </row>
    <row r="156">
      <c r="B156" s="14"/>
      <c r="D156" s="14"/>
      <c r="G156" s="4" t="s">
        <v>2606</v>
      </c>
      <c r="H156" s="4" t="s">
        <v>389</v>
      </c>
      <c r="I156" s="4">
        <v>11490.0</v>
      </c>
      <c r="J156" t="str">
        <f t="array" ref="J156">INDEX('TJ List'!B:B,MATCH(I156,'TJ List'!N:N,0),0)
</f>
        <v>#N/A</v>
      </c>
      <c r="L156" s="4"/>
      <c r="M156" s="4"/>
      <c r="N156" s="21"/>
      <c r="O156" s="21"/>
      <c r="Z156" s="29"/>
    </row>
    <row r="157">
      <c r="B157" s="14"/>
      <c r="D157" s="14"/>
      <c r="G157" s="4" t="s">
        <v>2610</v>
      </c>
      <c r="H157" s="4" t="s">
        <v>389</v>
      </c>
      <c r="I157" s="4">
        <v>13431.0</v>
      </c>
      <c r="J157" t="str">
        <f t="array" ref="J157">INDEX('TJ List'!B:B,MATCH(I157,'TJ List'!N:N,0),0)
</f>
        <v>#N/A</v>
      </c>
      <c r="L157" s="4"/>
      <c r="M157" s="4"/>
      <c r="N157" s="21"/>
      <c r="O157" s="21"/>
      <c r="Z157" s="29"/>
    </row>
    <row r="158">
      <c r="B158" s="14"/>
      <c r="D158" s="14"/>
      <c r="G158" s="4" t="s">
        <v>2615</v>
      </c>
      <c r="H158" s="4" t="s">
        <v>389</v>
      </c>
      <c r="I158" s="4">
        <v>14844.0</v>
      </c>
      <c r="J158" t="str">
        <f t="array" ref="J158">INDEX('TJ List'!B:B,MATCH(I158,'TJ List'!N:N,0),0)
</f>
        <v>#N/A</v>
      </c>
      <c r="L158" s="4"/>
      <c r="M158" s="4"/>
      <c r="N158" s="21"/>
      <c r="O158" s="21"/>
      <c r="Z158" s="29"/>
    </row>
    <row r="159">
      <c r="B159" s="14"/>
      <c r="D159" s="14"/>
      <c r="G159" s="4" t="s">
        <v>2619</v>
      </c>
      <c r="H159" s="4" t="s">
        <v>389</v>
      </c>
      <c r="I159" s="4">
        <v>15542.0</v>
      </c>
      <c r="J159" t="str">
        <f t="array" ref="J159">INDEX('TJ List'!B:B,MATCH(I159,'TJ List'!N:N,0),0)
</f>
        <v>#N/A</v>
      </c>
      <c r="L159" s="4"/>
      <c r="M159" s="4"/>
      <c r="N159" s="21"/>
      <c r="O159" s="21"/>
      <c r="Z159" s="29"/>
    </row>
    <row r="160">
      <c r="B160" s="14"/>
      <c r="D160" s="14"/>
      <c r="G160" s="4" t="s">
        <v>219</v>
      </c>
      <c r="H160" s="4" t="s">
        <v>428</v>
      </c>
      <c r="I160" s="4">
        <v>521.0</v>
      </c>
      <c r="J160" s="45">
        <f t="array" ref="J160">INDEX('TJ List'!B:B,MATCH(I160,'TJ List'!N:N,0),0)
</f>
        <v>37257</v>
      </c>
      <c r="L160" s="4"/>
      <c r="M160" s="4"/>
      <c r="N160" s="21"/>
      <c r="O160" s="21"/>
      <c r="Z160" s="29"/>
    </row>
    <row r="161">
      <c r="B161" s="14"/>
      <c r="D161" s="14"/>
      <c r="G161" s="4" t="s">
        <v>870</v>
      </c>
      <c r="H161" s="4" t="s">
        <v>428</v>
      </c>
      <c r="I161" s="4">
        <v>15089.0</v>
      </c>
      <c r="J161" s="45">
        <f t="array" ref="J161">INDEX('TJ List'!B:B,MATCH(I161,'TJ List'!N:N,0),0)
</f>
        <v>39814</v>
      </c>
      <c r="L161" s="4"/>
      <c r="M161" s="4"/>
      <c r="N161" s="21"/>
      <c r="O161" s="21"/>
      <c r="Z161" s="29"/>
    </row>
    <row r="162">
      <c r="B162" s="14"/>
      <c r="D162" s="14"/>
      <c r="G162" s="4" t="s">
        <v>1597</v>
      </c>
      <c r="H162" s="4" t="s">
        <v>428</v>
      </c>
      <c r="I162" s="4">
        <v>14914.0</v>
      </c>
      <c r="J162" s="45">
        <f t="array" ref="J162">INDEX('TJ List'!B:B,MATCH(I162,'TJ List'!N:N,0),0)
</f>
        <v>40756</v>
      </c>
      <c r="L162" s="4"/>
      <c r="M162" s="4"/>
      <c r="N162" s="21"/>
      <c r="O162" s="21"/>
      <c r="Z162" s="29"/>
    </row>
    <row r="163">
      <c r="B163" s="14"/>
      <c r="D163" s="14"/>
      <c r="G163" s="4" t="s">
        <v>736</v>
      </c>
      <c r="H163" s="4" t="s">
        <v>428</v>
      </c>
      <c r="I163" s="4">
        <v>5498.0</v>
      </c>
      <c r="J163" s="45">
        <f t="array" ref="J163">INDEX('TJ List'!B:B,MATCH(I163,'TJ List'!N:N,0),0)
</f>
        <v>40988</v>
      </c>
      <c r="L163" s="4"/>
      <c r="M163" s="4"/>
      <c r="N163" s="21"/>
      <c r="O163" s="21"/>
      <c r="Z163" s="29"/>
    </row>
    <row r="164">
      <c r="B164" s="14"/>
      <c r="D164" s="14"/>
      <c r="G164" s="4" t="s">
        <v>1342</v>
      </c>
      <c r="H164" s="4" t="s">
        <v>428</v>
      </c>
      <c r="I164" s="4">
        <v>9174.0</v>
      </c>
      <c r="J164" s="45">
        <f t="array" ref="J164">INDEX('TJ List'!B:B,MATCH(I164,'TJ List'!N:N,0),0)
</f>
        <v>41366</v>
      </c>
      <c r="L164" s="4"/>
      <c r="M164" s="4"/>
      <c r="N164" s="21"/>
      <c r="O164" s="21"/>
      <c r="Z164" s="29"/>
    </row>
    <row r="165">
      <c r="B165" s="14"/>
      <c r="D165" s="14"/>
      <c r="G165" s="4" t="s">
        <v>767</v>
      </c>
      <c r="H165" s="4" t="s">
        <v>428</v>
      </c>
      <c r="I165" s="4">
        <v>5746.0</v>
      </c>
      <c r="J165" s="45">
        <f t="array" ref="J165">INDEX('TJ List'!B:B,MATCH(I165,'TJ List'!N:N,0),0)
</f>
        <v>41415</v>
      </c>
      <c r="L165" s="4"/>
      <c r="M165" s="4"/>
      <c r="N165" s="21"/>
      <c r="O165" s="21"/>
      <c r="Z165" s="29"/>
    </row>
    <row r="166">
      <c r="B166" s="14"/>
      <c r="D166" s="14"/>
      <c r="G166" s="4" t="s">
        <v>913</v>
      </c>
      <c r="H166" s="4" t="s">
        <v>428</v>
      </c>
      <c r="I166" s="4">
        <v>7161.0</v>
      </c>
      <c r="J166" s="45">
        <f t="array" ref="J166">INDEX('TJ List'!B:B,MATCH(I166,'TJ List'!N:N,0),0)
</f>
        <v>41793</v>
      </c>
      <c r="L166" s="4"/>
      <c r="M166" s="4"/>
      <c r="N166" s="21"/>
      <c r="O166" s="21"/>
      <c r="Z166" s="29"/>
    </row>
    <row r="167">
      <c r="B167" s="14"/>
      <c r="D167" s="14"/>
      <c r="G167" s="4" t="s">
        <v>809</v>
      </c>
      <c r="H167" s="4" t="s">
        <v>428</v>
      </c>
      <c r="I167" s="4">
        <v>12237.0</v>
      </c>
      <c r="J167" s="45">
        <f t="array" ref="J167">INDEX('TJ List'!B:B,MATCH(I167,'TJ List'!N:N,0),0)
</f>
        <v>41821</v>
      </c>
      <c r="L167" s="4"/>
      <c r="M167" s="4"/>
      <c r="N167" s="21"/>
      <c r="O167" s="21"/>
      <c r="Z167" s="29"/>
    </row>
    <row r="168">
      <c r="B168" s="14"/>
      <c r="D168" s="14"/>
      <c r="G168" s="4" t="s">
        <v>753</v>
      </c>
      <c r="H168" s="4" t="s">
        <v>428</v>
      </c>
      <c r="I168" s="4">
        <v>14200.0</v>
      </c>
      <c r="J168" s="45">
        <f t="array" ref="J168">INDEX('TJ List'!B:B,MATCH(I168,'TJ List'!N:N,0),0)
</f>
        <v>42047</v>
      </c>
      <c r="L168" s="4"/>
      <c r="M168" s="4"/>
      <c r="N168" s="21"/>
      <c r="O168" s="21"/>
      <c r="Z168" s="29"/>
    </row>
    <row r="169">
      <c r="B169" s="14"/>
      <c r="D169" s="14"/>
      <c r="G169" s="4" t="s">
        <v>2679</v>
      </c>
      <c r="H169" s="4" t="s">
        <v>428</v>
      </c>
      <c r="I169" s="4">
        <v>3273.0</v>
      </c>
      <c r="J169" t="str">
        <f t="array" ref="J169">INDEX('TJ List'!B:B,MATCH(I169,'TJ List'!N:N,0),0)
</f>
        <v>#N/A</v>
      </c>
      <c r="L169" s="4"/>
      <c r="M169" s="4"/>
      <c r="N169" s="21"/>
      <c r="O169" s="21"/>
      <c r="Z169" s="29"/>
    </row>
    <row r="170">
      <c r="B170" s="14"/>
      <c r="D170" s="14"/>
      <c r="G170" s="4" t="s">
        <v>2688</v>
      </c>
      <c r="H170" s="4" t="s">
        <v>428</v>
      </c>
      <c r="I170" s="4">
        <v>3656.0</v>
      </c>
      <c r="J170" t="str">
        <f t="array" ref="J170">INDEX('TJ List'!B:B,MATCH(I170,'TJ List'!N:N,0),0)
</f>
        <v>#N/A</v>
      </c>
      <c r="L170" s="4"/>
      <c r="M170" s="4"/>
      <c r="N170" s="21"/>
      <c r="O170" s="21"/>
      <c r="Z170" s="29"/>
    </row>
    <row r="171">
      <c r="B171" s="14"/>
      <c r="D171" s="14"/>
      <c r="G171" s="4" t="s">
        <v>2695</v>
      </c>
      <c r="H171" s="4" t="s">
        <v>428</v>
      </c>
      <c r="I171" s="4">
        <v>6797.0</v>
      </c>
      <c r="J171" t="str">
        <f t="array" ref="J171">INDEX('TJ List'!B:B,MATCH(I171,'TJ List'!N:N,0),0)
</f>
        <v>#N/A</v>
      </c>
      <c r="L171" s="4"/>
      <c r="M171" s="4"/>
      <c r="N171" s="21"/>
      <c r="O171" s="21"/>
      <c r="Z171" s="29"/>
    </row>
    <row r="172">
      <c r="B172" s="14"/>
      <c r="D172" s="14"/>
      <c r="G172" s="4" t="s">
        <v>2703</v>
      </c>
      <c r="H172" s="4" t="s">
        <v>428</v>
      </c>
      <c r="I172" s="4">
        <v>10066.0</v>
      </c>
      <c r="J172" t="str">
        <f t="array" ref="J172">INDEX('TJ List'!B:B,MATCH(I172,'TJ List'!N:N,0),0)
</f>
        <v>#N/A</v>
      </c>
      <c r="L172" s="4"/>
      <c r="M172" s="4"/>
      <c r="N172" s="21"/>
      <c r="O172" s="21"/>
      <c r="Z172" s="29"/>
    </row>
    <row r="173">
      <c r="B173" s="14"/>
      <c r="D173" s="14"/>
      <c r="G173" s="4" t="s">
        <v>2712</v>
      </c>
      <c r="H173" s="4" t="s">
        <v>428</v>
      </c>
      <c r="I173" s="4">
        <v>10160.0</v>
      </c>
      <c r="J173" t="str">
        <f t="array" ref="J173">INDEX('TJ List'!B:B,MATCH(I173,'TJ List'!N:N,0),0)
</f>
        <v>#N/A</v>
      </c>
      <c r="L173" s="4"/>
      <c r="M173" s="4"/>
      <c r="N173" s="21"/>
      <c r="O173" s="21"/>
      <c r="Z173" s="29"/>
    </row>
    <row r="174">
      <c r="B174" s="14"/>
      <c r="D174" s="14"/>
      <c r="G174" s="4" t="s">
        <v>2720</v>
      </c>
      <c r="H174" s="4" t="s">
        <v>428</v>
      </c>
      <c r="I174" s="4">
        <v>10171.0</v>
      </c>
      <c r="J174" t="str">
        <f t="array" ref="J174">INDEX('TJ List'!B:B,MATCH(I174,'TJ List'!N:N,0),0)
</f>
        <v>#N/A</v>
      </c>
      <c r="L174" s="4"/>
      <c r="M174" s="4"/>
      <c r="N174" s="21"/>
      <c r="O174" s="21"/>
      <c r="Z174" s="29"/>
    </row>
    <row r="175">
      <c r="B175" s="14"/>
      <c r="D175" s="14"/>
      <c r="G175" s="4" t="s">
        <v>2723</v>
      </c>
      <c r="H175" s="4" t="s">
        <v>428</v>
      </c>
      <c r="I175" s="4">
        <v>10261.0</v>
      </c>
      <c r="J175" t="str">
        <f t="array" ref="J175">INDEX('TJ List'!B:B,MATCH(I175,'TJ List'!N:N,0),0)
</f>
        <v>#N/A</v>
      </c>
      <c r="L175" s="4"/>
      <c r="M175" s="4"/>
      <c r="N175" s="21"/>
      <c r="O175" s="21"/>
      <c r="Z175" s="29"/>
    </row>
    <row r="176">
      <c r="B176" s="14"/>
      <c r="D176" s="14"/>
      <c r="G176" s="4" t="s">
        <v>2724</v>
      </c>
      <c r="H176" s="4" t="s">
        <v>428</v>
      </c>
      <c r="I176" s="4">
        <v>10636.0</v>
      </c>
      <c r="J176" t="str">
        <f t="array" ref="J176">INDEX('TJ List'!B:B,MATCH(I176,'TJ List'!N:N,0),0)
</f>
        <v>#N/A</v>
      </c>
      <c r="L176" s="4"/>
      <c r="M176" s="4"/>
      <c r="N176" s="21"/>
      <c r="O176" s="21"/>
      <c r="Z176" s="29"/>
    </row>
    <row r="177">
      <c r="B177" s="14"/>
      <c r="D177" s="14"/>
      <c r="G177" s="4" t="s">
        <v>2730</v>
      </c>
      <c r="H177" s="4" t="s">
        <v>428</v>
      </c>
      <c r="I177" s="4">
        <v>10811.0</v>
      </c>
      <c r="J177" t="str">
        <f t="array" ref="J177">INDEX('TJ List'!B:B,MATCH(I177,'TJ List'!N:N,0),0)
</f>
        <v>#N/A</v>
      </c>
      <c r="L177" s="4"/>
      <c r="M177" s="4"/>
      <c r="N177" s="21"/>
      <c r="O177" s="21"/>
      <c r="Z177" s="29"/>
    </row>
    <row r="178">
      <c r="B178" s="14"/>
      <c r="D178" s="14"/>
      <c r="G178" s="4" t="s">
        <v>2770</v>
      </c>
      <c r="H178" s="4" t="s">
        <v>428</v>
      </c>
      <c r="I178" s="4">
        <v>11378.0</v>
      </c>
      <c r="J178" t="str">
        <f t="array" ref="J178">INDEX('TJ List'!B:B,MATCH(I178,'TJ List'!N:N,0),0)
</f>
        <v>#N/A</v>
      </c>
      <c r="L178" s="4"/>
      <c r="M178" s="4"/>
      <c r="N178" s="21"/>
      <c r="O178" s="21"/>
      <c r="Z178" s="29"/>
    </row>
    <row r="179">
      <c r="B179" s="14"/>
      <c r="D179" s="14"/>
      <c r="G179" s="4" t="s">
        <v>2831</v>
      </c>
      <c r="H179" s="4" t="s">
        <v>428</v>
      </c>
      <c r="I179" s="4">
        <v>11509.0</v>
      </c>
      <c r="J179" t="str">
        <f t="array" ref="J179">INDEX('TJ List'!B:B,MATCH(I179,'TJ List'!N:N,0),0)
</f>
        <v>#N/A</v>
      </c>
      <c r="L179" s="4"/>
      <c r="M179" s="4"/>
      <c r="N179" s="21"/>
      <c r="O179" s="21"/>
      <c r="Z179" s="29"/>
    </row>
    <row r="180">
      <c r="B180" s="14"/>
      <c r="D180" s="14"/>
      <c r="G180" s="4" t="s">
        <v>2891</v>
      </c>
      <c r="H180" s="4" t="s">
        <v>428</v>
      </c>
      <c r="I180" s="4">
        <v>11592.0</v>
      </c>
      <c r="J180" t="str">
        <f t="array" ref="J180">INDEX('TJ List'!B:B,MATCH(I180,'TJ List'!N:N,0),0)
</f>
        <v>#N/A</v>
      </c>
      <c r="L180" s="4"/>
      <c r="M180" s="4"/>
      <c r="N180" s="21"/>
      <c r="O180" s="21"/>
      <c r="Z180" s="29"/>
    </row>
    <row r="181">
      <c r="B181" s="14"/>
      <c r="D181" s="14"/>
      <c r="G181" s="4" t="s">
        <v>2944</v>
      </c>
      <c r="H181" s="4" t="s">
        <v>428</v>
      </c>
      <c r="I181" s="4">
        <v>12804.0</v>
      </c>
      <c r="J181" t="str">
        <f t="array" ref="J181">INDEX('TJ List'!B:B,MATCH(I181,'TJ List'!N:N,0),0)
</f>
        <v>#N/A</v>
      </c>
      <c r="L181" s="4"/>
      <c r="M181" s="4"/>
      <c r="N181" s="21"/>
      <c r="O181" s="21"/>
      <c r="Z181" s="29"/>
    </row>
    <row r="182">
      <c r="B182" s="14"/>
      <c r="D182" s="14"/>
      <c r="G182" s="4" t="s">
        <v>3002</v>
      </c>
      <c r="H182" s="4" t="s">
        <v>428</v>
      </c>
      <c r="I182" s="4">
        <v>12825.0</v>
      </c>
      <c r="J182" t="str">
        <f t="array" ref="J182">INDEX('TJ List'!B:B,MATCH(I182,'TJ List'!N:N,0),0)
</f>
        <v>#N/A</v>
      </c>
      <c r="L182" s="4"/>
      <c r="M182" s="4"/>
      <c r="N182" s="21"/>
      <c r="O182" s="21"/>
      <c r="Z182" s="29"/>
    </row>
    <row r="183">
      <c r="B183" s="14"/>
      <c r="D183" s="14"/>
      <c r="G183" s="4" t="s">
        <v>3060</v>
      </c>
      <c r="H183" s="4" t="s">
        <v>428</v>
      </c>
      <c r="I183" s="4">
        <v>12975.0</v>
      </c>
      <c r="J183" t="str">
        <f t="array" ref="J183">INDEX('TJ List'!B:B,MATCH(I183,'TJ List'!N:N,0),0)
</f>
        <v>#N/A</v>
      </c>
      <c r="L183" s="4"/>
      <c r="M183" s="4"/>
      <c r="N183" s="21"/>
      <c r="O183" s="21"/>
      <c r="Z183" s="29"/>
    </row>
    <row r="184">
      <c r="B184" s="14"/>
      <c r="D184" s="14"/>
      <c r="G184" s="4" t="s">
        <v>3073</v>
      </c>
      <c r="H184" s="4" t="s">
        <v>428</v>
      </c>
      <c r="I184" s="4">
        <v>13166.0</v>
      </c>
      <c r="J184" t="str">
        <f t="array" ref="J184">INDEX('TJ List'!B:B,MATCH(I184,'TJ List'!N:N,0),0)
</f>
        <v>#N/A</v>
      </c>
      <c r="L184" s="4"/>
      <c r="M184" s="4"/>
      <c r="N184" s="21"/>
      <c r="O184" s="21"/>
      <c r="Z184" s="29"/>
    </row>
    <row r="185">
      <c r="B185" s="14"/>
      <c r="D185" s="14"/>
      <c r="G185" s="4" t="s">
        <v>3099</v>
      </c>
      <c r="H185" s="4" t="s">
        <v>428</v>
      </c>
      <c r="I185" s="4">
        <v>13684.0</v>
      </c>
      <c r="J185" t="str">
        <f t="array" ref="J185">INDEX('TJ List'!B:B,MATCH(I185,'TJ List'!N:N,0),0)
</f>
        <v>#N/A</v>
      </c>
      <c r="L185" s="4"/>
      <c r="M185" s="4"/>
      <c r="N185" s="21"/>
      <c r="O185" s="21"/>
      <c r="Z185" s="29"/>
    </row>
    <row r="186">
      <c r="B186" s="14"/>
      <c r="D186" s="14"/>
      <c r="G186" s="4" t="s">
        <v>849</v>
      </c>
      <c r="H186" s="4" t="s">
        <v>428</v>
      </c>
      <c r="I186" s="4">
        <v>14165.0</v>
      </c>
      <c r="J186" t="str">
        <f t="array" ref="J186">INDEX('TJ List'!B:B,MATCH(I186,'TJ List'!N:N,0),0)
</f>
        <v>#N/A</v>
      </c>
      <c r="L186" s="4"/>
      <c r="M186" s="4"/>
      <c r="N186" s="21"/>
      <c r="O186" s="21"/>
      <c r="Z186" s="29"/>
    </row>
    <row r="187">
      <c r="B187" s="14"/>
      <c r="D187" s="14"/>
      <c r="G187" s="4" t="s">
        <v>3108</v>
      </c>
      <c r="H187" s="4" t="s">
        <v>428</v>
      </c>
      <c r="I187" s="4">
        <v>14934.0</v>
      </c>
      <c r="J187" t="str">
        <f t="array" ref="J187">INDEX('TJ List'!B:B,MATCH(I187,'TJ List'!N:N,0),0)
</f>
        <v>#N/A</v>
      </c>
      <c r="L187" s="4"/>
      <c r="M187" s="4"/>
      <c r="N187" s="21"/>
      <c r="O187" s="21"/>
      <c r="Z187" s="29"/>
    </row>
    <row r="188">
      <c r="B188" s="14"/>
      <c r="D188" s="14"/>
      <c r="G188" s="4" t="s">
        <v>2159</v>
      </c>
      <c r="H188" s="4" t="s">
        <v>905</v>
      </c>
      <c r="I188" s="4">
        <v>7738.0</v>
      </c>
      <c r="J188" s="45">
        <f t="array" ref="J188">INDEX('TJ List'!B:B,MATCH(I188,'TJ List'!N:N,0),0)
</f>
        <v>39083</v>
      </c>
      <c r="L188" s="4"/>
      <c r="M188" s="4"/>
      <c r="N188" s="21"/>
      <c r="O188" s="21"/>
      <c r="Z188" s="29"/>
    </row>
    <row r="189">
      <c r="B189" s="14"/>
      <c r="D189" s="14"/>
      <c r="G189" s="4" t="s">
        <v>310</v>
      </c>
      <c r="H189" s="4" t="s">
        <v>905</v>
      </c>
      <c r="I189" s="4">
        <v>1701.0</v>
      </c>
      <c r="J189" s="45">
        <f t="array" ref="J189">INDEX('TJ List'!B:B,MATCH(I189,'TJ List'!N:N,0),0)
</f>
        <v>39583</v>
      </c>
      <c r="L189" s="4"/>
      <c r="M189" s="4"/>
      <c r="N189" s="21"/>
      <c r="O189" s="21"/>
      <c r="Z189" s="29"/>
    </row>
    <row r="190">
      <c r="B190" s="14"/>
      <c r="D190" s="14"/>
      <c r="G190" s="4" t="s">
        <v>3114</v>
      </c>
      <c r="H190" s="4" t="s">
        <v>905</v>
      </c>
      <c r="I190" s="4">
        <v>6832.0</v>
      </c>
      <c r="J190" s="45">
        <f t="array" ref="J190">INDEX('TJ List'!B:B,MATCH(I190,'TJ List'!N:N,0),0)
</f>
        <v>40247</v>
      </c>
      <c r="L190" s="4"/>
      <c r="M190" s="4"/>
      <c r="N190" s="21"/>
      <c r="O190" s="21"/>
      <c r="Z190" s="29"/>
    </row>
    <row r="191">
      <c r="B191" s="14"/>
      <c r="D191" s="14"/>
      <c r="G191" s="4" t="s">
        <v>3116</v>
      </c>
      <c r="H191" s="4" t="s">
        <v>905</v>
      </c>
      <c r="I191" s="4">
        <v>2237.0</v>
      </c>
      <c r="J191" t="str">
        <f t="array" ref="J191">INDEX('TJ List'!B:B,MATCH(I191,'TJ List'!N:N,0),0)
</f>
        <v>#N/A</v>
      </c>
      <c r="L191" s="4"/>
      <c r="M191" s="4"/>
      <c r="N191" s="21"/>
      <c r="O191" s="21"/>
      <c r="Z191" s="29"/>
    </row>
    <row r="192">
      <c r="B192" s="14"/>
      <c r="D192" s="14"/>
      <c r="G192" s="4" t="s">
        <v>3118</v>
      </c>
      <c r="H192" s="4" t="s">
        <v>905</v>
      </c>
      <c r="I192" s="4">
        <v>3340.0</v>
      </c>
      <c r="J192" t="str">
        <f t="array" ref="J192">INDEX('TJ List'!B:B,MATCH(I192,'TJ List'!N:N,0),0)
</f>
        <v>#N/A</v>
      </c>
      <c r="L192" s="4"/>
      <c r="M192" s="4"/>
      <c r="N192" s="21"/>
      <c r="O192" s="21"/>
      <c r="Z192" s="29"/>
    </row>
    <row r="193">
      <c r="B193" s="14"/>
      <c r="D193" s="14"/>
      <c r="G193" s="4" t="s">
        <v>3120</v>
      </c>
      <c r="H193" s="4" t="s">
        <v>905</v>
      </c>
      <c r="I193" s="4">
        <v>5702.0</v>
      </c>
      <c r="J193" t="str">
        <f t="array" ref="J193">INDEX('TJ List'!B:B,MATCH(I193,'TJ List'!N:N,0),0)
</f>
        <v>#N/A</v>
      </c>
      <c r="L193" s="4"/>
      <c r="M193" s="4"/>
      <c r="N193" s="21"/>
      <c r="O193" s="21"/>
      <c r="Z193" s="29"/>
    </row>
    <row r="194">
      <c r="B194" s="14"/>
      <c r="D194" s="14"/>
      <c r="G194" s="4" t="s">
        <v>3121</v>
      </c>
      <c r="H194" s="4" t="s">
        <v>905</v>
      </c>
      <c r="I194" s="4">
        <v>6895.0</v>
      </c>
      <c r="J194" t="str">
        <f t="array" ref="J194">INDEX('TJ List'!B:B,MATCH(I194,'TJ List'!N:N,0),0)
</f>
        <v>#N/A</v>
      </c>
      <c r="L194" s="4"/>
      <c r="M194" s="4"/>
      <c r="N194" s="21"/>
      <c r="O194" s="21"/>
      <c r="Z194" s="29"/>
    </row>
    <row r="195">
      <c r="B195" s="14"/>
      <c r="D195" s="14"/>
      <c r="G195" s="4" t="s">
        <v>3122</v>
      </c>
      <c r="H195" s="4" t="s">
        <v>905</v>
      </c>
      <c r="I195" s="4">
        <v>7624.0</v>
      </c>
      <c r="J195" t="str">
        <f t="array" ref="J195">INDEX('TJ List'!B:B,MATCH(I195,'TJ List'!N:N,0),0)
</f>
        <v>#N/A</v>
      </c>
      <c r="L195" s="4"/>
      <c r="M195" s="4"/>
      <c r="N195" s="21"/>
      <c r="O195" s="21"/>
      <c r="Z195" s="29"/>
    </row>
    <row r="196">
      <c r="B196" s="14"/>
      <c r="D196" s="14"/>
      <c r="G196" s="4" t="s">
        <v>3123</v>
      </c>
      <c r="H196" s="4" t="s">
        <v>905</v>
      </c>
      <c r="I196" s="4">
        <v>9654.0</v>
      </c>
      <c r="J196" t="str">
        <f t="array" ref="J196">INDEX('TJ List'!B:B,MATCH(I196,'TJ List'!N:N,0),0)
</f>
        <v>#N/A</v>
      </c>
      <c r="L196" s="4"/>
      <c r="M196" s="4"/>
      <c r="N196" s="21"/>
      <c r="O196" s="21"/>
      <c r="Z196" s="29"/>
    </row>
    <row r="197">
      <c r="B197" s="14"/>
      <c r="D197" s="14"/>
      <c r="G197" s="4" t="s">
        <v>3124</v>
      </c>
      <c r="H197" s="4" t="s">
        <v>905</v>
      </c>
      <c r="I197" s="4">
        <v>10240.0</v>
      </c>
      <c r="J197" t="str">
        <f t="array" ref="J197">INDEX('TJ List'!B:B,MATCH(I197,'TJ List'!N:N,0),0)
</f>
        <v>#N/A</v>
      </c>
      <c r="L197" s="4"/>
      <c r="M197" s="4"/>
      <c r="N197" s="21"/>
      <c r="O197" s="21"/>
      <c r="Z197" s="29"/>
    </row>
    <row r="198">
      <c r="B198" s="14"/>
      <c r="D198" s="14"/>
      <c r="G198" s="4" t="s">
        <v>3125</v>
      </c>
      <c r="H198" s="4" t="s">
        <v>905</v>
      </c>
      <c r="I198" s="4">
        <v>10547.0</v>
      </c>
      <c r="J198" t="str">
        <f t="array" ref="J198">INDEX('TJ List'!B:B,MATCH(I198,'TJ List'!N:N,0),0)
</f>
        <v>#N/A</v>
      </c>
      <c r="L198" s="4"/>
      <c r="M198" s="4"/>
      <c r="N198" s="21"/>
      <c r="O198" s="21"/>
      <c r="Z198" s="29"/>
    </row>
    <row r="199">
      <c r="B199" s="14"/>
      <c r="D199" s="14"/>
      <c r="G199" s="4" t="s">
        <v>134</v>
      </c>
      <c r="H199" s="4" t="s">
        <v>905</v>
      </c>
      <c r="I199" s="4">
        <v>10688.0</v>
      </c>
      <c r="J199" t="str">
        <f t="array" ref="J199">INDEX('TJ List'!B:B,MATCH(I199,'TJ List'!N:N,0),0)
</f>
        <v>#N/A</v>
      </c>
      <c r="L199" s="4"/>
      <c r="M199" s="4"/>
      <c r="N199" s="21"/>
      <c r="O199" s="21"/>
      <c r="Z199" s="29"/>
    </row>
    <row r="200">
      <c r="B200" s="14"/>
      <c r="D200" s="14"/>
      <c r="G200" s="4" t="s">
        <v>3128</v>
      </c>
      <c r="H200" s="4" t="s">
        <v>905</v>
      </c>
      <c r="I200" s="4">
        <v>10770.0</v>
      </c>
      <c r="J200" t="str">
        <f t="array" ref="J200">INDEX('TJ List'!B:B,MATCH(I200,'TJ List'!N:N,0),0)
</f>
        <v>#N/A</v>
      </c>
      <c r="L200" s="4"/>
      <c r="M200" s="4"/>
      <c r="N200" s="21"/>
      <c r="O200" s="21"/>
      <c r="Z200" s="29"/>
    </row>
    <row r="201">
      <c r="B201" s="14"/>
      <c r="D201" s="14"/>
      <c r="G201" s="4" t="s">
        <v>3129</v>
      </c>
      <c r="H201" s="4" t="s">
        <v>905</v>
      </c>
      <c r="I201" s="4">
        <v>10983.0</v>
      </c>
      <c r="J201" t="str">
        <f t="array" ref="J201">INDEX('TJ List'!B:B,MATCH(I201,'TJ List'!N:N,0),0)
</f>
        <v>#N/A</v>
      </c>
      <c r="L201" s="4"/>
      <c r="M201" s="4"/>
      <c r="N201" s="21"/>
      <c r="O201" s="21"/>
      <c r="Z201" s="29"/>
    </row>
    <row r="202">
      <c r="B202" s="14"/>
      <c r="D202" s="14"/>
      <c r="G202" s="4" t="s">
        <v>3130</v>
      </c>
      <c r="H202" s="4" t="s">
        <v>905</v>
      </c>
      <c r="I202" s="4">
        <v>12166.0</v>
      </c>
      <c r="J202" t="str">
        <f t="array" ref="J202">INDEX('TJ List'!B:B,MATCH(I202,'TJ List'!N:N,0),0)
</f>
        <v>#N/A</v>
      </c>
      <c r="L202" s="4"/>
      <c r="M202" s="4"/>
      <c r="N202" s="21"/>
      <c r="O202" s="21"/>
      <c r="Z202" s="29"/>
    </row>
    <row r="203">
      <c r="B203" s="14"/>
      <c r="D203" s="14"/>
      <c r="G203" s="4" t="s">
        <v>3131</v>
      </c>
      <c r="H203" s="4" t="s">
        <v>905</v>
      </c>
      <c r="I203" s="4">
        <v>12323.0</v>
      </c>
      <c r="J203" t="str">
        <f t="array" ref="J203">INDEX('TJ List'!B:B,MATCH(I203,'TJ List'!N:N,0),0)
</f>
        <v>#N/A</v>
      </c>
      <c r="L203" s="4"/>
      <c r="M203" s="4"/>
      <c r="N203" s="21"/>
      <c r="O203" s="21"/>
      <c r="Z203" s="29"/>
    </row>
    <row r="204">
      <c r="B204" s="14"/>
      <c r="D204" s="14"/>
      <c r="G204" s="4" t="s">
        <v>3132</v>
      </c>
      <c r="H204" s="4" t="s">
        <v>905</v>
      </c>
      <c r="I204" s="4">
        <v>13119.0</v>
      </c>
      <c r="J204" t="str">
        <f t="array" ref="J204">INDEX('TJ List'!B:B,MATCH(I204,'TJ List'!N:N,0),0)
</f>
        <v>#N/A</v>
      </c>
      <c r="L204" s="4"/>
      <c r="M204" s="4"/>
      <c r="N204" s="21"/>
      <c r="O204" s="21"/>
      <c r="Z204" s="29"/>
    </row>
    <row r="205">
      <c r="B205" s="14"/>
      <c r="D205" s="14"/>
      <c r="G205" s="4" t="s">
        <v>3133</v>
      </c>
      <c r="H205" s="4" t="s">
        <v>905</v>
      </c>
      <c r="I205" s="4">
        <v>13183.0</v>
      </c>
      <c r="J205" t="str">
        <f t="array" ref="J205">INDEX('TJ List'!B:B,MATCH(I205,'TJ List'!N:N,0),0)
</f>
        <v>#N/A</v>
      </c>
      <c r="L205" s="4"/>
      <c r="M205" s="4"/>
      <c r="N205" s="21"/>
      <c r="O205" s="21"/>
      <c r="Z205" s="29"/>
    </row>
    <row r="206">
      <c r="B206" s="14"/>
      <c r="D206" s="14"/>
      <c r="G206" s="4" t="s">
        <v>3134</v>
      </c>
      <c r="H206" s="4" t="s">
        <v>905</v>
      </c>
      <c r="I206" s="4">
        <v>13395.0</v>
      </c>
      <c r="J206" t="str">
        <f t="array" ref="J206">INDEX('TJ List'!B:B,MATCH(I206,'TJ List'!N:N,0),0)
</f>
        <v>#N/A</v>
      </c>
      <c r="L206" s="4"/>
      <c r="M206" s="4"/>
      <c r="N206" s="21"/>
      <c r="O206" s="21"/>
      <c r="Z206" s="29"/>
    </row>
    <row r="207">
      <c r="B207" s="14"/>
      <c r="D207" s="14"/>
      <c r="G207" s="4" t="s">
        <v>3135</v>
      </c>
      <c r="H207" s="4" t="s">
        <v>905</v>
      </c>
      <c r="I207" s="4">
        <v>13942.0</v>
      </c>
      <c r="J207" t="str">
        <f t="array" ref="J207">INDEX('TJ List'!B:B,MATCH(I207,'TJ List'!N:N,0),0)
</f>
        <v>#N/A</v>
      </c>
      <c r="L207" s="4"/>
      <c r="M207" s="4"/>
      <c r="N207" s="21"/>
      <c r="O207" s="21"/>
      <c r="Z207" s="29"/>
    </row>
    <row r="208">
      <c r="B208" s="14"/>
      <c r="D208" s="14"/>
      <c r="G208" s="4" t="s">
        <v>3136</v>
      </c>
      <c r="H208" s="4" t="s">
        <v>905</v>
      </c>
      <c r="I208" s="4">
        <v>15010.0</v>
      </c>
      <c r="J208" t="str">
        <f t="array" ref="J208">INDEX('TJ List'!B:B,MATCH(I208,'TJ List'!N:N,0),0)
</f>
        <v>#N/A</v>
      </c>
      <c r="L208" s="4"/>
      <c r="M208" s="4"/>
      <c r="N208" s="21"/>
      <c r="O208" s="21"/>
      <c r="Z208" s="29"/>
    </row>
    <row r="209">
      <c r="B209" s="14"/>
      <c r="D209" s="14"/>
      <c r="G209" s="4" t="s">
        <v>3137</v>
      </c>
      <c r="H209" s="4" t="s">
        <v>319</v>
      </c>
      <c r="I209" s="4">
        <v>18719.0</v>
      </c>
      <c r="J209" s="45">
        <f t="array" ref="J209">INDEX('TJ List'!B:B,MATCH(I209,'TJ List'!N:N,0),0)
</f>
        <v>36892</v>
      </c>
      <c r="L209" s="4"/>
      <c r="M209" s="4"/>
      <c r="N209" s="21"/>
      <c r="O209" s="21"/>
      <c r="Z209" s="29"/>
    </row>
    <row r="210">
      <c r="B210" s="14"/>
      <c r="D210" s="14"/>
      <c r="G210" s="4" t="s">
        <v>2286</v>
      </c>
      <c r="H210" s="4" t="s">
        <v>319</v>
      </c>
      <c r="I210" s="4">
        <v>6697.0</v>
      </c>
      <c r="J210" s="45">
        <f t="array" ref="J210">INDEX('TJ List'!B:B,MATCH(I210,'TJ List'!N:N,0),0)
</f>
        <v>38353</v>
      </c>
      <c r="L210" s="4"/>
      <c r="M210" s="4"/>
      <c r="N210" s="21"/>
      <c r="O210" s="21"/>
      <c r="Z210" s="29"/>
    </row>
    <row r="211">
      <c r="B211" s="14"/>
      <c r="D211" s="14"/>
      <c r="G211" s="4" t="s">
        <v>1989</v>
      </c>
      <c r="H211" s="4" t="s">
        <v>319</v>
      </c>
      <c r="I211" s="4">
        <v>8137.0</v>
      </c>
      <c r="J211" s="45">
        <f t="array" ref="J211">INDEX('TJ List'!B:B,MATCH(I211,'TJ List'!N:N,0),0)
</f>
        <v>39699</v>
      </c>
      <c r="L211" s="4"/>
      <c r="M211" s="4"/>
      <c r="N211" s="21"/>
      <c r="O211" s="21"/>
      <c r="Z211" s="29"/>
    </row>
    <row r="212">
      <c r="B212" s="14"/>
      <c r="D212" s="14"/>
      <c r="G212" s="4" t="s">
        <v>1661</v>
      </c>
      <c r="H212" s="4" t="s">
        <v>319</v>
      </c>
      <c r="I212" s="4">
        <v>2233.0</v>
      </c>
      <c r="J212" s="45">
        <f t="array" ref="J212">INDEX('TJ List'!B:B,MATCH(I212,'TJ List'!N:N,0),0)
</f>
        <v>40602</v>
      </c>
      <c r="L212" s="4"/>
      <c r="M212" s="4"/>
      <c r="N212" s="21"/>
      <c r="O212" s="21"/>
      <c r="Z212" s="29"/>
    </row>
    <row r="213">
      <c r="B213" s="14"/>
      <c r="D213" s="14"/>
      <c r="G213" s="4" t="s">
        <v>3138</v>
      </c>
      <c r="H213" s="4" t="s">
        <v>319</v>
      </c>
      <c r="I213" s="4">
        <v>1137.0</v>
      </c>
      <c r="J213" t="str">
        <f t="array" ref="J213">INDEX('TJ List'!B:B,MATCH(I213,'TJ List'!N:N,0),0)
</f>
        <v>#N/A</v>
      </c>
      <c r="L213" s="4"/>
      <c r="M213" s="4"/>
      <c r="N213" s="21"/>
      <c r="O213" s="21"/>
      <c r="Z213" s="29"/>
    </row>
    <row r="214">
      <c r="B214" s="14"/>
      <c r="D214" s="14"/>
      <c r="G214" s="4" t="s">
        <v>3139</v>
      </c>
      <c r="H214" s="4" t="s">
        <v>319</v>
      </c>
      <c r="I214" s="4">
        <v>4759.0</v>
      </c>
      <c r="J214" t="str">
        <f t="array" ref="J214">INDEX('TJ List'!B:B,MATCH(I214,'TJ List'!N:N,0),0)
</f>
        <v>#N/A</v>
      </c>
      <c r="L214" s="4"/>
      <c r="M214" s="4"/>
      <c r="N214" s="21"/>
      <c r="O214" s="21"/>
      <c r="Z214" s="29"/>
    </row>
    <row r="215">
      <c r="B215" s="14"/>
      <c r="D215" s="14"/>
      <c r="G215" s="4" t="s">
        <v>317</v>
      </c>
      <c r="H215" s="4" t="s">
        <v>319</v>
      </c>
      <c r="I215" s="4">
        <v>5519.0</v>
      </c>
      <c r="J215" t="str">
        <f t="array" ref="J215">INDEX('TJ List'!B:B,MATCH(I215,'TJ List'!N:N,0),0)
</f>
        <v>#N/A</v>
      </c>
      <c r="L215" s="4"/>
      <c r="M215" s="4"/>
      <c r="N215" s="21"/>
      <c r="O215" s="21"/>
      <c r="Z215" s="29"/>
    </row>
    <row r="216">
      <c r="B216" s="14"/>
      <c r="D216" s="14"/>
      <c r="G216" s="4" t="s">
        <v>3141</v>
      </c>
      <c r="H216" s="4" t="s">
        <v>319</v>
      </c>
      <c r="I216" s="4">
        <v>8180.0</v>
      </c>
      <c r="J216" t="str">
        <f t="array" ref="J216">INDEX('TJ List'!B:B,MATCH(I216,'TJ List'!N:N,0),0)
</f>
        <v>#N/A</v>
      </c>
      <c r="L216" s="4"/>
      <c r="M216" s="4"/>
      <c r="N216" s="21"/>
      <c r="O216" s="21"/>
      <c r="Z216" s="29"/>
    </row>
    <row r="217">
      <c r="B217" s="14"/>
      <c r="D217" s="14"/>
      <c r="G217" s="4" t="s">
        <v>3142</v>
      </c>
      <c r="H217" s="4" t="s">
        <v>319</v>
      </c>
      <c r="I217" s="4">
        <v>10130.0</v>
      </c>
      <c r="J217" t="str">
        <f t="array" ref="J217">INDEX('TJ List'!B:B,MATCH(I217,'TJ List'!N:N,0),0)
</f>
        <v>#N/A</v>
      </c>
      <c r="L217" s="4"/>
      <c r="M217" s="4"/>
      <c r="N217" s="21"/>
      <c r="O217" s="21"/>
      <c r="Z217" s="29"/>
    </row>
    <row r="218">
      <c r="B218" s="14"/>
      <c r="D218" s="14"/>
      <c r="G218" s="4" t="s">
        <v>3143</v>
      </c>
      <c r="H218" s="4" t="s">
        <v>319</v>
      </c>
      <c r="I218" s="4">
        <v>10529.0</v>
      </c>
      <c r="J218" t="str">
        <f t="array" ref="J218">INDEX('TJ List'!B:B,MATCH(I218,'TJ List'!N:N,0),0)
</f>
        <v>#N/A</v>
      </c>
      <c r="L218" s="4"/>
      <c r="M218" s="4"/>
      <c r="N218" s="21"/>
      <c r="O218" s="21"/>
      <c r="Z218" s="29"/>
    </row>
    <row r="219">
      <c r="B219" s="14"/>
      <c r="D219" s="14"/>
      <c r="G219" s="4" t="s">
        <v>3144</v>
      </c>
      <c r="H219" s="4" t="s">
        <v>319</v>
      </c>
      <c r="I219" s="4">
        <v>10745.0</v>
      </c>
      <c r="J219" t="str">
        <f t="array" ref="J219">INDEX('TJ List'!B:B,MATCH(I219,'TJ List'!N:N,0),0)
</f>
        <v>#N/A</v>
      </c>
      <c r="L219" s="4"/>
      <c r="M219" s="4"/>
      <c r="N219" s="21"/>
      <c r="O219" s="21"/>
      <c r="Z219" s="29"/>
    </row>
    <row r="220">
      <c r="B220" s="14"/>
      <c r="D220" s="14"/>
      <c r="G220" s="4" t="s">
        <v>1133</v>
      </c>
      <c r="H220" s="4" t="s">
        <v>319</v>
      </c>
      <c r="I220" s="4">
        <v>11334.0</v>
      </c>
      <c r="J220" t="str">
        <f t="array" ref="J220">INDEX('TJ List'!B:B,MATCH(I220,'TJ List'!N:N,0),0)
</f>
        <v>#N/A</v>
      </c>
      <c r="L220" s="4"/>
      <c r="M220" s="4"/>
      <c r="N220" s="21"/>
      <c r="O220" s="21"/>
      <c r="Z220" s="29"/>
    </row>
    <row r="221">
      <c r="B221" s="14"/>
      <c r="D221" s="14"/>
      <c r="G221" s="4" t="s">
        <v>2190</v>
      </c>
      <c r="H221" s="4" t="s">
        <v>319</v>
      </c>
      <c r="I221" s="4">
        <v>11682.0</v>
      </c>
      <c r="J221" t="str">
        <f t="array" ref="J221">INDEX('TJ List'!B:B,MATCH(I221,'TJ List'!N:N,0),0)
</f>
        <v>#N/A</v>
      </c>
      <c r="L221" s="4"/>
      <c r="M221" s="4"/>
      <c r="N221" s="21"/>
      <c r="O221" s="21"/>
      <c r="Z221" s="29"/>
    </row>
    <row r="222">
      <c r="B222" s="14"/>
      <c r="D222" s="14"/>
      <c r="G222" s="4" t="s">
        <v>1161</v>
      </c>
      <c r="H222" s="4" t="s">
        <v>319</v>
      </c>
      <c r="I222" s="4">
        <v>12235.0</v>
      </c>
      <c r="J222" t="str">
        <f t="array" ref="J222">INDEX('TJ List'!B:B,MATCH(I222,'TJ List'!N:N,0),0)
</f>
        <v>#N/A</v>
      </c>
      <c r="L222" s="4"/>
      <c r="M222" s="4"/>
      <c r="N222" s="21"/>
      <c r="O222" s="21"/>
      <c r="Z222" s="29"/>
    </row>
    <row r="223">
      <c r="B223" s="14"/>
      <c r="D223" s="14"/>
      <c r="G223" s="4" t="s">
        <v>3145</v>
      </c>
      <c r="H223" s="4" t="s">
        <v>319</v>
      </c>
      <c r="I223" s="4">
        <v>13485.0</v>
      </c>
      <c r="J223" t="str">
        <f t="array" ref="J223">INDEX('TJ List'!B:B,MATCH(I223,'TJ List'!N:N,0),0)
</f>
        <v>#N/A</v>
      </c>
      <c r="L223" s="4"/>
      <c r="M223" s="4"/>
      <c r="N223" s="21"/>
      <c r="O223" s="21"/>
      <c r="Z223" s="29"/>
    </row>
    <row r="224">
      <c r="B224" s="14"/>
      <c r="D224" s="14"/>
      <c r="G224" s="4" t="s">
        <v>3146</v>
      </c>
      <c r="H224" s="4" t="s">
        <v>319</v>
      </c>
      <c r="I224" s="4">
        <v>13528.0</v>
      </c>
      <c r="J224" t="str">
        <f t="array" ref="J224">INDEX('TJ List'!B:B,MATCH(I224,'TJ List'!N:N,0),0)
</f>
        <v>#N/A</v>
      </c>
      <c r="L224" s="4"/>
      <c r="M224" s="4"/>
      <c r="N224" s="21"/>
      <c r="O224" s="21"/>
      <c r="Z224" s="29"/>
    </row>
    <row r="225">
      <c r="B225" s="14"/>
      <c r="D225" s="14"/>
      <c r="G225" s="4" t="s">
        <v>3147</v>
      </c>
      <c r="H225" s="4" t="s">
        <v>319</v>
      </c>
      <c r="I225" s="4">
        <v>14078.0</v>
      </c>
      <c r="J225" t="str">
        <f t="array" ref="J225">INDEX('TJ List'!B:B,MATCH(I225,'TJ List'!N:N,0),0)
</f>
        <v>#N/A</v>
      </c>
      <c r="L225" s="4"/>
      <c r="M225" s="4"/>
      <c r="N225" s="21"/>
      <c r="O225" s="21"/>
      <c r="Z225" s="29"/>
    </row>
    <row r="226">
      <c r="B226" s="14"/>
      <c r="D226" s="14"/>
      <c r="G226" s="4" t="s">
        <v>3148</v>
      </c>
      <c r="H226" s="4" t="s">
        <v>319</v>
      </c>
      <c r="I226" s="4">
        <v>15015.0</v>
      </c>
      <c r="J226" t="str">
        <f t="array" ref="J226">INDEX('TJ List'!B:B,MATCH(I226,'TJ List'!N:N,0),0)
</f>
        <v>#N/A</v>
      </c>
      <c r="L226" s="4"/>
      <c r="M226" s="4"/>
      <c r="N226" s="21"/>
      <c r="O226" s="21"/>
      <c r="Z226" s="29"/>
    </row>
    <row r="227">
      <c r="B227" s="14"/>
      <c r="D227" s="14"/>
      <c r="G227" s="4" t="s">
        <v>3149</v>
      </c>
      <c r="H227" s="4" t="s">
        <v>319</v>
      </c>
      <c r="I227" s="4">
        <v>15451.0</v>
      </c>
      <c r="J227" t="str">
        <f t="array" ref="J227">INDEX('TJ List'!B:B,MATCH(I227,'TJ List'!N:N,0),0)
</f>
        <v>#N/A</v>
      </c>
      <c r="L227" s="4"/>
      <c r="M227" s="4"/>
      <c r="N227" s="21"/>
      <c r="O227" s="21"/>
      <c r="Z227" s="29"/>
    </row>
    <row r="228">
      <c r="B228" s="14"/>
      <c r="D228" s="14"/>
      <c r="G228" s="4" t="s">
        <v>3150</v>
      </c>
      <c r="H228" s="4" t="s">
        <v>319</v>
      </c>
      <c r="I228" s="4">
        <v>16918.0</v>
      </c>
      <c r="J228" t="str">
        <f t="array" ref="J228">INDEX('TJ List'!B:B,MATCH(I228,'TJ List'!N:N,0),0)
</f>
        <v>#N/A</v>
      </c>
      <c r="L228" s="4"/>
      <c r="M228" s="4"/>
      <c r="N228" s="21"/>
      <c r="O228" s="21"/>
      <c r="Z228" s="29"/>
    </row>
    <row r="229">
      <c r="B229" s="14"/>
      <c r="D229" s="14"/>
      <c r="G229" s="4" t="s">
        <v>1730</v>
      </c>
      <c r="H229" s="4" t="s">
        <v>542</v>
      </c>
      <c r="I229" s="4">
        <v>2391.0</v>
      </c>
      <c r="J229" s="45">
        <f t="array" ref="J229">INDEX('TJ List'!B:B,MATCH(I229,'TJ List'!N:N,0),0)
</f>
        <v>40415</v>
      </c>
      <c r="L229" s="4"/>
      <c r="M229" s="4"/>
      <c r="N229" s="21"/>
      <c r="O229" s="21"/>
      <c r="Z229" s="29"/>
    </row>
    <row r="230">
      <c r="B230" s="14"/>
      <c r="D230" s="14"/>
      <c r="G230" s="4" t="s">
        <v>1582</v>
      </c>
      <c r="H230" s="4" t="s">
        <v>542</v>
      </c>
      <c r="I230" s="4">
        <v>1507.0</v>
      </c>
      <c r="J230" s="45">
        <f t="array" ref="J230">INDEX('TJ List'!B:B,MATCH(I230,'TJ List'!N:N,0),0)
</f>
        <v>40848</v>
      </c>
      <c r="L230" s="4"/>
      <c r="M230" s="4"/>
      <c r="N230" s="21"/>
      <c r="O230" s="21"/>
      <c r="Z230" s="29"/>
    </row>
    <row r="231">
      <c r="B231" s="14"/>
      <c r="D231" s="14"/>
      <c r="G231" s="4" t="s">
        <v>526</v>
      </c>
      <c r="H231" s="4" t="s">
        <v>542</v>
      </c>
      <c r="I231" s="4">
        <v>1122.0</v>
      </c>
      <c r="J231" s="45">
        <f t="array" ref="J231">INDEX('TJ List'!B:B,MATCH(I231,'TJ List'!N:N,0),0)
</f>
        <v>42123</v>
      </c>
      <c r="L231" s="4"/>
      <c r="M231" s="4"/>
      <c r="N231" s="21"/>
      <c r="O231" s="21"/>
      <c r="Z231" s="29"/>
    </row>
    <row r="232">
      <c r="B232" s="14"/>
      <c r="D232" s="14"/>
      <c r="G232" s="4" t="s">
        <v>541</v>
      </c>
      <c r="H232" s="4" t="s">
        <v>542</v>
      </c>
      <c r="I232" s="4">
        <v>3364.0</v>
      </c>
      <c r="J232" t="str">
        <f t="array" ref="J232">INDEX('TJ List'!B:B,MATCH(I232,'TJ List'!N:N,0),0)
</f>
        <v>#N/A</v>
      </c>
      <c r="L232" s="4"/>
      <c r="M232" s="4"/>
      <c r="N232" s="21"/>
      <c r="O232" s="21"/>
      <c r="Z232" s="29"/>
    </row>
    <row r="233">
      <c r="B233" s="14"/>
      <c r="D233" s="14"/>
      <c r="G233" s="4" t="s">
        <v>3152</v>
      </c>
      <c r="H233" s="4" t="s">
        <v>542</v>
      </c>
      <c r="I233" s="4">
        <v>4070.0</v>
      </c>
      <c r="J233" t="str">
        <f t="array" ref="J233">INDEX('TJ List'!B:B,MATCH(I233,'TJ List'!N:N,0),0)
</f>
        <v>#N/A</v>
      </c>
      <c r="L233" s="4"/>
      <c r="M233" s="4"/>
      <c r="N233" s="21"/>
      <c r="O233" s="21"/>
      <c r="Z233" s="29"/>
    </row>
    <row r="234">
      <c r="B234" s="14"/>
      <c r="D234" s="14"/>
      <c r="G234" s="4" t="s">
        <v>3153</v>
      </c>
      <c r="H234" s="4" t="s">
        <v>542</v>
      </c>
      <c r="I234" s="4">
        <v>4153.0</v>
      </c>
      <c r="J234" t="str">
        <f t="array" ref="J234">INDEX('TJ List'!B:B,MATCH(I234,'TJ List'!N:N,0),0)
</f>
        <v>#N/A</v>
      </c>
      <c r="L234" s="4"/>
      <c r="M234" s="4"/>
      <c r="N234" s="21"/>
      <c r="O234" s="21"/>
      <c r="Z234" s="29"/>
    </row>
    <row r="235">
      <c r="B235" s="14"/>
      <c r="D235" s="14"/>
      <c r="G235" s="4" t="s">
        <v>3156</v>
      </c>
      <c r="H235" s="4" t="s">
        <v>542</v>
      </c>
      <c r="I235" s="4">
        <v>4538.0</v>
      </c>
      <c r="J235" t="str">
        <f t="array" ref="J235">INDEX('TJ List'!B:B,MATCH(I235,'TJ List'!N:N,0),0)
</f>
        <v>#N/A</v>
      </c>
      <c r="L235" s="4"/>
      <c r="M235" s="4"/>
      <c r="N235" s="21"/>
      <c r="O235" s="21"/>
      <c r="Z235" s="29"/>
    </row>
    <row r="236">
      <c r="B236" s="14"/>
      <c r="D236" s="14"/>
      <c r="G236" s="4" t="s">
        <v>3157</v>
      </c>
      <c r="H236" s="4" t="s">
        <v>542</v>
      </c>
      <c r="I236" s="4">
        <v>4930.0</v>
      </c>
      <c r="J236" t="str">
        <f t="array" ref="J236">INDEX('TJ List'!B:B,MATCH(I236,'TJ List'!N:N,0),0)
</f>
        <v>#N/A</v>
      </c>
      <c r="L236" s="4"/>
      <c r="M236" s="4"/>
      <c r="N236" s="21"/>
      <c r="O236" s="21"/>
      <c r="Z236" s="29"/>
    </row>
    <row r="237">
      <c r="B237" s="14"/>
      <c r="D237" s="14"/>
      <c r="G237" s="4" t="s">
        <v>3158</v>
      </c>
      <c r="H237" s="4" t="s">
        <v>542</v>
      </c>
      <c r="I237" s="4">
        <v>6249.0</v>
      </c>
      <c r="J237" t="str">
        <f t="array" ref="J237">INDEX('TJ List'!B:B,MATCH(I237,'TJ List'!N:N,0),0)
</f>
        <v>#N/A</v>
      </c>
      <c r="L237" s="4"/>
      <c r="M237" s="4"/>
      <c r="N237" s="21"/>
      <c r="O237" s="21"/>
      <c r="Z237" s="29"/>
    </row>
    <row r="238">
      <c r="B238" s="14"/>
      <c r="D238" s="14"/>
      <c r="G238" s="4" t="s">
        <v>3159</v>
      </c>
      <c r="H238" s="4" t="s">
        <v>542</v>
      </c>
      <c r="I238" s="4">
        <v>9884.0</v>
      </c>
      <c r="J238" t="str">
        <f t="array" ref="J238">INDEX('TJ List'!B:B,MATCH(I238,'TJ List'!N:N,0),0)
</f>
        <v>#N/A</v>
      </c>
      <c r="L238" s="4"/>
      <c r="M238" s="4"/>
      <c r="N238" s="21"/>
      <c r="O238" s="21"/>
      <c r="Z238" s="29"/>
    </row>
    <row r="239">
      <c r="B239" s="14"/>
      <c r="D239" s="14"/>
      <c r="G239" s="4" t="s">
        <v>3160</v>
      </c>
      <c r="H239" s="4" t="s">
        <v>542</v>
      </c>
      <c r="I239" s="4">
        <v>10962.0</v>
      </c>
      <c r="J239" t="str">
        <f t="array" ref="J239">INDEX('TJ List'!B:B,MATCH(I239,'TJ List'!N:N,0),0)
</f>
        <v>#N/A</v>
      </c>
      <c r="L239" s="4"/>
      <c r="M239" s="4"/>
      <c r="N239" s="21"/>
      <c r="O239" s="21"/>
      <c r="Z239" s="29"/>
    </row>
    <row r="240">
      <c r="B240" s="14"/>
      <c r="D240" s="14"/>
      <c r="G240" s="4" t="s">
        <v>3161</v>
      </c>
      <c r="H240" s="4" t="s">
        <v>542</v>
      </c>
      <c r="I240" s="4">
        <v>11720.0</v>
      </c>
      <c r="J240" t="str">
        <f t="array" ref="J240">INDEX('TJ List'!B:B,MATCH(I240,'TJ List'!N:N,0),0)
</f>
        <v>#N/A</v>
      </c>
      <c r="L240" s="4"/>
      <c r="M240" s="4"/>
      <c r="N240" s="21"/>
      <c r="O240" s="21"/>
      <c r="Z240" s="29"/>
    </row>
    <row r="241">
      <c r="B241" s="14"/>
      <c r="D241" s="14"/>
      <c r="G241" s="4" t="s">
        <v>3162</v>
      </c>
      <c r="H241" s="4" t="s">
        <v>542</v>
      </c>
      <c r="I241" s="4">
        <v>12049.0</v>
      </c>
      <c r="J241" t="str">
        <f t="array" ref="J241">INDEX('TJ List'!B:B,MATCH(I241,'TJ List'!N:N,0),0)
</f>
        <v>#N/A</v>
      </c>
      <c r="L241" s="4"/>
      <c r="M241" s="4"/>
      <c r="N241" s="21"/>
      <c r="O241" s="21"/>
      <c r="Z241" s="29"/>
    </row>
    <row r="242">
      <c r="B242" s="14"/>
      <c r="D242" s="14"/>
      <c r="G242" s="4" t="s">
        <v>3163</v>
      </c>
      <c r="H242" s="4" t="s">
        <v>542</v>
      </c>
      <c r="I242" s="4">
        <v>12361.0</v>
      </c>
      <c r="J242" t="str">
        <f t="array" ref="J242">INDEX('TJ List'!B:B,MATCH(I242,'TJ List'!N:N,0),0)
</f>
        <v>#N/A</v>
      </c>
      <c r="L242" s="4"/>
      <c r="M242" s="4"/>
      <c r="N242" s="21"/>
      <c r="O242" s="21"/>
      <c r="Z242" s="29"/>
    </row>
    <row r="243">
      <c r="B243" s="14"/>
      <c r="D243" s="14"/>
      <c r="G243" s="4" t="s">
        <v>3165</v>
      </c>
      <c r="H243" s="4" t="s">
        <v>542</v>
      </c>
      <c r="I243" s="4">
        <v>13403.0</v>
      </c>
      <c r="J243" t="str">
        <f t="array" ref="J243">INDEX('TJ List'!B:B,MATCH(I243,'TJ List'!N:N,0),0)
</f>
        <v>#N/A</v>
      </c>
      <c r="L243" s="4"/>
      <c r="M243" s="4"/>
      <c r="N243" s="21"/>
      <c r="O243" s="21"/>
      <c r="Z243" s="29"/>
    </row>
    <row r="244">
      <c r="B244" s="14"/>
      <c r="D244" s="14"/>
      <c r="G244" s="4" t="s">
        <v>3166</v>
      </c>
      <c r="H244" s="4" t="s">
        <v>542</v>
      </c>
      <c r="I244" s="4">
        <v>13607.0</v>
      </c>
      <c r="J244" t="str">
        <f t="array" ref="J244">INDEX('TJ List'!B:B,MATCH(I244,'TJ List'!N:N,0),0)
</f>
        <v>#N/A</v>
      </c>
      <c r="L244" s="4"/>
      <c r="M244" s="4"/>
      <c r="N244" s="21"/>
      <c r="O244" s="21"/>
      <c r="Z244" s="29"/>
    </row>
    <row r="245">
      <c r="B245" s="14"/>
      <c r="D245" s="14"/>
      <c r="G245" s="4" t="s">
        <v>3167</v>
      </c>
      <c r="H245" s="4" t="s">
        <v>542</v>
      </c>
      <c r="I245" s="4">
        <v>14411.0</v>
      </c>
      <c r="J245" t="str">
        <f t="array" ref="J245">INDEX('TJ List'!B:B,MATCH(I245,'TJ List'!N:N,0),0)
</f>
        <v>#N/A</v>
      </c>
      <c r="L245" s="4"/>
      <c r="M245" s="4"/>
      <c r="N245" s="21"/>
      <c r="O245" s="21"/>
      <c r="Z245" s="29"/>
    </row>
    <row r="246">
      <c r="B246" s="14"/>
      <c r="D246" s="14"/>
      <c r="G246" s="4" t="s">
        <v>3168</v>
      </c>
      <c r="H246" s="4" t="s">
        <v>542</v>
      </c>
      <c r="I246" s="4">
        <v>15094.0</v>
      </c>
      <c r="J246" t="str">
        <f t="array" ref="J246">INDEX('TJ List'!B:B,MATCH(I246,'TJ List'!N:N,0),0)
</f>
        <v>#N/A</v>
      </c>
      <c r="L246" s="4"/>
      <c r="M246" s="4"/>
      <c r="N246" s="21"/>
      <c r="O246" s="21"/>
      <c r="Z246" s="29"/>
    </row>
    <row r="247">
      <c r="B247" s="14"/>
      <c r="D247" s="14"/>
      <c r="G247" s="4" t="s">
        <v>468</v>
      </c>
      <c r="H247" s="4" t="s">
        <v>659</v>
      </c>
      <c r="I247" s="4">
        <v>12220.0</v>
      </c>
      <c r="J247" s="45">
        <f t="array" ref="J247">INDEX('TJ List'!B:B,MATCH(I247,'TJ List'!N:N,0),0)
</f>
        <v>39234</v>
      </c>
      <c r="L247" s="4"/>
      <c r="M247" s="4"/>
      <c r="N247" s="21"/>
      <c r="O247" s="21"/>
      <c r="Z247" s="29"/>
    </row>
    <row r="248">
      <c r="B248" s="14"/>
      <c r="D248" s="14"/>
      <c r="G248" s="4" t="s">
        <v>1798</v>
      </c>
      <c r="H248" s="4" t="s">
        <v>659</v>
      </c>
      <c r="I248" s="4">
        <v>12988.0</v>
      </c>
      <c r="J248" s="45">
        <f t="array" ref="J248">INDEX('TJ List'!B:B,MATCH(I248,'TJ List'!N:N,0),0)
</f>
        <v>40179</v>
      </c>
      <c r="L248" s="4"/>
      <c r="M248" s="4"/>
      <c r="N248" s="21"/>
      <c r="O248" s="21"/>
      <c r="Z248" s="29"/>
    </row>
    <row r="249">
      <c r="B249" s="14"/>
      <c r="D249" s="14"/>
      <c r="G249" s="4" t="s">
        <v>3169</v>
      </c>
      <c r="H249" s="4" t="s">
        <v>659</v>
      </c>
      <c r="I249" s="4">
        <v>3862.0</v>
      </c>
      <c r="J249" s="45">
        <f t="array" ref="J249">INDEX('TJ List'!B:B,MATCH(I249,'TJ List'!N:N,0),0)
</f>
        <v>40764</v>
      </c>
      <c r="L249" s="4"/>
      <c r="M249" s="4"/>
      <c r="N249" s="21"/>
      <c r="O249" s="21"/>
      <c r="Z249" s="29"/>
    </row>
    <row r="250">
      <c r="B250" s="14"/>
      <c r="D250" s="14"/>
      <c r="G250" s="4" t="s">
        <v>627</v>
      </c>
      <c r="H250" s="4" t="s">
        <v>659</v>
      </c>
      <c r="I250" s="4">
        <v>4359.0</v>
      </c>
      <c r="J250" s="45">
        <f t="array" ref="J250">INDEX('TJ List'!B:B,MATCH(I250,'TJ List'!N:N,0),0)
</f>
        <v>41079</v>
      </c>
      <c r="L250" s="4"/>
      <c r="M250" s="4"/>
      <c r="N250" s="21"/>
      <c r="O250" s="21"/>
      <c r="Z250" s="29"/>
    </row>
    <row r="251">
      <c r="B251" s="14"/>
      <c r="D251" s="14"/>
      <c r="G251" s="4" t="s">
        <v>360</v>
      </c>
      <c r="H251" s="4" t="s">
        <v>659</v>
      </c>
      <c r="I251" s="4">
        <v>7146.0</v>
      </c>
      <c r="J251" s="45">
        <f t="array" ref="J251">INDEX('TJ List'!B:B,MATCH(I251,'TJ List'!N:N,0),0)
</f>
        <v>41443</v>
      </c>
      <c r="L251" s="4"/>
      <c r="M251" s="4"/>
      <c r="N251" s="21"/>
      <c r="O251" s="21"/>
      <c r="Z251" s="29"/>
    </row>
    <row r="252">
      <c r="B252" s="14"/>
      <c r="D252" s="14"/>
      <c r="G252" s="4" t="s">
        <v>1110</v>
      </c>
      <c r="H252" s="4" t="s">
        <v>659</v>
      </c>
      <c r="I252" s="4">
        <v>9323.0</v>
      </c>
      <c r="J252" s="45">
        <f t="array" ref="J252">INDEX('TJ List'!B:B,MATCH(I252,'TJ List'!N:N,0),0)
</f>
        <v>41723</v>
      </c>
      <c r="L252" s="4"/>
      <c r="M252" s="4"/>
      <c r="N252" s="21"/>
      <c r="O252" s="21"/>
      <c r="Z252" s="29"/>
    </row>
    <row r="253">
      <c r="B253" s="14"/>
      <c r="D253" s="14"/>
      <c r="G253" s="4" t="s">
        <v>993</v>
      </c>
      <c r="H253" s="4" t="s">
        <v>659</v>
      </c>
      <c r="I253" s="4">
        <v>11681.0</v>
      </c>
      <c r="J253" s="45">
        <f t="array" ref="J253">INDEX('TJ List'!B:B,MATCH(I253,'TJ List'!N:N,0),0)
</f>
        <v>41754</v>
      </c>
      <c r="L253" s="4"/>
      <c r="M253" s="4"/>
      <c r="N253" s="21"/>
      <c r="O253" s="21"/>
      <c r="Z253" s="29"/>
    </row>
    <row r="254">
      <c r="B254" s="14"/>
      <c r="D254" s="14"/>
      <c r="G254" s="4" t="s">
        <v>3171</v>
      </c>
      <c r="H254" s="4" t="s">
        <v>659</v>
      </c>
      <c r="I254" s="4">
        <v>1943.0</v>
      </c>
      <c r="J254" t="str">
        <f t="array" ref="J254">INDEX('TJ List'!B:B,MATCH(I254,'TJ List'!N:N,0),0)
</f>
        <v>#N/A</v>
      </c>
      <c r="L254" s="4"/>
      <c r="M254" s="4"/>
      <c r="N254" s="21"/>
      <c r="O254" s="21"/>
      <c r="Z254" s="29"/>
    </row>
    <row r="255">
      <c r="B255" s="14"/>
      <c r="D255" s="14"/>
      <c r="G255" s="4" t="s">
        <v>3172</v>
      </c>
      <c r="H255" s="4" t="s">
        <v>659</v>
      </c>
      <c r="I255" s="4">
        <v>2134.0</v>
      </c>
      <c r="J255" t="str">
        <f t="array" ref="J255">INDEX('TJ List'!B:B,MATCH(I255,'TJ List'!N:N,0),0)
</f>
        <v>#N/A</v>
      </c>
      <c r="L255" s="4"/>
      <c r="M255" s="4"/>
      <c r="N255" s="21"/>
      <c r="O255" s="21"/>
      <c r="Z255" s="29"/>
    </row>
    <row r="256">
      <c r="B256" s="14"/>
      <c r="D256" s="14"/>
      <c r="G256" s="4" t="s">
        <v>3174</v>
      </c>
      <c r="H256" s="4" t="s">
        <v>659</v>
      </c>
      <c r="I256" s="4">
        <v>3832.0</v>
      </c>
      <c r="J256" t="str">
        <f t="array" ref="J256">INDEX('TJ List'!B:B,MATCH(I256,'TJ List'!N:N,0),0)
</f>
        <v>#N/A</v>
      </c>
      <c r="L256" s="4"/>
      <c r="M256" s="4"/>
      <c r="N256" s="21"/>
      <c r="O256" s="21"/>
      <c r="Z256" s="29"/>
    </row>
    <row r="257">
      <c r="B257" s="14"/>
      <c r="D257" s="14"/>
      <c r="G257" s="4" t="s">
        <v>3175</v>
      </c>
      <c r="H257" s="4" t="s">
        <v>659</v>
      </c>
      <c r="I257" s="4">
        <v>3895.0</v>
      </c>
      <c r="J257" t="str">
        <f t="array" ref="J257">INDEX('TJ List'!B:B,MATCH(I257,'TJ List'!N:N,0),0)
</f>
        <v>#N/A</v>
      </c>
      <c r="L257" s="4"/>
      <c r="M257" s="4"/>
      <c r="N257" s="21"/>
      <c r="O257" s="21"/>
      <c r="Z257" s="29"/>
    </row>
    <row r="258">
      <c r="B258" s="14"/>
      <c r="D258" s="14"/>
      <c r="G258" s="4" t="s">
        <v>3176</v>
      </c>
      <c r="H258" s="4" t="s">
        <v>659</v>
      </c>
      <c r="I258" s="4">
        <v>5985.0</v>
      </c>
      <c r="J258" t="str">
        <f t="array" ref="J258">INDEX('TJ List'!B:B,MATCH(I258,'TJ List'!N:N,0),0)
</f>
        <v>#N/A</v>
      </c>
      <c r="L258" s="4"/>
      <c r="M258" s="4"/>
      <c r="N258" s="21"/>
      <c r="O258" s="21"/>
      <c r="Z258" s="29"/>
    </row>
    <row r="259">
      <c r="B259" s="14"/>
      <c r="D259" s="14"/>
      <c r="G259" s="4" t="s">
        <v>3177</v>
      </c>
      <c r="H259" s="4" t="s">
        <v>659</v>
      </c>
      <c r="I259" s="4">
        <v>10197.0</v>
      </c>
      <c r="J259" t="str">
        <f t="array" ref="J259">INDEX('TJ List'!B:B,MATCH(I259,'TJ List'!N:N,0),0)
</f>
        <v>#N/A</v>
      </c>
      <c r="L259" s="4"/>
      <c r="M259" s="4"/>
      <c r="N259" s="21"/>
      <c r="O259" s="21"/>
      <c r="Z259" s="29"/>
    </row>
    <row r="260">
      <c r="B260" s="14"/>
      <c r="D260" s="14"/>
      <c r="G260" s="4" t="s">
        <v>3178</v>
      </c>
      <c r="H260" s="4" t="s">
        <v>659</v>
      </c>
      <c r="I260" s="4">
        <v>10337.0</v>
      </c>
      <c r="J260" t="str">
        <f t="array" ref="J260">INDEX('TJ List'!B:B,MATCH(I260,'TJ List'!N:N,0),0)
</f>
        <v>#N/A</v>
      </c>
      <c r="L260" s="4"/>
      <c r="M260" s="4"/>
      <c r="N260" s="21"/>
      <c r="O260" s="21"/>
      <c r="Z260" s="29"/>
    </row>
    <row r="261">
      <c r="B261" s="14"/>
      <c r="D261" s="14"/>
      <c r="G261" s="4" t="s">
        <v>3180</v>
      </c>
      <c r="H261" s="4" t="s">
        <v>659</v>
      </c>
      <c r="I261" s="4">
        <v>11486.0</v>
      </c>
      <c r="J261" t="str">
        <f t="array" ref="J261">INDEX('TJ List'!B:B,MATCH(I261,'TJ List'!N:N,0),0)
</f>
        <v>#N/A</v>
      </c>
      <c r="L261" s="4"/>
      <c r="M261" s="4"/>
      <c r="N261" s="21"/>
      <c r="O261" s="21"/>
      <c r="Z261" s="29"/>
    </row>
    <row r="262">
      <c r="B262" s="14"/>
      <c r="D262" s="14"/>
      <c r="G262" s="4" t="s">
        <v>3181</v>
      </c>
      <c r="H262" s="4" t="s">
        <v>659</v>
      </c>
      <c r="I262" s="4">
        <v>12297.0</v>
      </c>
      <c r="J262" t="str">
        <f t="array" ref="J262">INDEX('TJ List'!B:B,MATCH(I262,'TJ List'!N:N,0),0)
</f>
        <v>#N/A</v>
      </c>
      <c r="L262" s="4"/>
      <c r="M262" s="4"/>
      <c r="N262" s="21"/>
      <c r="O262" s="21"/>
      <c r="Z262" s="29"/>
    </row>
    <row r="263">
      <c r="B263" s="14"/>
      <c r="D263" s="14"/>
      <c r="G263" s="4" t="s">
        <v>3182</v>
      </c>
      <c r="H263" s="4" t="s">
        <v>659</v>
      </c>
      <c r="I263" s="4">
        <v>12918.0</v>
      </c>
      <c r="J263" t="str">
        <f t="array" ref="J263">INDEX('TJ List'!B:B,MATCH(I263,'TJ List'!N:N,0),0)
</f>
        <v>#N/A</v>
      </c>
      <c r="L263" s="4"/>
      <c r="M263" s="4"/>
      <c r="N263" s="21"/>
      <c r="O263" s="21"/>
      <c r="Z263" s="29"/>
    </row>
    <row r="264">
      <c r="B264" s="14"/>
      <c r="D264" s="14"/>
      <c r="G264" s="4" t="s">
        <v>3183</v>
      </c>
      <c r="H264" s="4" t="s">
        <v>659</v>
      </c>
      <c r="I264" s="4">
        <v>13322.0</v>
      </c>
      <c r="J264" t="str">
        <f t="array" ref="J264">INDEX('TJ List'!B:B,MATCH(I264,'TJ List'!N:N,0),0)
</f>
        <v>#N/A</v>
      </c>
      <c r="L264" s="4"/>
      <c r="M264" s="4"/>
      <c r="N264" s="21"/>
      <c r="O264" s="21"/>
      <c r="Z264" s="29"/>
    </row>
    <row r="265">
      <c r="B265" s="14"/>
      <c r="D265" s="14"/>
      <c r="G265" s="4" t="s">
        <v>3184</v>
      </c>
      <c r="H265" s="4" t="s">
        <v>659</v>
      </c>
      <c r="I265" s="4">
        <v>13420.0</v>
      </c>
      <c r="J265" t="str">
        <f t="array" ref="J265">INDEX('TJ List'!B:B,MATCH(I265,'TJ List'!N:N,0),0)
</f>
        <v>#N/A</v>
      </c>
      <c r="L265" s="4"/>
      <c r="M265" s="4"/>
      <c r="N265" s="21"/>
      <c r="O265" s="21"/>
      <c r="Z265" s="29"/>
    </row>
    <row r="266">
      <c r="B266" s="14"/>
      <c r="D266" s="14"/>
      <c r="G266" s="4" t="s">
        <v>3185</v>
      </c>
      <c r="H266" s="4" t="s">
        <v>659</v>
      </c>
      <c r="I266" s="4">
        <v>13763.0</v>
      </c>
      <c r="J266" t="str">
        <f t="array" ref="J266">INDEX('TJ List'!B:B,MATCH(I266,'TJ List'!N:N,0),0)
</f>
        <v>#N/A</v>
      </c>
      <c r="L266" s="4"/>
      <c r="M266" s="4"/>
      <c r="N266" s="21"/>
      <c r="O266" s="21"/>
      <c r="Z266" s="29"/>
    </row>
    <row r="267">
      <c r="B267" s="14"/>
      <c r="D267" s="14"/>
      <c r="G267" s="4" t="s">
        <v>3186</v>
      </c>
      <c r="H267" s="4" t="s">
        <v>659</v>
      </c>
      <c r="I267" s="4">
        <v>13796.0</v>
      </c>
      <c r="J267" t="str">
        <f t="array" ref="J267">INDEX('TJ List'!B:B,MATCH(I267,'TJ List'!N:N,0),0)
</f>
        <v>#N/A</v>
      </c>
      <c r="L267" s="4"/>
      <c r="M267" s="4"/>
      <c r="N267" s="21"/>
      <c r="O267" s="21"/>
      <c r="Z267" s="29"/>
    </row>
    <row r="268">
      <c r="B268" s="14"/>
      <c r="D268" s="14"/>
      <c r="G268" s="4" t="s">
        <v>3187</v>
      </c>
      <c r="H268" s="4" t="s">
        <v>659</v>
      </c>
      <c r="I268" s="4">
        <v>14862.0</v>
      </c>
      <c r="J268" t="str">
        <f t="array" ref="J268">INDEX('TJ List'!B:B,MATCH(I268,'TJ List'!N:N,0),0)
</f>
        <v>#N/A</v>
      </c>
      <c r="L268" s="4"/>
      <c r="M268" s="4"/>
      <c r="N268" s="21"/>
      <c r="O268" s="21"/>
      <c r="Z268" s="29"/>
    </row>
    <row r="269">
      <c r="B269" s="14"/>
      <c r="D269" s="14"/>
      <c r="G269" s="4" t="s">
        <v>3188</v>
      </c>
      <c r="H269" s="4" t="s">
        <v>659</v>
      </c>
      <c r="I269" s="4">
        <v>15051.0</v>
      </c>
      <c r="J269" t="str">
        <f t="array" ref="J269">INDEX('TJ List'!B:B,MATCH(I269,'TJ List'!N:N,0),0)
</f>
        <v>#N/A</v>
      </c>
      <c r="L269" s="4"/>
      <c r="M269" s="4"/>
      <c r="N269" s="21"/>
      <c r="O269" s="21"/>
      <c r="Z269" s="29"/>
    </row>
    <row r="270">
      <c r="B270" s="14"/>
      <c r="D270" s="14"/>
      <c r="G270" s="4" t="s">
        <v>3190</v>
      </c>
      <c r="H270" s="4" t="s">
        <v>659</v>
      </c>
      <c r="I270" s="4">
        <v>15158.0</v>
      </c>
      <c r="J270" t="str">
        <f t="array" ref="J270">INDEX('TJ List'!B:B,MATCH(I270,'TJ List'!N:N,0),0)
</f>
        <v>#N/A</v>
      </c>
      <c r="L270" s="4"/>
      <c r="M270" s="4"/>
      <c r="N270" s="21"/>
      <c r="O270" s="21"/>
      <c r="Z270" s="29"/>
    </row>
    <row r="271">
      <c r="B271" s="14"/>
      <c r="D271" s="14"/>
      <c r="G271" s="4" t="s">
        <v>3191</v>
      </c>
      <c r="H271" s="4" t="s">
        <v>659</v>
      </c>
      <c r="I271" s="4">
        <v>15293.0</v>
      </c>
      <c r="J271" t="str">
        <f t="array" ref="J271">INDEX('TJ List'!B:B,MATCH(I271,'TJ List'!N:N,0),0)
</f>
        <v>#N/A</v>
      </c>
      <c r="L271" s="4"/>
      <c r="M271" s="4"/>
      <c r="N271" s="21"/>
      <c r="O271" s="21"/>
      <c r="Z271" s="29"/>
    </row>
    <row r="272">
      <c r="B272" s="14"/>
      <c r="D272" s="14"/>
      <c r="G272" s="4" t="s">
        <v>3192</v>
      </c>
      <c r="H272" s="4" t="s">
        <v>659</v>
      </c>
      <c r="I272" s="4">
        <v>16684.0</v>
      </c>
      <c r="J272" t="str">
        <f t="array" ref="J272">INDEX('TJ List'!B:B,MATCH(I272,'TJ List'!N:N,0),0)
</f>
        <v>#N/A</v>
      </c>
      <c r="L272" s="4"/>
      <c r="M272" s="4"/>
      <c r="N272" s="21"/>
      <c r="O272" s="21"/>
      <c r="Z272" s="29"/>
    </row>
    <row r="273">
      <c r="B273" s="14"/>
      <c r="D273" s="14"/>
      <c r="G273" s="4" t="s">
        <v>3193</v>
      </c>
      <c r="H273" s="4" t="s">
        <v>575</v>
      </c>
      <c r="I273" s="4">
        <v>1776.0</v>
      </c>
      <c r="J273" s="45">
        <f t="array" ref="J273">INDEX('TJ List'!B:B,MATCH(I273,'TJ List'!N:N,0),0)
</f>
        <v>36892</v>
      </c>
      <c r="L273" s="4"/>
      <c r="M273" s="4"/>
      <c r="N273" s="21"/>
      <c r="O273" s="21"/>
      <c r="Z273" s="29"/>
    </row>
    <row r="274">
      <c r="B274" s="14"/>
      <c r="D274" s="14"/>
      <c r="G274" s="4" t="s">
        <v>1344</v>
      </c>
      <c r="H274" s="4" t="s">
        <v>575</v>
      </c>
      <c r="I274" s="4">
        <v>14444.0</v>
      </c>
      <c r="J274" s="45">
        <f t="array" ref="J274">INDEX('TJ List'!B:B,MATCH(I274,'TJ List'!N:N,0),0)
</f>
        <v>37987</v>
      </c>
      <c r="L274" s="4"/>
      <c r="M274" s="4"/>
      <c r="N274" s="21"/>
      <c r="O274" s="21"/>
      <c r="Z274" s="29"/>
    </row>
    <row r="275">
      <c r="B275" s="14"/>
      <c r="D275" s="14"/>
      <c r="G275" s="4" t="s">
        <v>1977</v>
      </c>
      <c r="H275" s="4" t="s">
        <v>575</v>
      </c>
      <c r="I275" s="4">
        <v>10637.0</v>
      </c>
      <c r="J275" s="45">
        <f t="array" ref="J275">INDEX('TJ List'!B:B,MATCH(I275,'TJ List'!N:N,0),0)
</f>
        <v>39814</v>
      </c>
      <c r="L275" s="4"/>
      <c r="M275" s="4"/>
      <c r="N275" s="21"/>
      <c r="O275" s="21"/>
      <c r="Z275" s="29"/>
    </row>
    <row r="276">
      <c r="B276" s="14"/>
      <c r="D276" s="14"/>
      <c r="G276" s="4" t="s">
        <v>1942</v>
      </c>
      <c r="H276" s="4" t="s">
        <v>575</v>
      </c>
      <c r="I276" s="4">
        <v>13781.0</v>
      </c>
      <c r="J276" s="45">
        <f t="array" ref="J276">INDEX('TJ List'!B:B,MATCH(I276,'TJ List'!N:N,0),0)
</f>
        <v>39814</v>
      </c>
      <c r="L276" s="4"/>
      <c r="M276" s="4"/>
      <c r="N276" s="21"/>
      <c r="O276" s="21"/>
      <c r="Z276" s="29"/>
    </row>
    <row r="277">
      <c r="B277" s="14"/>
      <c r="D277" s="14"/>
      <c r="G277" s="4" t="s">
        <v>515</v>
      </c>
      <c r="H277" s="4" t="s">
        <v>575</v>
      </c>
      <c r="I277" s="4">
        <v>4806.0</v>
      </c>
      <c r="J277" s="45">
        <f t="array" ref="J277">INDEX('TJ List'!B:B,MATCH(I277,'TJ List'!N:N,0),0)
</f>
        <v>40703</v>
      </c>
      <c r="L277" s="4"/>
      <c r="M277" s="4"/>
      <c r="N277" s="21"/>
      <c r="O277" s="21"/>
      <c r="Z277" s="29"/>
    </row>
    <row r="278">
      <c r="B278" s="14"/>
      <c r="D278" s="14"/>
      <c r="G278" s="4" t="s">
        <v>1613</v>
      </c>
      <c r="H278" s="4" t="s">
        <v>575</v>
      </c>
      <c r="I278" s="4">
        <v>8223.0</v>
      </c>
      <c r="J278" s="45">
        <f t="array" ref="J278">INDEX('TJ List'!B:B,MATCH(I278,'TJ List'!N:N,0),0)
</f>
        <v>40738</v>
      </c>
      <c r="L278" s="4"/>
      <c r="M278" s="4"/>
      <c r="N278" s="21"/>
      <c r="O278" s="21"/>
      <c r="Z278" s="29"/>
    </row>
    <row r="279">
      <c r="B279" s="14"/>
      <c r="D279" s="14"/>
      <c r="G279" s="4" t="s">
        <v>1068</v>
      </c>
      <c r="H279" s="4" t="s">
        <v>575</v>
      </c>
      <c r="I279" s="4">
        <v>13273.0</v>
      </c>
      <c r="J279" s="45">
        <f t="array" ref="J279">INDEX('TJ List'!B:B,MATCH(I279,'TJ List'!N:N,0),0)
</f>
        <v>41731</v>
      </c>
      <c r="L279" s="4"/>
      <c r="M279" s="4"/>
      <c r="N279" s="21"/>
      <c r="O279" s="21"/>
      <c r="Z279" s="29"/>
    </row>
    <row r="280">
      <c r="B280" s="14"/>
      <c r="D280" s="14"/>
      <c r="G280" s="4" t="s">
        <v>649</v>
      </c>
      <c r="H280" s="4" t="s">
        <v>575</v>
      </c>
      <c r="I280" s="4">
        <v>4662.0</v>
      </c>
      <c r="J280" s="45">
        <f t="array" ref="J280">INDEX('TJ List'!B:B,MATCH(I280,'TJ List'!N:N,0),0)
</f>
        <v>42124</v>
      </c>
      <c r="L280" s="4"/>
      <c r="M280" s="4"/>
      <c r="N280" s="21"/>
      <c r="O280" s="21"/>
      <c r="Z280" s="29"/>
    </row>
    <row r="281">
      <c r="B281" s="14"/>
      <c r="D281" s="14"/>
      <c r="G281" s="4" t="s">
        <v>3195</v>
      </c>
      <c r="H281" s="4" t="s">
        <v>575</v>
      </c>
      <c r="I281" s="4">
        <v>2036.0</v>
      </c>
      <c r="J281" t="str">
        <f t="array" ref="J281">INDEX('TJ List'!B:B,MATCH(I281,'TJ List'!N:N,0),0)
</f>
        <v>#N/A</v>
      </c>
      <c r="L281" s="4"/>
      <c r="M281" s="4"/>
      <c r="N281" s="21"/>
      <c r="O281" s="21"/>
      <c r="Z281" s="29"/>
    </row>
    <row r="282">
      <c r="B282" s="14"/>
      <c r="D282" s="14"/>
      <c r="G282" s="4" t="s">
        <v>3196</v>
      </c>
      <c r="H282" s="4" t="s">
        <v>575</v>
      </c>
      <c r="I282" s="4">
        <v>2882.0</v>
      </c>
      <c r="J282" t="str">
        <f t="array" ref="J282">INDEX('TJ List'!B:B,MATCH(I282,'TJ List'!N:N,0),0)
</f>
        <v>#N/A</v>
      </c>
      <c r="L282" s="4"/>
      <c r="M282" s="4"/>
      <c r="N282" s="21"/>
      <c r="O282" s="21"/>
      <c r="Z282" s="29"/>
    </row>
    <row r="283">
      <c r="B283" s="14"/>
      <c r="D283" s="14"/>
      <c r="G283" s="4" t="s">
        <v>3197</v>
      </c>
      <c r="H283" s="4" t="s">
        <v>575</v>
      </c>
      <c r="I283" s="4">
        <v>2951.0</v>
      </c>
      <c r="J283" t="str">
        <f t="array" ref="J283">INDEX('TJ List'!B:B,MATCH(I283,'TJ List'!N:N,0),0)
</f>
        <v>#N/A</v>
      </c>
      <c r="L283" s="4"/>
      <c r="M283" s="4"/>
      <c r="N283" s="21"/>
      <c r="O283" s="21"/>
      <c r="Z283" s="29"/>
    </row>
    <row r="284">
      <c r="B284" s="14"/>
      <c r="D284" s="14"/>
      <c r="G284" s="4" t="s">
        <v>3198</v>
      </c>
      <c r="H284" s="4" t="s">
        <v>575</v>
      </c>
      <c r="I284" s="4">
        <v>3096.0</v>
      </c>
      <c r="J284" t="str">
        <f t="array" ref="J284">INDEX('TJ List'!B:B,MATCH(I284,'TJ List'!N:N,0),0)
</f>
        <v>#N/A</v>
      </c>
      <c r="L284" s="4"/>
      <c r="M284" s="4"/>
      <c r="N284" s="21"/>
      <c r="O284" s="21"/>
      <c r="Z284" s="29"/>
    </row>
    <row r="285">
      <c r="B285" s="14"/>
      <c r="D285" s="14"/>
      <c r="G285" s="4" t="s">
        <v>1288</v>
      </c>
      <c r="H285" s="4" t="s">
        <v>575</v>
      </c>
      <c r="I285" s="4">
        <v>3299.0</v>
      </c>
      <c r="J285" t="str">
        <f t="array" ref="J285">INDEX('TJ List'!B:B,MATCH(I285,'TJ List'!N:N,0),0)
</f>
        <v>#N/A</v>
      </c>
      <c r="L285" s="4"/>
      <c r="M285" s="4"/>
      <c r="N285" s="21"/>
      <c r="O285" s="21"/>
      <c r="Z285" s="29"/>
    </row>
    <row r="286">
      <c r="B286" s="14"/>
      <c r="D286" s="14"/>
      <c r="G286" s="4" t="s">
        <v>1301</v>
      </c>
      <c r="H286" s="4" t="s">
        <v>575</v>
      </c>
      <c r="I286" s="4">
        <v>3547.0</v>
      </c>
      <c r="J286" t="str">
        <f t="array" ref="J286">INDEX('TJ List'!B:B,MATCH(I286,'TJ List'!N:N,0),0)
</f>
        <v>#N/A</v>
      </c>
      <c r="L286" s="4"/>
      <c r="M286" s="4"/>
      <c r="N286" s="21"/>
      <c r="O286" s="21"/>
      <c r="Z286" s="29"/>
    </row>
    <row r="287">
      <c r="B287" s="14"/>
      <c r="D287" s="14"/>
      <c r="G287" s="4" t="s">
        <v>3199</v>
      </c>
      <c r="H287" s="4" t="s">
        <v>575</v>
      </c>
      <c r="I287" s="4">
        <v>4849.0</v>
      </c>
      <c r="J287" t="str">
        <f t="array" ref="J287">INDEX('TJ List'!B:B,MATCH(I287,'TJ List'!N:N,0),0)
</f>
        <v>#N/A</v>
      </c>
      <c r="L287" s="4"/>
      <c r="M287" s="4"/>
      <c r="N287" s="21"/>
      <c r="O287" s="21"/>
      <c r="Z287" s="29"/>
    </row>
    <row r="288">
      <c r="B288" s="14"/>
      <c r="D288" s="14"/>
      <c r="G288" s="4" t="s">
        <v>3200</v>
      </c>
      <c r="H288" s="4" t="s">
        <v>575</v>
      </c>
      <c r="I288" s="4">
        <v>4897.0</v>
      </c>
      <c r="J288" t="str">
        <f t="array" ref="J288">INDEX('TJ List'!B:B,MATCH(I288,'TJ List'!N:N,0),0)
</f>
        <v>#N/A</v>
      </c>
      <c r="L288" s="4"/>
      <c r="M288" s="4"/>
      <c r="N288" s="21"/>
      <c r="O288" s="21"/>
      <c r="Z288" s="29"/>
    </row>
    <row r="289">
      <c r="B289" s="14"/>
      <c r="D289" s="14"/>
      <c r="G289" s="4" t="s">
        <v>3201</v>
      </c>
      <c r="H289" s="4" t="s">
        <v>575</v>
      </c>
      <c r="I289" s="4">
        <v>5420.0</v>
      </c>
      <c r="J289" t="str">
        <f t="array" ref="J289">INDEX('TJ List'!B:B,MATCH(I289,'TJ List'!N:N,0),0)
</f>
        <v>#N/A</v>
      </c>
      <c r="L289" s="4"/>
      <c r="M289" s="4"/>
      <c r="N289" s="21"/>
      <c r="O289" s="21"/>
      <c r="Z289" s="29"/>
    </row>
    <row r="290">
      <c r="B290" s="14"/>
      <c r="D290" s="14"/>
      <c r="G290" s="4" t="s">
        <v>3202</v>
      </c>
      <c r="H290" s="4" t="s">
        <v>575</v>
      </c>
      <c r="I290" s="4">
        <v>8245.0</v>
      </c>
      <c r="J290" t="str">
        <f t="array" ref="J290">INDEX('TJ List'!B:B,MATCH(I290,'TJ List'!N:N,0),0)
</f>
        <v>#N/A</v>
      </c>
      <c r="L290" s="4"/>
      <c r="M290" s="4"/>
      <c r="N290" s="21"/>
      <c r="O290" s="21"/>
      <c r="Z290" s="29"/>
    </row>
    <row r="291">
      <c r="B291" s="14"/>
      <c r="D291" s="14"/>
      <c r="G291" s="4" t="s">
        <v>3203</v>
      </c>
      <c r="H291" s="4" t="s">
        <v>575</v>
      </c>
      <c r="I291" s="4">
        <v>9720.0</v>
      </c>
      <c r="J291" t="str">
        <f t="array" ref="J291">INDEX('TJ List'!B:B,MATCH(I291,'TJ List'!N:N,0),0)
</f>
        <v>#N/A</v>
      </c>
      <c r="L291" s="4"/>
      <c r="M291" s="4"/>
      <c r="N291" s="21"/>
      <c r="O291" s="21"/>
      <c r="Z291" s="29"/>
    </row>
    <row r="292">
      <c r="B292" s="14"/>
      <c r="D292" s="14"/>
      <c r="G292" s="4" t="s">
        <v>3204</v>
      </c>
      <c r="H292" s="4" t="s">
        <v>575</v>
      </c>
      <c r="I292" s="4">
        <v>11137.0</v>
      </c>
      <c r="J292" t="str">
        <f t="array" ref="J292">INDEX('TJ List'!B:B,MATCH(I292,'TJ List'!N:N,0),0)
</f>
        <v>#N/A</v>
      </c>
      <c r="L292" s="4"/>
      <c r="M292" s="4"/>
      <c r="N292" s="21"/>
      <c r="O292" s="21"/>
      <c r="Z292" s="29"/>
    </row>
    <row r="293">
      <c r="B293" s="14"/>
      <c r="D293" s="14"/>
      <c r="G293" s="4" t="s">
        <v>3205</v>
      </c>
      <c r="H293" s="4" t="s">
        <v>575</v>
      </c>
      <c r="I293" s="4">
        <v>11203.0</v>
      </c>
      <c r="J293" t="str">
        <f t="array" ref="J293">INDEX('TJ List'!B:B,MATCH(I293,'TJ List'!N:N,0),0)
</f>
        <v>#N/A</v>
      </c>
      <c r="L293" s="4"/>
      <c r="M293" s="4"/>
      <c r="N293" s="21"/>
      <c r="O293" s="21"/>
      <c r="Z293" s="29"/>
    </row>
    <row r="294">
      <c r="B294" s="14"/>
      <c r="D294" s="14"/>
      <c r="G294" s="4" t="s">
        <v>3206</v>
      </c>
      <c r="H294" s="4" t="s">
        <v>575</v>
      </c>
      <c r="I294" s="4">
        <v>11716.0</v>
      </c>
      <c r="J294" t="str">
        <f t="array" ref="J294">INDEX('TJ List'!B:B,MATCH(I294,'TJ List'!N:N,0),0)
</f>
        <v>#N/A</v>
      </c>
      <c r="L294" s="4"/>
      <c r="M294" s="4"/>
      <c r="N294" s="21"/>
      <c r="O294" s="21"/>
      <c r="Z294" s="29"/>
    </row>
    <row r="295">
      <c r="B295" s="14"/>
      <c r="D295" s="14"/>
      <c r="G295" s="4" t="s">
        <v>80</v>
      </c>
      <c r="H295" s="4" t="s">
        <v>575</v>
      </c>
      <c r="I295" s="4">
        <v>12095.0</v>
      </c>
      <c r="J295" s="45">
        <f t="array" ref="J295">INDEX('TJ List'!B:B,MATCH(I295,'TJ List'!N:N,0),0)
</f>
        <v>42668</v>
      </c>
      <c r="L295" s="4"/>
      <c r="M295" s="4"/>
      <c r="N295" s="21"/>
      <c r="O295" s="21"/>
      <c r="Z295" s="29"/>
    </row>
    <row r="296">
      <c r="B296" s="14"/>
      <c r="D296" s="14"/>
      <c r="G296" s="4" t="s">
        <v>3207</v>
      </c>
      <c r="H296" s="4" t="s">
        <v>575</v>
      </c>
      <c r="I296" s="4">
        <v>14765.0</v>
      </c>
      <c r="J296" t="str">
        <f t="array" ref="J296">INDEX('TJ List'!B:B,MATCH(I296,'TJ List'!N:N,0),0)
</f>
        <v>#N/A</v>
      </c>
      <c r="L296" s="4"/>
      <c r="M296" s="4"/>
      <c r="N296" s="21"/>
      <c r="O296" s="21"/>
      <c r="Z296" s="29"/>
    </row>
    <row r="297">
      <c r="B297" s="14"/>
      <c r="D297" s="14"/>
      <c r="G297" s="4" t="s">
        <v>3208</v>
      </c>
      <c r="H297" s="4" t="s">
        <v>575</v>
      </c>
      <c r="I297" s="4">
        <v>15463.0</v>
      </c>
      <c r="J297" t="str">
        <f t="array" ref="J297">INDEX('TJ List'!B:B,MATCH(I297,'TJ List'!N:N,0),0)
</f>
        <v>#N/A</v>
      </c>
      <c r="L297" s="4"/>
      <c r="M297" s="4"/>
      <c r="N297" s="21"/>
      <c r="O297" s="21"/>
      <c r="Z297" s="29"/>
    </row>
    <row r="298">
      <c r="B298" s="14"/>
      <c r="D298" s="14"/>
      <c r="G298" s="4" t="s">
        <v>3209</v>
      </c>
      <c r="H298" s="4" t="s">
        <v>575</v>
      </c>
      <c r="I298" s="4">
        <v>16727.0</v>
      </c>
      <c r="J298" t="str">
        <f t="array" ref="J298">INDEX('TJ List'!B:B,MATCH(I298,'TJ List'!N:N,0),0)
</f>
        <v>#N/A</v>
      </c>
      <c r="L298" s="4"/>
      <c r="M298" s="4"/>
      <c r="N298" s="21"/>
      <c r="O298" s="21"/>
      <c r="Z298" s="29"/>
    </row>
    <row r="299">
      <c r="B299" s="14"/>
      <c r="D299" s="14"/>
      <c r="G299" s="4" t="s">
        <v>3210</v>
      </c>
      <c r="H299" s="4" t="s">
        <v>575</v>
      </c>
      <c r="I299" s="4">
        <v>18498.0</v>
      </c>
      <c r="J299" t="str">
        <f t="array" ref="J299">INDEX('TJ List'!B:B,MATCH(I299,'TJ List'!N:N,0),0)
</f>
        <v>#N/A</v>
      </c>
      <c r="L299" s="4"/>
      <c r="M299" s="4"/>
      <c r="N299" s="21"/>
      <c r="O299" s="21"/>
      <c r="Z299" s="29"/>
    </row>
    <row r="300">
      <c r="B300" s="14"/>
      <c r="D300" s="14"/>
      <c r="G300" s="4" t="s">
        <v>1976</v>
      </c>
      <c r="H300" s="4" t="s">
        <v>469</v>
      </c>
      <c r="I300" s="4">
        <v>6175.0</v>
      </c>
      <c r="J300" s="45">
        <f t="array" ref="J300">INDEX('TJ List'!B:B,MATCH(I300,'TJ List'!N:N,0),0)
</f>
        <v>39814</v>
      </c>
      <c r="L300" s="4"/>
      <c r="M300" s="4"/>
      <c r="N300" s="21"/>
      <c r="O300" s="21"/>
      <c r="Z300" s="29"/>
    </row>
    <row r="301">
      <c r="B301" s="14"/>
      <c r="D301" s="14"/>
      <c r="G301" s="4" t="s">
        <v>1875</v>
      </c>
      <c r="H301" s="4" t="s">
        <v>469</v>
      </c>
      <c r="I301" s="4">
        <v>9486.0</v>
      </c>
      <c r="J301" s="45">
        <f t="array" ref="J301">INDEX('TJ List'!B:B,MATCH(I301,'TJ List'!N:N,0),0)
</f>
        <v>40001</v>
      </c>
      <c r="L301" s="4"/>
      <c r="M301" s="4"/>
      <c r="N301" s="21"/>
      <c r="O301" s="21"/>
      <c r="Z301" s="29"/>
    </row>
    <row r="302">
      <c r="B302" s="14"/>
      <c r="D302" s="14"/>
      <c r="G302" s="4" t="s">
        <v>1838</v>
      </c>
      <c r="H302" s="4" t="s">
        <v>469</v>
      </c>
      <c r="I302" s="4">
        <v>11528.0</v>
      </c>
      <c r="J302" s="45">
        <f t="array" ref="J302">INDEX('TJ List'!B:B,MATCH(I302,'TJ List'!N:N,0),0)
</f>
        <v>40179</v>
      </c>
      <c r="L302" s="4"/>
      <c r="M302" s="4"/>
      <c r="N302" s="21"/>
      <c r="O302" s="21"/>
      <c r="Z302" s="29"/>
    </row>
    <row r="303">
      <c r="B303" s="14"/>
      <c r="D303" s="14"/>
      <c r="G303" s="4" t="s">
        <v>1287</v>
      </c>
      <c r="H303" s="4" t="s">
        <v>469</v>
      </c>
      <c r="I303" s="4">
        <v>7836.0</v>
      </c>
      <c r="J303" s="45">
        <f t="array" ref="J303">INDEX('TJ List'!B:B,MATCH(I303,'TJ List'!N:N,0),0)
</f>
        <v>41419</v>
      </c>
      <c r="L303" s="4"/>
      <c r="M303" s="4"/>
      <c r="N303" s="21"/>
      <c r="O303" s="21"/>
      <c r="Z303" s="29"/>
    </row>
    <row r="304">
      <c r="B304" s="14"/>
      <c r="D304" s="14"/>
      <c r="G304" s="4" t="s">
        <v>1208</v>
      </c>
      <c r="H304" s="4" t="s">
        <v>469</v>
      </c>
      <c r="I304" s="4">
        <v>8887.0</v>
      </c>
      <c r="J304" s="45">
        <f t="array" ref="J304">INDEX('TJ List'!B:B,MATCH(I304,'TJ List'!N:N,0),0)
</f>
        <v>41541</v>
      </c>
      <c r="L304" s="4"/>
      <c r="M304" s="4"/>
      <c r="N304" s="21"/>
      <c r="O304" s="21"/>
      <c r="Z304" s="29"/>
    </row>
    <row r="305">
      <c r="B305" s="14"/>
      <c r="D305" s="14"/>
      <c r="G305" s="4" t="s">
        <v>1010</v>
      </c>
      <c r="H305" s="4" t="s">
        <v>469</v>
      </c>
      <c r="I305" s="4">
        <v>7947.0</v>
      </c>
      <c r="J305" s="45">
        <f t="array" ref="J305">INDEX('TJ List'!B:B,MATCH(I305,'TJ List'!N:N,0),0)
</f>
        <v>41745</v>
      </c>
      <c r="L305" s="4"/>
      <c r="M305" s="4"/>
      <c r="N305" s="21"/>
      <c r="O305" s="21"/>
      <c r="Z305" s="29"/>
    </row>
    <row r="306">
      <c r="B306" s="14"/>
      <c r="D306" s="14"/>
      <c r="G306" s="4" t="s">
        <v>574</v>
      </c>
      <c r="H306" s="4" t="s">
        <v>469</v>
      </c>
      <c r="I306" s="4">
        <v>1890.0</v>
      </c>
      <c r="J306" s="45">
        <f t="array" ref="J306">INDEX('TJ List'!B:B,MATCH(I306,'TJ List'!N:N,0),0)
</f>
        <v>41751</v>
      </c>
      <c r="L306" s="4"/>
      <c r="M306" s="4"/>
      <c r="N306" s="21"/>
      <c r="O306" s="21"/>
      <c r="Z306" s="29"/>
    </row>
    <row r="307">
      <c r="B307" s="14"/>
      <c r="D307" s="14"/>
      <c r="G307" s="4" t="s">
        <v>890</v>
      </c>
      <c r="H307" s="4" t="s">
        <v>469</v>
      </c>
      <c r="I307" s="4">
        <v>13133.0</v>
      </c>
      <c r="J307" s="45">
        <f t="array" ref="J307">INDEX('TJ List'!B:B,MATCH(I307,'TJ List'!N:N,0),0)
</f>
        <v>41814</v>
      </c>
      <c r="L307" s="4"/>
      <c r="M307" s="4"/>
      <c r="N307" s="21"/>
      <c r="O307" s="21"/>
      <c r="Z307" s="29"/>
    </row>
    <row r="308">
      <c r="B308" s="14"/>
      <c r="D308" s="14"/>
      <c r="G308" s="4" t="s">
        <v>526</v>
      </c>
      <c r="H308" s="4" t="s">
        <v>469</v>
      </c>
      <c r="I308" s="4">
        <v>1122.0</v>
      </c>
      <c r="J308" s="45">
        <f t="array" ref="J308">INDEX('TJ List'!B:B,MATCH(I308,'TJ List'!N:N,0),0)
</f>
        <v>42123</v>
      </c>
      <c r="L308" s="4"/>
      <c r="M308" s="4"/>
      <c r="N308" s="21"/>
      <c r="O308" s="21"/>
      <c r="Z308" s="29"/>
    </row>
    <row r="309">
      <c r="B309" s="14"/>
      <c r="D309" s="14"/>
      <c r="G309" s="4" t="s">
        <v>3211</v>
      </c>
      <c r="H309" s="4" t="s">
        <v>469</v>
      </c>
      <c r="I309" s="4">
        <v>1051.0</v>
      </c>
      <c r="J309" t="str">
        <f t="array" ref="J309">INDEX('TJ List'!B:B,MATCH(I309,'TJ List'!N:N,0),0)
</f>
        <v>#N/A</v>
      </c>
      <c r="L309" s="4"/>
      <c r="M309" s="4"/>
      <c r="N309" s="21"/>
      <c r="O309" s="21"/>
      <c r="Z309" s="29"/>
    </row>
    <row r="310">
      <c r="B310" s="14"/>
      <c r="D310" s="14"/>
      <c r="G310" s="4" t="s">
        <v>3212</v>
      </c>
      <c r="H310" s="4" t="s">
        <v>469</v>
      </c>
      <c r="I310" s="4">
        <v>1663.0</v>
      </c>
      <c r="J310" t="str">
        <f t="array" ref="J310">INDEX('TJ List'!B:B,MATCH(I310,'TJ List'!N:N,0),0)
</f>
        <v>#N/A</v>
      </c>
      <c r="L310" s="4"/>
      <c r="M310" s="4"/>
      <c r="N310" s="21"/>
      <c r="O310" s="21"/>
      <c r="Z310" s="29"/>
    </row>
    <row r="311">
      <c r="B311" s="14"/>
      <c r="D311" s="14"/>
      <c r="G311" s="4" t="s">
        <v>3213</v>
      </c>
      <c r="H311" s="4" t="s">
        <v>469</v>
      </c>
      <c r="I311" s="4">
        <v>2873.0</v>
      </c>
      <c r="J311" t="str">
        <f t="array" ref="J311">INDEX('TJ List'!B:B,MATCH(I311,'TJ List'!N:N,0),0)
</f>
        <v>#N/A</v>
      </c>
      <c r="L311" s="4"/>
      <c r="M311" s="4"/>
      <c r="N311" s="21"/>
      <c r="O311" s="21"/>
      <c r="Z311" s="29"/>
    </row>
    <row r="312">
      <c r="B312" s="14"/>
      <c r="D312" s="14"/>
      <c r="G312" s="4" t="s">
        <v>3214</v>
      </c>
      <c r="H312" s="4" t="s">
        <v>469</v>
      </c>
      <c r="I312" s="4">
        <v>3254.0</v>
      </c>
      <c r="J312" t="str">
        <f t="array" ref="J312">INDEX('TJ List'!B:B,MATCH(I312,'TJ List'!N:N,0),0)
</f>
        <v>#N/A</v>
      </c>
      <c r="L312" s="4"/>
      <c r="M312" s="4"/>
      <c r="N312" s="21"/>
      <c r="O312" s="21"/>
      <c r="Z312" s="29"/>
    </row>
    <row r="313">
      <c r="B313" s="14"/>
      <c r="D313" s="14"/>
      <c r="G313" s="4" t="s">
        <v>3215</v>
      </c>
      <c r="H313" s="4" t="s">
        <v>469</v>
      </c>
      <c r="I313" s="4">
        <v>4732.0</v>
      </c>
      <c r="J313" t="str">
        <f t="array" ref="J313">INDEX('TJ List'!B:B,MATCH(I313,'TJ List'!N:N,0),0)
</f>
        <v>#N/A</v>
      </c>
      <c r="L313" s="4"/>
      <c r="M313" s="4"/>
      <c r="N313" s="21"/>
      <c r="O313" s="21"/>
      <c r="Z313" s="29"/>
    </row>
    <row r="314">
      <c r="B314" s="14"/>
      <c r="D314" s="14"/>
      <c r="G314" s="4" t="s">
        <v>3216</v>
      </c>
      <c r="H314" s="4" t="s">
        <v>469</v>
      </c>
      <c r="I314" s="4">
        <v>5231.0</v>
      </c>
      <c r="J314" t="str">
        <f t="array" ref="J314">INDEX('TJ List'!B:B,MATCH(I314,'TJ List'!N:N,0),0)
</f>
        <v>#N/A</v>
      </c>
      <c r="L314" s="4"/>
      <c r="M314" s="4"/>
      <c r="N314" s="21"/>
      <c r="O314" s="21"/>
      <c r="Z314" s="29"/>
    </row>
    <row r="315">
      <c r="B315" s="14"/>
      <c r="D315" s="14"/>
      <c r="G315" s="4" t="s">
        <v>3217</v>
      </c>
      <c r="H315" s="4" t="s">
        <v>469</v>
      </c>
      <c r="I315" s="4">
        <v>5524.0</v>
      </c>
      <c r="J315" t="str">
        <f t="array" ref="J315">INDEX('TJ List'!B:B,MATCH(I315,'TJ List'!N:N,0),0)
</f>
        <v>#N/A</v>
      </c>
      <c r="L315" s="4"/>
      <c r="M315" s="4"/>
      <c r="N315" s="21"/>
      <c r="O315" s="21"/>
      <c r="Z315" s="29"/>
    </row>
    <row r="316">
      <c r="B316" s="14"/>
      <c r="D316" s="14"/>
      <c r="G316" s="4" t="s">
        <v>3218</v>
      </c>
      <c r="H316" s="4" t="s">
        <v>469</v>
      </c>
      <c r="I316" s="4">
        <v>6893.0</v>
      </c>
      <c r="J316" t="str">
        <f t="array" ref="J316">INDEX('TJ List'!B:B,MATCH(I316,'TJ List'!N:N,0),0)
</f>
        <v>#N/A</v>
      </c>
      <c r="L316" s="4"/>
      <c r="M316" s="4"/>
      <c r="N316" s="21"/>
      <c r="O316" s="21"/>
      <c r="Z316" s="29"/>
    </row>
    <row r="317">
      <c r="B317" s="14"/>
      <c r="D317" s="14"/>
      <c r="G317" s="4" t="s">
        <v>3219</v>
      </c>
      <c r="H317" s="4" t="s">
        <v>469</v>
      </c>
      <c r="I317" s="4">
        <v>9817.0</v>
      </c>
      <c r="J317" t="str">
        <f t="array" ref="J317">INDEX('TJ List'!B:B,MATCH(I317,'TJ List'!N:N,0),0)
</f>
        <v>#N/A</v>
      </c>
      <c r="L317" s="4"/>
      <c r="M317" s="4"/>
      <c r="N317" s="21"/>
      <c r="O317" s="21"/>
      <c r="Z317" s="29"/>
    </row>
    <row r="318">
      <c r="B318" s="14"/>
      <c r="D318" s="14"/>
      <c r="G318" s="4" t="s">
        <v>3220</v>
      </c>
      <c r="H318" s="4" t="s">
        <v>469</v>
      </c>
      <c r="I318" s="4">
        <v>9894.0</v>
      </c>
      <c r="J318" t="str">
        <f t="array" ref="J318">INDEX('TJ List'!B:B,MATCH(I318,'TJ List'!N:N,0),0)
</f>
        <v>#N/A</v>
      </c>
      <c r="L318" s="4"/>
      <c r="M318" s="4"/>
      <c r="N318" s="21"/>
      <c r="O318" s="21"/>
      <c r="Z318" s="29"/>
    </row>
    <row r="319">
      <c r="B319" s="14"/>
      <c r="D319" s="14"/>
      <c r="G319" s="4" t="s">
        <v>1408</v>
      </c>
      <c r="H319" s="4" t="s">
        <v>469</v>
      </c>
      <c r="I319" s="4">
        <v>10302.0</v>
      </c>
      <c r="J319" t="str">
        <f t="array" ref="J319">INDEX('TJ List'!B:B,MATCH(I319,'TJ List'!N:N,0),0)
</f>
        <v>#N/A</v>
      </c>
      <c r="L319" s="4"/>
      <c r="M319" s="4"/>
      <c r="N319" s="21"/>
      <c r="O319" s="21"/>
      <c r="Z319" s="29"/>
    </row>
    <row r="320">
      <c r="B320" s="14"/>
      <c r="D320" s="14"/>
      <c r="G320" s="4" t="s">
        <v>3221</v>
      </c>
      <c r="H320" s="4" t="s">
        <v>469</v>
      </c>
      <c r="I320" s="4">
        <v>13580.0</v>
      </c>
      <c r="J320" t="str">
        <f t="array" ref="J320">INDEX('TJ List'!B:B,MATCH(I320,'TJ List'!N:N,0),0)
</f>
        <v>#N/A</v>
      </c>
      <c r="L320" s="4"/>
      <c r="M320" s="4"/>
      <c r="N320" s="21"/>
      <c r="O320" s="21"/>
      <c r="Z320" s="29"/>
    </row>
    <row r="321">
      <c r="B321" s="14"/>
      <c r="D321" s="14"/>
      <c r="G321" s="4" t="s">
        <v>3222</v>
      </c>
      <c r="H321" s="4" t="s">
        <v>469</v>
      </c>
      <c r="I321" s="4">
        <v>13761.0</v>
      </c>
      <c r="J321" t="str">
        <f t="array" ref="J321">INDEX('TJ List'!B:B,MATCH(I321,'TJ List'!N:N,0),0)
</f>
        <v>#N/A</v>
      </c>
      <c r="L321" s="4"/>
      <c r="M321" s="4"/>
      <c r="N321" s="21"/>
      <c r="O321" s="21"/>
      <c r="Z321" s="29"/>
    </row>
    <row r="322">
      <c r="B322" s="14"/>
      <c r="D322" s="14"/>
      <c r="G322" s="4" t="s">
        <v>3223</v>
      </c>
      <c r="H322" s="4" t="s">
        <v>469</v>
      </c>
      <c r="I322" s="4">
        <v>14361.0</v>
      </c>
      <c r="J322" t="str">
        <f t="array" ref="J322">INDEX('TJ List'!B:B,MATCH(I322,'TJ List'!N:N,0),0)
</f>
        <v>#N/A</v>
      </c>
      <c r="L322" s="4"/>
      <c r="M322" s="4"/>
      <c r="N322" s="21"/>
      <c r="O322" s="21"/>
      <c r="Z322" s="29"/>
    </row>
    <row r="323">
      <c r="B323" s="14"/>
      <c r="D323" s="14"/>
      <c r="G323" s="4" t="s">
        <v>2370</v>
      </c>
      <c r="H323" s="4" t="s">
        <v>485</v>
      </c>
      <c r="I323" s="4">
        <v>6865.0</v>
      </c>
      <c r="J323" s="45">
        <f t="array" ref="J323">INDEX('TJ List'!B:B,MATCH(I323,'TJ List'!N:N,0),0)
</f>
        <v>37987</v>
      </c>
      <c r="L323" s="4"/>
      <c r="M323" s="4"/>
      <c r="N323" s="21"/>
      <c r="O323" s="21"/>
      <c r="Z323" s="29"/>
    </row>
    <row r="324">
      <c r="B324" s="14"/>
      <c r="D324" s="14"/>
      <c r="G324" s="4" t="s">
        <v>2044</v>
      </c>
      <c r="H324" s="4" t="s">
        <v>485</v>
      </c>
      <c r="I324" s="4">
        <v>12183.0</v>
      </c>
      <c r="J324" s="45">
        <f t="array" ref="J324">INDEX('TJ List'!B:B,MATCH(I324,'TJ List'!N:N,0),0)
</f>
        <v>39448</v>
      </c>
      <c r="L324" s="4"/>
      <c r="M324" s="4"/>
      <c r="N324" s="21"/>
      <c r="O324" s="21"/>
      <c r="Z324" s="29"/>
    </row>
    <row r="325">
      <c r="B325" s="14"/>
      <c r="D325" s="14"/>
      <c r="G325" s="4" t="s">
        <v>1972</v>
      </c>
      <c r="H325" s="4" t="s">
        <v>485</v>
      </c>
      <c r="I325" s="4">
        <v>7385.0</v>
      </c>
      <c r="J325" s="45">
        <f t="array" ref="J325">INDEX('TJ List'!B:B,MATCH(I325,'TJ List'!N:N,0),0)
</f>
        <v>39814</v>
      </c>
      <c r="L325" s="4"/>
      <c r="M325" s="4"/>
      <c r="N325" s="21"/>
      <c r="O325" s="21"/>
      <c r="Z325" s="29"/>
    </row>
    <row r="326">
      <c r="B326" s="14"/>
      <c r="D326" s="14"/>
      <c r="G326" s="4" t="s">
        <v>1805</v>
      </c>
      <c r="H326" s="4" t="s">
        <v>485</v>
      </c>
      <c r="I326" s="4">
        <v>4920.0</v>
      </c>
      <c r="J326" s="45">
        <f t="array" ref="J326">INDEX('TJ List'!B:B,MATCH(I326,'TJ List'!N:N,0),0)
</f>
        <v>40179</v>
      </c>
      <c r="L326" s="4"/>
      <c r="M326" s="4"/>
      <c r="N326" s="21"/>
      <c r="O326" s="21"/>
      <c r="Z326" s="29"/>
    </row>
    <row r="327">
      <c r="B327" s="14"/>
      <c r="D327" s="14"/>
      <c r="G327" s="4" t="s">
        <v>1735</v>
      </c>
      <c r="H327" s="4" t="s">
        <v>485</v>
      </c>
      <c r="I327" s="4">
        <v>5867.0</v>
      </c>
      <c r="J327" s="45">
        <f t="array" ref="J327">INDEX('TJ List'!B:B,MATCH(I327,'TJ List'!N:N,0),0)
</f>
        <v>40391</v>
      </c>
      <c r="L327" s="4"/>
      <c r="M327" s="4"/>
      <c r="N327" s="21"/>
      <c r="O327" s="21"/>
      <c r="Z327" s="29"/>
    </row>
    <row r="328">
      <c r="B328" s="14"/>
      <c r="D328" s="14"/>
      <c r="G328" s="4" t="s">
        <v>1619</v>
      </c>
      <c r="H328" s="4" t="s">
        <v>485</v>
      </c>
      <c r="I328" s="4">
        <v>2692.0</v>
      </c>
      <c r="J328" s="45">
        <f t="array" ref="J328">INDEX('TJ List'!B:B,MATCH(I328,'TJ List'!N:N,0),0)
</f>
        <v>40710</v>
      </c>
      <c r="L328" s="4"/>
      <c r="M328" s="4"/>
      <c r="N328" s="21"/>
      <c r="O328" s="21"/>
      <c r="Z328" s="29"/>
    </row>
    <row r="329">
      <c r="B329" s="14"/>
      <c r="D329" s="14"/>
      <c r="G329" s="4" t="s">
        <v>1425</v>
      </c>
      <c r="H329" s="4" t="s">
        <v>485</v>
      </c>
      <c r="I329" s="4">
        <v>6632.0</v>
      </c>
      <c r="J329" s="45">
        <f t="array" ref="J329">INDEX('TJ List'!B:B,MATCH(I329,'TJ List'!N:N,0),0)
</f>
        <v>40800</v>
      </c>
      <c r="L329" s="4"/>
      <c r="M329" s="4"/>
      <c r="N329" s="21"/>
      <c r="O329" s="21"/>
      <c r="Z329" s="29"/>
    </row>
    <row r="330">
      <c r="B330" s="14"/>
      <c r="D330" s="14"/>
      <c r="G330" s="4" t="s">
        <v>3224</v>
      </c>
      <c r="H330" s="4" t="s">
        <v>485</v>
      </c>
      <c r="I330" s="4">
        <v>12808.0</v>
      </c>
      <c r="J330" s="45">
        <f t="array" ref="J330">INDEX('TJ List'!B:B,MATCH(I330,'TJ List'!N:N,0),0)
</f>
        <v>41122</v>
      </c>
      <c r="L330" s="4"/>
      <c r="M330" s="4"/>
      <c r="N330" s="21"/>
      <c r="O330" s="21"/>
      <c r="Z330" s="29"/>
    </row>
    <row r="331">
      <c r="B331" s="14"/>
      <c r="D331" s="14"/>
      <c r="G331" s="4" t="s">
        <v>1430</v>
      </c>
      <c r="H331" s="4" t="s">
        <v>485</v>
      </c>
      <c r="I331" s="4">
        <v>9388.0</v>
      </c>
      <c r="J331" s="45">
        <f t="array" ref="J331">INDEX('TJ List'!B:B,MATCH(I331,'TJ List'!N:N,0),0)
</f>
        <v>41143</v>
      </c>
      <c r="L331" s="4"/>
      <c r="M331" s="4"/>
      <c r="N331" s="21"/>
      <c r="O331" s="21"/>
      <c r="Z331" s="29"/>
    </row>
    <row r="332">
      <c r="B332" s="14"/>
      <c r="D332" s="14"/>
      <c r="G332" s="4" t="s">
        <v>3225</v>
      </c>
      <c r="H332" s="4" t="s">
        <v>485</v>
      </c>
      <c r="I332" s="4">
        <v>2429.0</v>
      </c>
      <c r="J332" t="str">
        <f t="array" ref="J332">INDEX('TJ List'!B:B,MATCH(I332,'TJ List'!N:N,0),0)
</f>
        <v>#N/A</v>
      </c>
      <c r="L332" s="4"/>
      <c r="M332" s="4"/>
      <c r="N332" s="21"/>
      <c r="O332" s="21"/>
      <c r="Z332" s="29"/>
    </row>
    <row r="333">
      <c r="B333" s="14"/>
      <c r="D333" s="14"/>
      <c r="G333" s="4" t="s">
        <v>3226</v>
      </c>
      <c r="H333" s="4" t="s">
        <v>485</v>
      </c>
      <c r="I333" s="4">
        <v>2895.0</v>
      </c>
      <c r="J333" t="str">
        <f t="array" ref="J333">INDEX('TJ List'!B:B,MATCH(I333,'TJ List'!N:N,0),0)
</f>
        <v>#N/A</v>
      </c>
      <c r="L333" s="4"/>
      <c r="M333" s="4"/>
      <c r="N333" s="21"/>
      <c r="O333" s="21"/>
      <c r="Z333" s="29"/>
    </row>
    <row r="334">
      <c r="B334" s="14"/>
      <c r="D334" s="14"/>
      <c r="G334" s="4" t="s">
        <v>3227</v>
      </c>
      <c r="H334" s="4" t="s">
        <v>485</v>
      </c>
      <c r="I334" s="4">
        <v>6244.0</v>
      </c>
      <c r="J334" t="str">
        <f t="array" ref="J334">INDEX('TJ List'!B:B,MATCH(I334,'TJ List'!N:N,0),0)
</f>
        <v>#N/A</v>
      </c>
      <c r="L334" s="4"/>
      <c r="M334" s="4"/>
      <c r="N334" s="21"/>
      <c r="O334" s="21"/>
      <c r="Z334" s="29"/>
    </row>
    <row r="335">
      <c r="B335" s="14"/>
      <c r="D335" s="14"/>
      <c r="G335" s="4" t="s">
        <v>514</v>
      </c>
      <c r="H335" s="4" t="s">
        <v>485</v>
      </c>
      <c r="I335" s="4">
        <v>7324.0</v>
      </c>
      <c r="J335" t="str">
        <f t="array" ref="J335">INDEX('TJ List'!B:B,MATCH(I335,'TJ List'!N:N,0),0)
</f>
        <v>#N/A</v>
      </c>
      <c r="L335" s="4"/>
      <c r="M335" s="4"/>
      <c r="N335" s="21"/>
      <c r="O335" s="21"/>
      <c r="Z335" s="29"/>
    </row>
    <row r="336">
      <c r="B336" s="14"/>
      <c r="D336" s="14"/>
      <c r="G336" s="4" t="s">
        <v>3228</v>
      </c>
      <c r="H336" s="4" t="s">
        <v>485</v>
      </c>
      <c r="I336" s="4">
        <v>7411.0</v>
      </c>
      <c r="J336" t="str">
        <f t="array" ref="J336">INDEX('TJ List'!B:B,MATCH(I336,'TJ List'!N:N,0),0)
</f>
        <v>#N/A</v>
      </c>
      <c r="L336" s="4"/>
      <c r="M336" s="4"/>
      <c r="N336" s="21"/>
      <c r="O336" s="21"/>
      <c r="Z336" s="29"/>
    </row>
    <row r="337">
      <c r="B337" s="14"/>
      <c r="D337" s="14"/>
      <c r="G337" s="4" t="s">
        <v>3229</v>
      </c>
      <c r="H337" s="4" t="s">
        <v>485</v>
      </c>
      <c r="I337" s="4">
        <v>8110.0</v>
      </c>
      <c r="J337" t="str">
        <f t="array" ref="J337">INDEX('TJ List'!B:B,MATCH(I337,'TJ List'!N:N,0),0)
</f>
        <v>#N/A</v>
      </c>
      <c r="L337" s="4"/>
      <c r="M337" s="4"/>
      <c r="N337" s="21"/>
      <c r="O337" s="21"/>
      <c r="Z337" s="29"/>
    </row>
    <row r="338">
      <c r="B338" s="14"/>
      <c r="D338" s="14"/>
      <c r="G338" s="4" t="s">
        <v>3230</v>
      </c>
      <c r="H338" s="4" t="s">
        <v>485</v>
      </c>
      <c r="I338" s="4">
        <v>9121.0</v>
      </c>
      <c r="J338" t="str">
        <f t="array" ref="J338">INDEX('TJ List'!B:B,MATCH(I338,'TJ List'!N:N,0),0)
</f>
        <v>#N/A</v>
      </c>
      <c r="L338" s="4"/>
      <c r="M338" s="4"/>
      <c r="N338" s="21"/>
      <c r="O338" s="21"/>
      <c r="Z338" s="29"/>
    </row>
    <row r="339">
      <c r="B339" s="14"/>
      <c r="D339" s="14"/>
      <c r="G339" s="4" t="s">
        <v>3231</v>
      </c>
      <c r="H339" s="4" t="s">
        <v>485</v>
      </c>
      <c r="I339" s="4">
        <v>10887.0</v>
      </c>
      <c r="J339" t="str">
        <f t="array" ref="J339">INDEX('TJ List'!B:B,MATCH(I339,'TJ List'!N:N,0),0)
</f>
        <v>#N/A</v>
      </c>
      <c r="L339" s="4"/>
      <c r="M339" s="4"/>
      <c r="N339" s="21"/>
      <c r="O339" s="21"/>
      <c r="Z339" s="29"/>
    </row>
    <row r="340">
      <c r="B340" s="14"/>
      <c r="D340" s="14"/>
      <c r="G340" s="4" t="s">
        <v>3232</v>
      </c>
      <c r="H340" s="4" t="s">
        <v>485</v>
      </c>
      <c r="I340" s="4">
        <v>12703.0</v>
      </c>
      <c r="J340" t="str">
        <f t="array" ref="J340">INDEX('TJ List'!B:B,MATCH(I340,'TJ List'!N:N,0),0)
</f>
        <v>#N/A</v>
      </c>
      <c r="L340" s="4"/>
      <c r="M340" s="4"/>
      <c r="N340" s="21"/>
      <c r="O340" s="21"/>
      <c r="Z340" s="29"/>
    </row>
    <row r="341">
      <c r="B341" s="14"/>
      <c r="D341" s="14"/>
      <c r="G341" s="4" t="s">
        <v>3233</v>
      </c>
      <c r="H341" s="4" t="s">
        <v>485</v>
      </c>
      <c r="I341" s="4">
        <v>12799.0</v>
      </c>
      <c r="J341" t="str">
        <f t="array" ref="J341">INDEX('TJ List'!B:B,MATCH(I341,'TJ List'!N:N,0),0)
</f>
        <v>#N/A</v>
      </c>
      <c r="L341" s="4"/>
      <c r="M341" s="4"/>
      <c r="N341" s="21"/>
      <c r="O341" s="21"/>
      <c r="Z341" s="29"/>
    </row>
    <row r="342">
      <c r="B342" s="14"/>
      <c r="D342" s="14"/>
      <c r="G342" s="4" t="s">
        <v>3234</v>
      </c>
      <c r="H342" s="4" t="s">
        <v>485</v>
      </c>
      <c r="I342" s="4">
        <v>12857.0</v>
      </c>
      <c r="J342" t="str">
        <f t="array" ref="J342">INDEX('TJ List'!B:B,MATCH(I342,'TJ List'!N:N,0),0)
</f>
        <v>#N/A</v>
      </c>
      <c r="L342" s="4"/>
      <c r="M342" s="4"/>
      <c r="N342" s="21"/>
      <c r="O342" s="21"/>
      <c r="Z342" s="29"/>
    </row>
    <row r="343">
      <c r="B343" s="14"/>
      <c r="D343" s="14"/>
      <c r="G343" s="4" t="s">
        <v>3235</v>
      </c>
      <c r="H343" s="4" t="s">
        <v>485</v>
      </c>
      <c r="I343" s="4">
        <v>13606.0</v>
      </c>
      <c r="J343" t="str">
        <f t="array" ref="J343">INDEX('TJ List'!B:B,MATCH(I343,'TJ List'!N:N,0),0)
</f>
        <v>#N/A</v>
      </c>
      <c r="L343" s="4"/>
      <c r="M343" s="4"/>
      <c r="N343" s="21"/>
      <c r="O343" s="21"/>
      <c r="Z343" s="29"/>
    </row>
    <row r="344">
      <c r="B344" s="14"/>
      <c r="D344" s="14"/>
      <c r="G344" s="4" t="s">
        <v>3236</v>
      </c>
      <c r="H344" s="4" t="s">
        <v>485</v>
      </c>
      <c r="I344" s="4">
        <v>13688.0</v>
      </c>
      <c r="J344" t="str">
        <f t="array" ref="J344">INDEX('TJ List'!B:B,MATCH(I344,'TJ List'!N:N,0),0)
</f>
        <v>#N/A</v>
      </c>
      <c r="L344" s="4"/>
      <c r="M344" s="4"/>
      <c r="N344" s="21"/>
      <c r="O344" s="21"/>
      <c r="Z344" s="29"/>
    </row>
    <row r="345">
      <c r="B345" s="14"/>
      <c r="D345" s="14"/>
      <c r="G345" s="4" t="s">
        <v>3237</v>
      </c>
      <c r="H345" s="4" t="s">
        <v>485</v>
      </c>
      <c r="I345" s="4">
        <v>15033.0</v>
      </c>
      <c r="J345" t="str">
        <f t="array" ref="J345">INDEX('TJ List'!B:B,MATCH(I345,'TJ List'!N:N,0),0)
</f>
        <v>#N/A</v>
      </c>
      <c r="L345" s="4"/>
      <c r="M345" s="4"/>
      <c r="N345" s="21"/>
      <c r="O345" s="21"/>
      <c r="Z345" s="29"/>
    </row>
    <row r="346">
      <c r="B346" s="14"/>
      <c r="D346" s="14"/>
      <c r="G346" s="4" t="s">
        <v>3238</v>
      </c>
      <c r="H346" s="4" t="s">
        <v>485</v>
      </c>
      <c r="I346" s="4">
        <v>15846.0</v>
      </c>
      <c r="J346" t="str">
        <f t="array" ref="J346">INDEX('TJ List'!B:B,MATCH(I346,'TJ List'!N:N,0),0)
</f>
        <v>#N/A</v>
      </c>
      <c r="L346" s="4"/>
      <c r="M346" s="4"/>
      <c r="N346" s="21"/>
      <c r="O346" s="21"/>
      <c r="Z346" s="29"/>
    </row>
    <row r="347">
      <c r="B347" s="14"/>
      <c r="D347" s="14"/>
      <c r="G347" s="4" t="s">
        <v>1488</v>
      </c>
      <c r="H347" s="4" t="s">
        <v>791</v>
      </c>
      <c r="I347" s="4">
        <v>13339.0</v>
      </c>
      <c r="J347" s="45">
        <f t="array" ref="J347">INDEX('TJ List'!B:B,MATCH(I347,'TJ List'!N:N,0),0)
</f>
        <v>40023</v>
      </c>
      <c r="L347" s="4"/>
      <c r="M347" s="4"/>
      <c r="N347" s="21"/>
      <c r="O347" s="21"/>
      <c r="Z347" s="29"/>
    </row>
    <row r="348">
      <c r="B348" s="14"/>
      <c r="D348" s="14"/>
      <c r="G348" s="4" t="s">
        <v>484</v>
      </c>
      <c r="H348" s="4" t="s">
        <v>791</v>
      </c>
      <c r="I348" s="4">
        <v>8992.0</v>
      </c>
      <c r="J348" s="45">
        <f t="array" ref="J348">INDEX('TJ List'!B:B,MATCH(I348,'TJ List'!N:N,0),0)
</f>
        <v>40544</v>
      </c>
      <c r="L348" s="4"/>
      <c r="M348" s="4"/>
      <c r="N348" s="21"/>
      <c r="O348" s="21"/>
      <c r="Z348" s="29"/>
    </row>
    <row r="349">
      <c r="B349" s="14"/>
      <c r="D349" s="14"/>
      <c r="G349" s="4" t="s">
        <v>1442</v>
      </c>
      <c r="H349" s="4" t="s">
        <v>791</v>
      </c>
      <c r="I349" s="4">
        <v>6109.0</v>
      </c>
      <c r="J349" s="45">
        <f t="array" ref="J349">INDEX('TJ List'!B:B,MATCH(I349,'TJ List'!N:N,0),0)
</f>
        <v>41117</v>
      </c>
      <c r="L349" s="4"/>
      <c r="M349" s="4"/>
      <c r="N349" s="21"/>
      <c r="O349" s="21"/>
      <c r="Z349" s="29"/>
    </row>
    <row r="350">
      <c r="B350" s="14"/>
      <c r="D350" s="14"/>
      <c r="G350" s="4" t="s">
        <v>3239</v>
      </c>
      <c r="H350" s="4" t="s">
        <v>791</v>
      </c>
      <c r="I350" s="4">
        <v>4053.0</v>
      </c>
      <c r="J350" t="str">
        <f t="array" ref="J350">INDEX('TJ List'!B:B,MATCH(I350,'TJ List'!N:N,0),0)
</f>
        <v>#N/A</v>
      </c>
      <c r="L350" s="4"/>
      <c r="M350" s="4"/>
      <c r="N350" s="21"/>
      <c r="O350" s="21"/>
      <c r="Z350" s="29"/>
    </row>
    <row r="351">
      <c r="B351" s="14"/>
      <c r="D351" s="14"/>
      <c r="G351" s="4" t="s">
        <v>3240</v>
      </c>
      <c r="H351" s="4" t="s">
        <v>791</v>
      </c>
      <c r="I351" s="4">
        <v>4772.0</v>
      </c>
      <c r="J351" t="str">
        <f t="array" ref="J351">INDEX('TJ List'!B:B,MATCH(I351,'TJ List'!N:N,0),0)
</f>
        <v>#N/A</v>
      </c>
      <c r="L351" s="4"/>
      <c r="M351" s="4"/>
      <c r="N351" s="21"/>
      <c r="O351" s="21"/>
      <c r="Z351" s="29"/>
    </row>
    <row r="352">
      <c r="B352" s="14"/>
      <c r="D352" s="14"/>
      <c r="G352" s="4" t="s">
        <v>3241</v>
      </c>
      <c r="H352" s="4" t="s">
        <v>791</v>
      </c>
      <c r="I352" s="4">
        <v>6483.0</v>
      </c>
      <c r="J352" t="str">
        <f t="array" ref="J352">INDEX('TJ List'!B:B,MATCH(I352,'TJ List'!N:N,0),0)
</f>
        <v>#N/A</v>
      </c>
      <c r="L352" s="4"/>
      <c r="M352" s="4"/>
      <c r="N352" s="21"/>
      <c r="O352" s="21"/>
      <c r="Z352" s="29"/>
    </row>
    <row r="353">
      <c r="B353" s="14"/>
      <c r="D353" s="14"/>
      <c r="G353" s="4" t="s">
        <v>3242</v>
      </c>
      <c r="H353" s="4" t="s">
        <v>791</v>
      </c>
      <c r="I353" s="4">
        <v>7525.0</v>
      </c>
      <c r="J353" t="str">
        <f t="array" ref="J353">INDEX('TJ List'!B:B,MATCH(I353,'TJ List'!N:N,0),0)
</f>
        <v>#N/A</v>
      </c>
      <c r="L353" s="4"/>
      <c r="M353" s="4"/>
      <c r="N353" s="21"/>
      <c r="O353" s="21"/>
      <c r="Z353" s="29"/>
    </row>
    <row r="354">
      <c r="B354" s="14"/>
      <c r="D354" s="14"/>
      <c r="G354" s="4" t="s">
        <v>3243</v>
      </c>
      <c r="H354" s="4" t="s">
        <v>791</v>
      </c>
      <c r="I354" s="4">
        <v>7555.0</v>
      </c>
      <c r="J354" t="str">
        <f t="array" ref="J354">INDEX('TJ List'!B:B,MATCH(I354,'TJ List'!N:N,0),0)
</f>
        <v>#N/A</v>
      </c>
      <c r="L354" s="4"/>
      <c r="M354" s="4"/>
      <c r="N354" s="21"/>
      <c r="O354" s="21"/>
      <c r="Z354" s="29"/>
    </row>
    <row r="355">
      <c r="B355" s="14"/>
      <c r="D355" s="14"/>
      <c r="G355" s="4" t="s">
        <v>3244</v>
      </c>
      <c r="H355" s="4" t="s">
        <v>791</v>
      </c>
      <c r="I355" s="4">
        <v>9674.0</v>
      </c>
      <c r="J355" t="str">
        <f t="array" ref="J355">INDEX('TJ List'!B:B,MATCH(I355,'TJ List'!N:N,0),0)
</f>
        <v>#N/A</v>
      </c>
      <c r="L355" s="4"/>
      <c r="M355" s="4"/>
      <c r="N355" s="21"/>
      <c r="O355" s="21"/>
      <c r="Z355" s="29"/>
    </row>
    <row r="356">
      <c r="B356" s="14"/>
      <c r="D356" s="14"/>
      <c r="G356" s="4" t="s">
        <v>3245</v>
      </c>
      <c r="H356" s="4" t="s">
        <v>791</v>
      </c>
      <c r="I356" s="4">
        <v>10620.0</v>
      </c>
      <c r="J356" t="str">
        <f t="array" ref="J356">INDEX('TJ List'!B:B,MATCH(I356,'TJ List'!N:N,0),0)
</f>
        <v>#N/A</v>
      </c>
      <c r="L356" s="4"/>
      <c r="M356" s="4"/>
      <c r="N356" s="21"/>
      <c r="O356" s="21"/>
      <c r="Z356" s="29"/>
    </row>
    <row r="357">
      <c r="B357" s="14"/>
      <c r="D357" s="14"/>
      <c r="G357" s="4" t="s">
        <v>3246</v>
      </c>
      <c r="H357" s="4" t="s">
        <v>791</v>
      </c>
      <c r="I357" s="4">
        <v>11663.0</v>
      </c>
      <c r="J357" t="str">
        <f t="array" ref="J357">INDEX('TJ List'!B:B,MATCH(I357,'TJ List'!N:N,0),0)
</f>
        <v>#N/A</v>
      </c>
      <c r="L357" s="4"/>
      <c r="M357" s="4"/>
      <c r="N357" s="21"/>
      <c r="O357" s="21"/>
      <c r="Z357" s="29"/>
    </row>
    <row r="358">
      <c r="B358" s="14"/>
      <c r="D358" s="14"/>
      <c r="G358" s="4" t="s">
        <v>3247</v>
      </c>
      <c r="H358" s="4" t="s">
        <v>791</v>
      </c>
      <c r="I358" s="4">
        <v>11828.0</v>
      </c>
      <c r="J358" t="str">
        <f t="array" ref="J358">INDEX('TJ List'!B:B,MATCH(I358,'TJ List'!N:N,0),0)
</f>
        <v>#N/A</v>
      </c>
      <c r="L358" s="4"/>
      <c r="M358" s="4"/>
      <c r="N358" s="21"/>
      <c r="O358" s="21"/>
      <c r="Z358" s="29"/>
    </row>
    <row r="359">
      <c r="B359" s="14"/>
      <c r="D359" s="14"/>
      <c r="G359" s="4" t="s">
        <v>3248</v>
      </c>
      <c r="H359" s="4" t="s">
        <v>791</v>
      </c>
      <c r="I359" s="4">
        <v>11836.0</v>
      </c>
      <c r="J359" t="str">
        <f t="array" ref="J359">INDEX('TJ List'!B:B,MATCH(I359,'TJ List'!N:N,0),0)
</f>
        <v>#N/A</v>
      </c>
      <c r="L359" s="4"/>
      <c r="M359" s="4"/>
      <c r="N359" s="21"/>
      <c r="O359" s="21"/>
      <c r="Z359" s="29"/>
    </row>
    <row r="360">
      <c r="B360" s="14"/>
      <c r="D360" s="14"/>
      <c r="G360" s="4" t="s">
        <v>3249</v>
      </c>
      <c r="H360" s="4" t="s">
        <v>791</v>
      </c>
      <c r="I360" s="4">
        <v>11928.0</v>
      </c>
      <c r="J360" t="str">
        <f t="array" ref="J360">INDEX('TJ List'!B:B,MATCH(I360,'TJ List'!N:N,0),0)
</f>
        <v>#N/A</v>
      </c>
      <c r="L360" s="4"/>
      <c r="M360" s="4"/>
      <c r="N360" s="21"/>
      <c r="O360" s="21"/>
      <c r="Z360" s="29"/>
    </row>
    <row r="361">
      <c r="B361" s="14"/>
      <c r="D361" s="14"/>
      <c r="G361" s="4" t="s">
        <v>3250</v>
      </c>
      <c r="H361" s="4" t="s">
        <v>791</v>
      </c>
      <c r="I361" s="4">
        <v>12182.0</v>
      </c>
      <c r="J361" t="str">
        <f t="array" ref="J361">INDEX('TJ List'!B:B,MATCH(I361,'TJ List'!N:N,0),0)
</f>
        <v>#N/A</v>
      </c>
      <c r="L361" s="4"/>
      <c r="M361" s="4"/>
      <c r="N361" s="21"/>
      <c r="O361" s="21"/>
      <c r="Z361" s="29"/>
    </row>
    <row r="362">
      <c r="B362" s="14"/>
      <c r="D362" s="14"/>
      <c r="G362" s="4" t="s">
        <v>1472</v>
      </c>
      <c r="H362" s="4" t="s">
        <v>791</v>
      </c>
      <c r="I362" s="4">
        <v>12638.0</v>
      </c>
      <c r="J362" t="str">
        <f t="array" ref="J362">INDEX('TJ List'!B:B,MATCH(I362,'TJ List'!N:N,0),0)
</f>
        <v>#N/A</v>
      </c>
      <c r="L362" s="4"/>
      <c r="M362" s="4"/>
      <c r="N362" s="21"/>
      <c r="O362" s="21"/>
      <c r="Z362" s="29"/>
    </row>
    <row r="363">
      <c r="B363" s="14"/>
      <c r="D363" s="14"/>
      <c r="G363" s="4" t="s">
        <v>3251</v>
      </c>
      <c r="H363" s="4" t="s">
        <v>791</v>
      </c>
      <c r="I363" s="4">
        <v>12876.0</v>
      </c>
      <c r="J363" t="str">
        <f t="array" ref="J363">INDEX('TJ List'!B:B,MATCH(I363,'TJ List'!N:N,0),0)
</f>
        <v>#N/A</v>
      </c>
      <c r="L363" s="4"/>
      <c r="M363" s="4"/>
      <c r="N363" s="21"/>
      <c r="O363" s="21"/>
      <c r="Z363" s="29"/>
    </row>
    <row r="364">
      <c r="B364" s="14"/>
      <c r="D364" s="14"/>
      <c r="G364" s="4" t="s">
        <v>3252</v>
      </c>
      <c r="H364" s="4" t="s">
        <v>791</v>
      </c>
      <c r="I364" s="4">
        <v>13048.0</v>
      </c>
      <c r="J364" t="str">
        <f t="array" ref="J364">INDEX('TJ List'!B:B,MATCH(I364,'TJ List'!N:N,0),0)
</f>
        <v>#N/A</v>
      </c>
      <c r="L364" s="4"/>
      <c r="M364" s="4"/>
      <c r="N364" s="21"/>
      <c r="O364" s="21"/>
      <c r="Z364" s="29"/>
    </row>
    <row r="365">
      <c r="B365" s="14"/>
      <c r="D365" s="14"/>
      <c r="G365" s="4" t="s">
        <v>790</v>
      </c>
      <c r="H365" s="4" t="s">
        <v>791</v>
      </c>
      <c r="I365" s="4">
        <v>13153.0</v>
      </c>
      <c r="J365" t="str">
        <f t="array" ref="J365">INDEX('TJ List'!B:B,MATCH(I365,'TJ List'!N:N,0),0)
</f>
        <v>#N/A</v>
      </c>
      <c r="L365" s="4"/>
      <c r="M365" s="4"/>
      <c r="N365" s="21"/>
      <c r="O365" s="21"/>
      <c r="Z365" s="29"/>
    </row>
    <row r="366">
      <c r="B366" s="14"/>
      <c r="D366" s="14"/>
      <c r="G366" s="4" t="s">
        <v>3253</v>
      </c>
      <c r="H366" s="4" t="s">
        <v>791</v>
      </c>
      <c r="I366" s="4">
        <v>14699.0</v>
      </c>
      <c r="J366" t="str">
        <f t="array" ref="J366">INDEX('TJ List'!B:B,MATCH(I366,'TJ List'!N:N,0),0)
</f>
        <v>#N/A</v>
      </c>
      <c r="L366" s="4"/>
      <c r="M366" s="4"/>
      <c r="N366" s="21"/>
      <c r="O366" s="21"/>
      <c r="Z366" s="29"/>
    </row>
    <row r="367">
      <c r="B367" s="14"/>
      <c r="D367" s="14"/>
      <c r="G367" s="4" t="s">
        <v>3254</v>
      </c>
      <c r="H367" s="4" t="s">
        <v>791</v>
      </c>
      <c r="I367" s="4">
        <v>14710.0</v>
      </c>
      <c r="J367" t="str">
        <f t="array" ref="J367">INDEX('TJ List'!B:B,MATCH(I367,'TJ List'!N:N,0),0)
</f>
        <v>#N/A</v>
      </c>
      <c r="L367" s="4"/>
      <c r="M367" s="4"/>
      <c r="N367" s="21"/>
      <c r="O367" s="21"/>
      <c r="Z367" s="29"/>
    </row>
    <row r="368">
      <c r="B368" s="14"/>
      <c r="D368" s="14"/>
      <c r="G368" s="4" t="s">
        <v>3255</v>
      </c>
      <c r="H368" s="4" t="s">
        <v>791</v>
      </c>
      <c r="I368" s="4">
        <v>16507.0</v>
      </c>
      <c r="J368" t="str">
        <f t="array" ref="J368">INDEX('TJ List'!B:B,MATCH(I368,'TJ List'!N:N,0),0)
</f>
        <v>#N/A</v>
      </c>
      <c r="L368" s="4"/>
      <c r="M368" s="4"/>
      <c r="N368" s="21"/>
      <c r="O368" s="21"/>
      <c r="Z368" s="29"/>
    </row>
    <row r="369">
      <c r="B369" s="14"/>
      <c r="D369" s="14"/>
      <c r="G369" s="4" t="s">
        <v>2484</v>
      </c>
      <c r="H369" s="4" t="s">
        <v>516</v>
      </c>
      <c r="I369" s="4">
        <v>2141.0</v>
      </c>
      <c r="J369" s="45">
        <f t="array" ref="J369">INDEX('TJ List'!B:B,MATCH(I369,'TJ List'!N:N,0),0)
</f>
        <v>37169</v>
      </c>
      <c r="L369" s="4"/>
      <c r="M369" s="4"/>
      <c r="N369" s="21"/>
      <c r="O369" s="21"/>
      <c r="Z369" s="29"/>
    </row>
    <row r="370">
      <c r="B370" s="14"/>
      <c r="D370" s="14"/>
      <c r="G370" s="4" t="s">
        <v>2347</v>
      </c>
      <c r="H370" s="4" t="s">
        <v>516</v>
      </c>
      <c r="I370" s="4">
        <v>5559.0</v>
      </c>
      <c r="J370" s="45">
        <f t="array" ref="J370">INDEX('TJ List'!B:B,MATCH(I370,'TJ List'!N:N,0),0)
</f>
        <v>37987</v>
      </c>
      <c r="L370" s="4"/>
      <c r="M370" s="4"/>
      <c r="N370" s="21"/>
      <c r="O370" s="21"/>
      <c r="Z370" s="29"/>
    </row>
    <row r="371">
      <c r="B371" s="14"/>
      <c r="D371" s="14"/>
      <c r="G371" s="4" t="s">
        <v>320</v>
      </c>
      <c r="H371" s="4" t="s">
        <v>516</v>
      </c>
      <c r="I371" s="4">
        <v>494.0</v>
      </c>
      <c r="J371" s="45">
        <f t="array" ref="J371">INDEX('TJ List'!B:B,MATCH(I371,'TJ List'!N:N,0),0)
</f>
        <v>38106</v>
      </c>
      <c r="L371" s="4"/>
      <c r="M371" s="4"/>
      <c r="N371" s="21"/>
      <c r="O371" s="21"/>
      <c r="Z371" s="29"/>
    </row>
    <row r="372">
      <c r="B372" s="14"/>
      <c r="D372" s="14"/>
      <c r="G372" s="4" t="s">
        <v>1031</v>
      </c>
      <c r="H372" s="4" t="s">
        <v>516</v>
      </c>
      <c r="I372" s="4">
        <v>8600.0</v>
      </c>
      <c r="J372" s="45">
        <f t="array" ref="J372">INDEX('TJ List'!B:B,MATCH(I372,'TJ List'!N:N,0),0)
</f>
        <v>38121</v>
      </c>
      <c r="L372" s="4"/>
      <c r="M372" s="4"/>
      <c r="N372" s="21"/>
      <c r="O372" s="21"/>
      <c r="Z372" s="29"/>
    </row>
    <row r="373">
      <c r="B373" s="14"/>
      <c r="D373" s="14"/>
      <c r="G373" s="4" t="s">
        <v>2217</v>
      </c>
      <c r="H373" s="4" t="s">
        <v>516</v>
      </c>
      <c r="I373" s="4">
        <v>13071.0</v>
      </c>
      <c r="J373" s="45">
        <f t="array" ref="J373">INDEX('TJ List'!B:B,MATCH(I373,'TJ List'!N:N,0),0)
</f>
        <v>38718</v>
      </c>
      <c r="L373" s="4"/>
      <c r="M373" s="4"/>
      <c r="N373" s="21"/>
      <c r="O373" s="21"/>
      <c r="Z373" s="29"/>
    </row>
    <row r="374">
      <c r="B374" s="14"/>
      <c r="D374" s="14"/>
      <c r="G374" s="4" t="s">
        <v>2176</v>
      </c>
      <c r="H374" s="4" t="s">
        <v>516</v>
      </c>
      <c r="I374" s="4">
        <v>10234.0</v>
      </c>
      <c r="J374" s="45">
        <f t="array" ref="J374">INDEX('TJ List'!B:B,MATCH(I374,'TJ List'!N:N,0),0)
</f>
        <v>38988</v>
      </c>
      <c r="L374" s="4"/>
      <c r="M374" s="4"/>
      <c r="N374" s="21"/>
      <c r="O374" s="21"/>
      <c r="Z374" s="29"/>
    </row>
    <row r="375">
      <c r="B375" s="14"/>
      <c r="D375" s="14"/>
      <c r="G375" s="4" t="s">
        <v>2074</v>
      </c>
      <c r="H375" s="4" t="s">
        <v>516</v>
      </c>
      <c r="I375" s="4">
        <v>17233.0</v>
      </c>
      <c r="J375" s="45">
        <f t="array" ref="J375">INDEX('TJ List'!B:B,MATCH(I375,'TJ List'!N:N,0),0)
</f>
        <v>39326</v>
      </c>
      <c r="L375" s="4"/>
      <c r="M375" s="4"/>
      <c r="N375" s="21"/>
      <c r="O375" s="21"/>
      <c r="Z375" s="29"/>
    </row>
    <row r="376">
      <c r="B376" s="14"/>
      <c r="D376" s="14"/>
      <c r="G376" s="4" t="s">
        <v>2022</v>
      </c>
      <c r="H376" s="4" t="s">
        <v>516</v>
      </c>
      <c r="I376" s="4">
        <v>8350.0</v>
      </c>
      <c r="J376" s="45">
        <f t="array" ref="J376">INDEX('TJ List'!B:B,MATCH(I376,'TJ List'!N:N,0),0)
</f>
        <v>39568</v>
      </c>
      <c r="L376" s="4"/>
      <c r="M376" s="4"/>
      <c r="N376" s="21"/>
      <c r="O376" s="21"/>
      <c r="Z376" s="29"/>
    </row>
    <row r="377">
      <c r="B377" s="14"/>
      <c r="D377" s="14"/>
      <c r="G377" s="4" t="s">
        <v>967</v>
      </c>
      <c r="H377" s="4" t="s">
        <v>516</v>
      </c>
      <c r="I377" s="4">
        <v>11530.0</v>
      </c>
      <c r="J377" s="45">
        <f t="array" ref="J377">INDEX('TJ List'!B:B,MATCH(I377,'TJ List'!N:N,0),0)
</f>
        <v>41775</v>
      </c>
      <c r="L377" s="4"/>
      <c r="M377" s="4"/>
      <c r="N377" s="21"/>
      <c r="O377" s="21"/>
      <c r="Z377" s="29"/>
    </row>
    <row r="378">
      <c r="B378" s="14"/>
      <c r="D378" s="14"/>
      <c r="G378" s="4" t="s">
        <v>3256</v>
      </c>
      <c r="H378" s="4" t="s">
        <v>516</v>
      </c>
      <c r="I378" s="4">
        <v>4363.0</v>
      </c>
      <c r="J378" t="str">
        <f t="array" ref="J378">INDEX('TJ List'!B:B,MATCH(I378,'TJ List'!N:N,0),0)
</f>
        <v>#N/A</v>
      </c>
      <c r="L378" s="4"/>
      <c r="M378" s="4"/>
      <c r="N378" s="21"/>
      <c r="O378" s="21"/>
      <c r="Z378" s="29"/>
    </row>
    <row r="379">
      <c r="B379" s="14"/>
      <c r="D379" s="14"/>
      <c r="G379" s="4" t="s">
        <v>3257</v>
      </c>
      <c r="H379" s="4" t="s">
        <v>516</v>
      </c>
      <c r="I379" s="4">
        <v>6316.0</v>
      </c>
      <c r="J379" t="str">
        <f t="array" ref="J379">INDEX('TJ List'!B:B,MATCH(I379,'TJ List'!N:N,0),0)
</f>
        <v>#N/A</v>
      </c>
      <c r="L379" s="4"/>
      <c r="M379" s="4"/>
      <c r="N379" s="21"/>
      <c r="O379" s="21"/>
      <c r="Z379" s="29"/>
    </row>
    <row r="380">
      <c r="B380" s="14"/>
      <c r="D380" s="14"/>
      <c r="G380" s="4" t="s">
        <v>3258</v>
      </c>
      <c r="H380" s="4" t="s">
        <v>516</v>
      </c>
      <c r="I380" s="4">
        <v>6570.0</v>
      </c>
      <c r="J380" t="str">
        <f t="array" ref="J380">INDEX('TJ List'!B:B,MATCH(I380,'TJ List'!N:N,0),0)
</f>
        <v>#N/A</v>
      </c>
      <c r="L380" s="4"/>
      <c r="M380" s="4"/>
      <c r="N380" s="21"/>
      <c r="O380" s="21"/>
      <c r="Z380" s="29"/>
    </row>
    <row r="381">
      <c r="B381" s="14"/>
      <c r="D381" s="14"/>
      <c r="G381" s="4" t="s">
        <v>3259</v>
      </c>
      <c r="H381" s="4" t="s">
        <v>516</v>
      </c>
      <c r="I381" s="4">
        <v>9948.0</v>
      </c>
      <c r="J381" t="str">
        <f t="array" ref="J381">INDEX('TJ List'!B:B,MATCH(I381,'TJ List'!N:N,0),0)
</f>
        <v>#N/A</v>
      </c>
      <c r="L381" s="4"/>
      <c r="M381" s="4"/>
      <c r="N381" s="21"/>
      <c r="O381" s="21"/>
      <c r="Z381" s="29"/>
    </row>
    <row r="382">
      <c r="B382" s="14"/>
      <c r="D382" s="14"/>
      <c r="G382" s="4" t="s">
        <v>3260</v>
      </c>
      <c r="H382" s="4" t="s">
        <v>516</v>
      </c>
      <c r="I382" s="4">
        <v>11589.0</v>
      </c>
      <c r="J382" t="str">
        <f t="array" ref="J382">INDEX('TJ List'!B:B,MATCH(I382,'TJ List'!N:N,0),0)
</f>
        <v>#N/A</v>
      </c>
      <c r="L382" s="4"/>
      <c r="M382" s="4"/>
      <c r="N382" s="21"/>
      <c r="O382" s="21"/>
      <c r="Z382" s="29"/>
    </row>
    <row r="383">
      <c r="B383" s="14"/>
      <c r="D383" s="14"/>
      <c r="G383" s="4" t="s">
        <v>3261</v>
      </c>
      <c r="H383" s="4" t="s">
        <v>516</v>
      </c>
      <c r="I383" s="4">
        <v>11754.0</v>
      </c>
      <c r="J383" t="str">
        <f t="array" ref="J383">INDEX('TJ List'!B:B,MATCH(I383,'TJ List'!N:N,0),0)
</f>
        <v>#N/A</v>
      </c>
      <c r="L383" s="4"/>
      <c r="M383" s="4"/>
      <c r="N383" s="21"/>
      <c r="O383" s="21"/>
      <c r="Z383" s="29"/>
    </row>
    <row r="384">
      <c r="B384" s="14"/>
      <c r="D384" s="14"/>
      <c r="G384" s="4" t="s">
        <v>3262</v>
      </c>
      <c r="H384" s="4" t="s">
        <v>516</v>
      </c>
      <c r="I384" s="4">
        <v>12118.0</v>
      </c>
      <c r="J384" t="str">
        <f t="array" ref="J384">INDEX('TJ List'!B:B,MATCH(I384,'TJ List'!N:N,0),0)
</f>
        <v>#N/A</v>
      </c>
      <c r="L384" s="4"/>
      <c r="M384" s="4"/>
      <c r="N384" s="21"/>
      <c r="O384" s="21"/>
      <c r="Z384" s="29"/>
    </row>
    <row r="385">
      <c r="B385" s="14"/>
      <c r="D385" s="14"/>
      <c r="G385" s="4" t="s">
        <v>3263</v>
      </c>
      <c r="H385" s="4" t="s">
        <v>516</v>
      </c>
      <c r="I385" s="4">
        <v>12232.0</v>
      </c>
      <c r="J385" t="str">
        <f t="array" ref="J385">INDEX('TJ List'!B:B,MATCH(I385,'TJ List'!N:N,0),0)
</f>
        <v>#N/A</v>
      </c>
      <c r="L385" s="4"/>
      <c r="M385" s="4"/>
      <c r="N385" s="21"/>
      <c r="O385" s="21"/>
      <c r="Z385" s="29"/>
    </row>
    <row r="386">
      <c r="B386" s="14"/>
      <c r="D386" s="14"/>
      <c r="G386" s="4" t="s">
        <v>3264</v>
      </c>
      <c r="H386" s="4" t="s">
        <v>516</v>
      </c>
      <c r="I386" s="4">
        <v>12253.0</v>
      </c>
      <c r="J386" t="str">
        <f t="array" ref="J386">INDEX('TJ List'!B:B,MATCH(I386,'TJ List'!N:N,0),0)
</f>
        <v>#N/A</v>
      </c>
      <c r="L386" s="4"/>
      <c r="M386" s="4"/>
      <c r="N386" s="21"/>
      <c r="O386" s="21"/>
      <c r="Z386" s="29"/>
    </row>
    <row r="387">
      <c r="B387" s="14"/>
      <c r="D387" s="14"/>
      <c r="G387" s="4" t="s">
        <v>3265</v>
      </c>
      <c r="H387" s="4" t="s">
        <v>516</v>
      </c>
      <c r="I387" s="4">
        <v>12756.0</v>
      </c>
      <c r="J387" t="str">
        <f t="array" ref="J387">INDEX('TJ List'!B:B,MATCH(I387,'TJ List'!N:N,0),0)
</f>
        <v>#N/A</v>
      </c>
      <c r="L387" s="4"/>
      <c r="M387" s="4"/>
      <c r="N387" s="21"/>
      <c r="O387" s="21"/>
      <c r="Z387" s="29"/>
    </row>
    <row r="388">
      <c r="B388" s="14"/>
      <c r="D388" s="14"/>
      <c r="G388" s="4" t="s">
        <v>3266</v>
      </c>
      <c r="H388" s="4" t="s">
        <v>516</v>
      </c>
      <c r="I388" s="4">
        <v>13713.0</v>
      </c>
      <c r="J388" t="str">
        <f t="array" ref="J388">INDEX('TJ List'!B:B,MATCH(I388,'TJ List'!N:N,0),0)
</f>
        <v>#N/A</v>
      </c>
      <c r="L388" s="4"/>
      <c r="M388" s="4"/>
      <c r="N388" s="21"/>
      <c r="O388" s="21"/>
      <c r="Z388" s="29"/>
    </row>
    <row r="389">
      <c r="B389" s="14"/>
      <c r="D389" s="14"/>
      <c r="G389" s="4" t="s">
        <v>3267</v>
      </c>
      <c r="H389" s="4" t="s">
        <v>516</v>
      </c>
      <c r="I389" s="4">
        <v>14457.0</v>
      </c>
      <c r="J389" t="str">
        <f t="array" ref="J389">INDEX('TJ List'!B:B,MATCH(I389,'TJ List'!N:N,0),0)
</f>
        <v>#N/A</v>
      </c>
      <c r="L389" s="4"/>
      <c r="M389" s="4"/>
      <c r="N389" s="21"/>
      <c r="O389" s="21"/>
      <c r="Z389" s="29"/>
    </row>
    <row r="390">
      <c r="B390" s="14"/>
      <c r="D390" s="14"/>
      <c r="G390" s="4" t="s">
        <v>3268</v>
      </c>
      <c r="H390" s="4" t="s">
        <v>516</v>
      </c>
      <c r="I390" s="4">
        <v>15594.0</v>
      </c>
      <c r="J390" t="str">
        <f t="array" ref="J390">INDEX('TJ List'!B:B,MATCH(I390,'TJ List'!N:N,0),0)
</f>
        <v>#N/A</v>
      </c>
      <c r="L390" s="4"/>
      <c r="M390" s="4"/>
      <c r="N390" s="21"/>
      <c r="O390" s="21"/>
      <c r="Z390" s="29"/>
    </row>
    <row r="391">
      <c r="B391" s="14"/>
      <c r="D391" s="14"/>
      <c r="G391" s="4" t="s">
        <v>3269</v>
      </c>
      <c r="H391" s="4" t="s">
        <v>516</v>
      </c>
      <c r="I391" s="4">
        <v>17237.0</v>
      </c>
      <c r="J391" t="str">
        <f t="array" ref="J391">INDEX('TJ List'!B:B,MATCH(I391,'TJ List'!N:N,0),0)
</f>
        <v>#N/A</v>
      </c>
      <c r="L391" s="4"/>
      <c r="M391" s="4"/>
      <c r="N391" s="21"/>
      <c r="O391" s="21"/>
      <c r="Z391" s="29"/>
    </row>
    <row r="392">
      <c r="B392" s="14"/>
      <c r="D392" s="14"/>
      <c r="G392" s="4" t="s">
        <v>2160</v>
      </c>
      <c r="H392" s="4" t="s">
        <v>889</v>
      </c>
      <c r="I392" s="4">
        <v>11712.0</v>
      </c>
      <c r="J392" s="45">
        <f t="array" ref="J392">INDEX('TJ List'!B:B,MATCH(I392,'TJ List'!N:N,0),0)
</f>
        <v>39083</v>
      </c>
      <c r="L392" s="4"/>
      <c r="M392" s="4"/>
      <c r="N392" s="21"/>
      <c r="O392" s="21"/>
      <c r="Z392" s="29"/>
    </row>
    <row r="393">
      <c r="B393" s="14"/>
      <c r="D393" s="14"/>
      <c r="G393" s="4" t="s">
        <v>1818</v>
      </c>
      <c r="H393" s="4" t="s">
        <v>889</v>
      </c>
      <c r="I393" s="4">
        <v>10954.0</v>
      </c>
      <c r="J393" s="45">
        <f t="array" ref="J393">INDEX('TJ List'!B:B,MATCH(I393,'TJ List'!N:N,0),0)
</f>
        <v>40179</v>
      </c>
      <c r="L393" s="4"/>
      <c r="M393" s="4"/>
      <c r="N393" s="21"/>
      <c r="O393" s="21"/>
      <c r="Z393" s="29"/>
    </row>
    <row r="394">
      <c r="B394" s="14"/>
      <c r="D394" s="14"/>
      <c r="G394" s="4" t="s">
        <v>1554</v>
      </c>
      <c r="H394" s="4" t="s">
        <v>889</v>
      </c>
      <c r="I394" s="4">
        <v>13361.0</v>
      </c>
      <c r="J394" s="45">
        <f t="array" ref="J394">INDEX('TJ List'!B:B,MATCH(I394,'TJ List'!N:N,0),0)
</f>
        <v>40316</v>
      </c>
      <c r="L394" s="4"/>
      <c r="M394" s="4"/>
      <c r="N394" s="21"/>
      <c r="O394" s="21"/>
      <c r="Z394" s="29"/>
    </row>
    <row r="395">
      <c r="B395" s="14"/>
      <c r="D395" s="14"/>
      <c r="G395" s="4" t="s">
        <v>1197</v>
      </c>
      <c r="H395" s="4" t="s">
        <v>889</v>
      </c>
      <c r="I395" s="4">
        <v>11713.0</v>
      </c>
      <c r="J395" s="45">
        <f t="array" ref="J395">INDEX('TJ List'!B:B,MATCH(I395,'TJ List'!N:N,0),0)
</f>
        <v>41569</v>
      </c>
      <c r="L395" s="4"/>
      <c r="M395" s="4"/>
      <c r="N395" s="21"/>
      <c r="O395" s="21"/>
      <c r="Z395" s="29"/>
    </row>
    <row r="396">
      <c r="B396" s="14"/>
      <c r="D396" s="14"/>
      <c r="G396" s="4" t="s">
        <v>731</v>
      </c>
      <c r="H396" s="4" t="s">
        <v>889</v>
      </c>
      <c r="I396" s="4">
        <v>10796.0</v>
      </c>
      <c r="J396" s="45">
        <f t="array" ref="J396">INDEX('TJ List'!B:B,MATCH(I396,'TJ List'!N:N,0),0)
</f>
        <v>42080</v>
      </c>
      <c r="L396" s="4"/>
      <c r="M396" s="4"/>
      <c r="N396" s="21"/>
      <c r="O396" s="21"/>
      <c r="Z396" s="29"/>
    </row>
    <row r="397">
      <c r="B397" s="14"/>
      <c r="D397" s="14"/>
      <c r="G397" s="4" t="s">
        <v>3270</v>
      </c>
      <c r="H397" s="4" t="s">
        <v>889</v>
      </c>
      <c r="I397" s="4">
        <v>375.0</v>
      </c>
      <c r="J397" t="str">
        <f t="array" ref="J397">INDEX('TJ List'!B:B,MATCH(I397,'TJ List'!N:N,0),0)
</f>
        <v>#N/A</v>
      </c>
      <c r="L397" s="4"/>
      <c r="M397" s="4"/>
      <c r="N397" s="21"/>
      <c r="O397" s="21"/>
      <c r="Z397" s="29"/>
    </row>
    <row r="398">
      <c r="B398" s="14"/>
      <c r="D398" s="14"/>
      <c r="G398" s="4" t="s">
        <v>3271</v>
      </c>
      <c r="H398" s="4" t="s">
        <v>889</v>
      </c>
      <c r="I398" s="4">
        <v>5114.0</v>
      </c>
      <c r="J398" t="str">
        <f t="array" ref="J398">INDEX('TJ List'!B:B,MATCH(I398,'TJ List'!N:N,0),0)
</f>
        <v>#N/A</v>
      </c>
      <c r="L398" s="4"/>
      <c r="M398" s="4"/>
      <c r="N398" s="21"/>
      <c r="O398" s="21"/>
      <c r="Z398" s="29"/>
    </row>
    <row r="399">
      <c r="B399" s="14"/>
      <c r="D399" s="14"/>
      <c r="G399" s="4" t="s">
        <v>3272</v>
      </c>
      <c r="H399" s="4" t="s">
        <v>889</v>
      </c>
      <c r="I399" s="4">
        <v>6653.0</v>
      </c>
      <c r="J399" t="str">
        <f t="array" ref="J399">INDEX('TJ List'!B:B,MATCH(I399,'TJ List'!N:N,0),0)
</f>
        <v>#N/A</v>
      </c>
      <c r="L399" s="4"/>
      <c r="M399" s="4"/>
      <c r="N399" s="21"/>
      <c r="O399" s="21"/>
      <c r="Z399" s="29"/>
    </row>
    <row r="400">
      <c r="B400" s="14"/>
      <c r="D400" s="14"/>
      <c r="G400" s="4" t="s">
        <v>3273</v>
      </c>
      <c r="H400" s="4" t="s">
        <v>889</v>
      </c>
      <c r="I400" s="4">
        <v>7841.0</v>
      </c>
      <c r="J400" t="str">
        <f t="array" ref="J400">INDEX('TJ List'!B:B,MATCH(I400,'TJ List'!N:N,0),0)
</f>
        <v>#N/A</v>
      </c>
      <c r="L400" s="4"/>
      <c r="M400" s="4"/>
      <c r="N400" s="21"/>
      <c r="O400" s="21"/>
      <c r="Z400" s="29"/>
    </row>
    <row r="401">
      <c r="B401" s="14"/>
      <c r="D401" s="14"/>
      <c r="G401" s="4" t="s">
        <v>3274</v>
      </c>
      <c r="H401" s="4" t="s">
        <v>889</v>
      </c>
      <c r="I401" s="4">
        <v>10285.0</v>
      </c>
      <c r="J401" t="str">
        <f t="array" ref="J401">INDEX('TJ List'!B:B,MATCH(I401,'TJ List'!N:N,0),0)
</f>
        <v>#N/A</v>
      </c>
      <c r="L401" s="4"/>
      <c r="M401" s="4"/>
      <c r="N401" s="21"/>
      <c r="O401" s="21"/>
      <c r="Z401" s="29"/>
    </row>
    <row r="402">
      <c r="B402" s="14"/>
      <c r="D402" s="14"/>
      <c r="G402" s="4" t="s">
        <v>3275</v>
      </c>
      <c r="H402" s="4" t="s">
        <v>889</v>
      </c>
      <c r="I402" s="4">
        <v>10586.0</v>
      </c>
      <c r="J402" t="str">
        <f t="array" ref="J402">INDEX('TJ List'!B:B,MATCH(I402,'TJ List'!N:N,0),0)
</f>
        <v>#N/A</v>
      </c>
      <c r="L402" s="4"/>
      <c r="M402" s="4"/>
      <c r="N402" s="21"/>
      <c r="O402" s="21"/>
      <c r="Z402" s="29"/>
    </row>
    <row r="403">
      <c r="B403" s="14"/>
      <c r="D403" s="14"/>
      <c r="G403" s="4" t="s">
        <v>3276</v>
      </c>
      <c r="H403" s="4" t="s">
        <v>889</v>
      </c>
      <c r="I403" s="4">
        <v>11762.0</v>
      </c>
      <c r="J403" t="str">
        <f t="array" ref="J403">INDEX('TJ List'!B:B,MATCH(I403,'TJ List'!N:N,0),0)
</f>
        <v>#N/A</v>
      </c>
      <c r="L403" s="4"/>
      <c r="M403" s="4"/>
      <c r="N403" s="21"/>
      <c r="O403" s="21"/>
      <c r="Z403" s="29"/>
    </row>
    <row r="404">
      <c r="B404" s="14"/>
      <c r="D404" s="14"/>
      <c r="G404" s="4" t="s">
        <v>3277</v>
      </c>
      <c r="H404" s="4" t="s">
        <v>889</v>
      </c>
      <c r="I404" s="4">
        <v>11801.0</v>
      </c>
      <c r="J404" t="str">
        <f t="array" ref="J404">INDEX('TJ List'!B:B,MATCH(I404,'TJ List'!N:N,0),0)
</f>
        <v>#N/A</v>
      </c>
      <c r="L404" s="4"/>
      <c r="M404" s="4"/>
      <c r="N404" s="21"/>
      <c r="O404" s="21"/>
      <c r="Z404" s="29"/>
    </row>
    <row r="405">
      <c r="B405" s="14"/>
      <c r="D405" s="14"/>
      <c r="G405" s="4" t="s">
        <v>3278</v>
      </c>
      <c r="H405" s="4" t="s">
        <v>889</v>
      </c>
      <c r="I405" s="4">
        <v>12447.0</v>
      </c>
      <c r="J405" t="str">
        <f t="array" ref="J405">INDEX('TJ List'!B:B,MATCH(I405,'TJ List'!N:N,0),0)
</f>
        <v>#N/A</v>
      </c>
      <c r="L405" s="4"/>
      <c r="M405" s="4"/>
      <c r="N405" s="21"/>
      <c r="O405" s="21"/>
      <c r="Z405" s="29"/>
    </row>
    <row r="406">
      <c r="B406" s="14"/>
      <c r="D406" s="14"/>
      <c r="G406" s="4" t="s">
        <v>3279</v>
      </c>
      <c r="H406" s="4" t="s">
        <v>889</v>
      </c>
      <c r="I406" s="4">
        <v>12760.0</v>
      </c>
      <c r="J406" t="str">
        <f t="array" ref="J406">INDEX('TJ List'!B:B,MATCH(I406,'TJ List'!N:N,0),0)
</f>
        <v>#N/A</v>
      </c>
      <c r="L406" s="4"/>
      <c r="M406" s="4"/>
      <c r="N406" s="21"/>
      <c r="O406" s="21"/>
      <c r="Z406" s="29"/>
    </row>
    <row r="407">
      <c r="B407" s="14"/>
      <c r="D407" s="14"/>
      <c r="G407" s="4" t="s">
        <v>3280</v>
      </c>
      <c r="H407" s="4" t="s">
        <v>889</v>
      </c>
      <c r="I407" s="4">
        <v>12781.0</v>
      </c>
      <c r="J407" t="str">
        <f t="array" ref="J407">INDEX('TJ List'!B:B,MATCH(I407,'TJ List'!N:N,0),0)
</f>
        <v>#N/A</v>
      </c>
      <c r="L407" s="4"/>
      <c r="M407" s="4"/>
      <c r="N407" s="21"/>
      <c r="O407" s="21"/>
      <c r="Z407" s="29"/>
    </row>
    <row r="408">
      <c r="B408" s="14"/>
      <c r="D408" s="14"/>
      <c r="G408" s="4" t="s">
        <v>3281</v>
      </c>
      <c r="H408" s="4" t="s">
        <v>889</v>
      </c>
      <c r="I408" s="4">
        <v>12905.0</v>
      </c>
      <c r="J408" t="str">
        <f t="array" ref="J408">INDEX('TJ List'!B:B,MATCH(I408,'TJ List'!N:N,0),0)
</f>
        <v>#N/A</v>
      </c>
      <c r="L408" s="4"/>
      <c r="M408" s="4"/>
      <c r="N408" s="21"/>
      <c r="O408" s="21"/>
      <c r="Z408" s="29"/>
    </row>
    <row r="409">
      <c r="B409" s="14"/>
      <c r="D409" s="14"/>
      <c r="G409" s="4" t="s">
        <v>3282</v>
      </c>
      <c r="H409" s="4" t="s">
        <v>889</v>
      </c>
      <c r="I409" s="4">
        <v>12938.0</v>
      </c>
      <c r="J409" t="str">
        <f t="array" ref="J409">INDEX('TJ List'!B:B,MATCH(I409,'TJ List'!N:N,0),0)
</f>
        <v>#N/A</v>
      </c>
      <c r="L409" s="4"/>
      <c r="M409" s="4"/>
      <c r="N409" s="21"/>
      <c r="O409" s="21"/>
      <c r="Z409" s="29"/>
    </row>
    <row r="410">
      <c r="B410" s="14"/>
      <c r="D410" s="14"/>
      <c r="G410" s="4" t="s">
        <v>3283</v>
      </c>
      <c r="H410" s="4" t="s">
        <v>889</v>
      </c>
      <c r="I410" s="4">
        <v>13696.0</v>
      </c>
      <c r="J410" t="str">
        <f t="array" ref="J410">INDEX('TJ List'!B:B,MATCH(I410,'TJ List'!N:N,0),0)
</f>
        <v>#N/A</v>
      </c>
      <c r="L410" s="4"/>
      <c r="M410" s="4"/>
      <c r="N410" s="21"/>
      <c r="O410" s="21"/>
      <c r="Z410" s="29"/>
    </row>
    <row r="411">
      <c r="B411" s="14"/>
      <c r="D411" s="14"/>
      <c r="G411" s="4" t="s">
        <v>387</v>
      </c>
      <c r="H411" s="4" t="s">
        <v>695</v>
      </c>
      <c r="I411" s="4">
        <v>4264.0</v>
      </c>
      <c r="J411" s="45">
        <f t="array" ref="J411">INDEX('TJ List'!B:B,MATCH(I411,'TJ List'!N:N,0),0)
</f>
        <v>39021</v>
      </c>
      <c r="L411" s="4"/>
      <c r="M411" s="4"/>
      <c r="N411" s="21"/>
      <c r="O411" s="21"/>
      <c r="Z411" s="29"/>
    </row>
    <row r="412">
      <c r="B412" s="14"/>
      <c r="D412" s="14"/>
      <c r="G412" s="4" t="s">
        <v>799</v>
      </c>
      <c r="H412" s="4" t="s">
        <v>695</v>
      </c>
      <c r="I412" s="4">
        <v>7773.0</v>
      </c>
      <c r="J412" s="45">
        <f t="array" ref="J412">INDEX('TJ List'!B:B,MATCH(I412,'TJ List'!N:N,0),0)
</f>
        <v>40422</v>
      </c>
      <c r="L412" s="4"/>
      <c r="M412" s="4"/>
      <c r="N412" s="21"/>
      <c r="O412" s="21"/>
      <c r="Z412" s="29"/>
    </row>
    <row r="413">
      <c r="B413" s="14"/>
      <c r="D413" s="14"/>
      <c r="G413" s="4" t="s">
        <v>1724</v>
      </c>
      <c r="H413" s="4" t="s">
        <v>695</v>
      </c>
      <c r="I413" s="4">
        <v>10131.0</v>
      </c>
      <c r="J413" s="45">
        <f t="array" ref="J413">INDEX('TJ List'!B:B,MATCH(I413,'TJ List'!N:N,0),0)
</f>
        <v>40424</v>
      </c>
      <c r="L413" s="4"/>
      <c r="M413" s="4"/>
      <c r="N413" s="21"/>
      <c r="O413" s="21"/>
      <c r="Z413" s="29"/>
    </row>
    <row r="414">
      <c r="B414" s="14"/>
      <c r="D414" s="14"/>
      <c r="G414" s="4" t="s">
        <v>1705</v>
      </c>
      <c r="H414" s="4" t="s">
        <v>695</v>
      </c>
      <c r="I414" s="4">
        <v>17695.0</v>
      </c>
      <c r="J414" s="45">
        <f t="array" ref="J414">INDEX('TJ List'!B:B,MATCH(I414,'TJ List'!N:N,0),0)
</f>
        <v>40544</v>
      </c>
      <c r="L414" s="4"/>
      <c r="M414" s="4"/>
      <c r="N414" s="21"/>
      <c r="O414" s="21"/>
      <c r="Z414" s="29"/>
    </row>
    <row r="415">
      <c r="B415" s="14"/>
      <c r="D415" s="14"/>
      <c r="G415" s="4" t="s">
        <v>1552</v>
      </c>
      <c r="H415" s="4" t="s">
        <v>695</v>
      </c>
      <c r="I415" s="4">
        <v>11457.0</v>
      </c>
      <c r="J415" s="45">
        <f t="array" ref="J415">INDEX('TJ List'!B:B,MATCH(I415,'TJ List'!N:N,0),0)
</f>
        <v>40974</v>
      </c>
      <c r="L415" s="4"/>
      <c r="M415" s="4"/>
      <c r="N415" s="21"/>
      <c r="O415" s="21"/>
      <c r="Z415" s="29"/>
    </row>
    <row r="416">
      <c r="B416" s="14"/>
      <c r="D416" s="14"/>
      <c r="G416" s="4" t="s">
        <v>1428</v>
      </c>
      <c r="H416" s="4" t="s">
        <v>695</v>
      </c>
      <c r="I416" s="4">
        <v>15474.0</v>
      </c>
      <c r="J416" s="45">
        <f t="array" ref="J416">INDEX('TJ List'!B:B,MATCH(I416,'TJ List'!N:N,0),0)
</f>
        <v>41152</v>
      </c>
      <c r="L416" s="4"/>
      <c r="M416" s="4"/>
      <c r="N416" s="21"/>
      <c r="O416" s="21"/>
      <c r="Z416" s="29"/>
    </row>
    <row r="417">
      <c r="B417" s="14"/>
      <c r="D417" s="14"/>
      <c r="G417" s="4" t="s">
        <v>766</v>
      </c>
      <c r="H417" s="4" t="s">
        <v>695</v>
      </c>
      <c r="I417" s="4">
        <v>1886.0</v>
      </c>
      <c r="J417" s="45">
        <f t="array" ref="J417">INDEX('TJ List'!B:B,MATCH(I417,'TJ List'!N:N,0),0)
</f>
        <v>41795</v>
      </c>
      <c r="L417" s="4"/>
      <c r="M417" s="4"/>
      <c r="N417" s="21"/>
      <c r="O417" s="21"/>
      <c r="Z417" s="29"/>
    </row>
    <row r="418">
      <c r="B418" s="14"/>
      <c r="D418" s="14"/>
      <c r="G418" s="4" t="s">
        <v>3284</v>
      </c>
      <c r="H418" s="4" t="s">
        <v>695</v>
      </c>
      <c r="I418" s="4">
        <v>1514.0</v>
      </c>
      <c r="J418" t="str">
        <f t="array" ref="J418">INDEX('TJ List'!B:B,MATCH(I418,'TJ List'!N:N,0),0)
</f>
        <v>#N/A</v>
      </c>
      <c r="L418" s="4"/>
      <c r="M418" s="4"/>
      <c r="N418" s="21"/>
      <c r="O418" s="21"/>
      <c r="Z418" s="29"/>
    </row>
    <row r="419">
      <c r="B419" s="14"/>
      <c r="D419" s="14"/>
      <c r="G419" s="4" t="s">
        <v>3285</v>
      </c>
      <c r="H419" s="4" t="s">
        <v>695</v>
      </c>
      <c r="I419" s="4">
        <v>1837.0</v>
      </c>
      <c r="J419" t="str">
        <f t="array" ref="J419">INDEX('TJ List'!B:B,MATCH(I419,'TJ List'!N:N,0),0)
</f>
        <v>#N/A</v>
      </c>
      <c r="L419" s="4"/>
      <c r="M419" s="4"/>
      <c r="N419" s="21"/>
      <c r="O419" s="21"/>
      <c r="Z419" s="29"/>
    </row>
    <row r="420">
      <c r="B420" s="14"/>
      <c r="D420" s="14"/>
      <c r="G420" s="4" t="s">
        <v>3286</v>
      </c>
      <c r="H420" s="4" t="s">
        <v>695</v>
      </c>
      <c r="I420" s="4">
        <v>3137.0</v>
      </c>
      <c r="J420" t="str">
        <f t="array" ref="J420">INDEX('TJ List'!B:B,MATCH(I420,'TJ List'!N:N,0),0)
</f>
        <v>#N/A</v>
      </c>
      <c r="L420" s="4"/>
      <c r="M420" s="4"/>
      <c r="N420" s="21"/>
      <c r="O420" s="21"/>
      <c r="Z420" s="29"/>
    </row>
    <row r="421">
      <c r="B421" s="14"/>
      <c r="D421" s="14"/>
      <c r="G421" s="4" t="s">
        <v>3287</v>
      </c>
      <c r="H421" s="4" t="s">
        <v>695</v>
      </c>
      <c r="I421" s="4">
        <v>4020.0</v>
      </c>
      <c r="J421" t="str">
        <f t="array" ref="J421">INDEX('TJ List'!B:B,MATCH(I421,'TJ List'!N:N,0),0)
</f>
        <v>#N/A</v>
      </c>
      <c r="L421" s="4"/>
      <c r="M421" s="4"/>
      <c r="N421" s="21"/>
      <c r="O421" s="21"/>
      <c r="Z421" s="29"/>
    </row>
    <row r="422">
      <c r="B422" s="14"/>
      <c r="D422" s="14"/>
      <c r="G422" s="4" t="s">
        <v>3288</v>
      </c>
      <c r="H422" s="4" t="s">
        <v>695</v>
      </c>
      <c r="I422" s="4">
        <v>5975.0</v>
      </c>
      <c r="J422" t="str">
        <f t="array" ref="J422">INDEX('TJ List'!B:B,MATCH(I422,'TJ List'!N:N,0),0)
</f>
        <v>#N/A</v>
      </c>
      <c r="L422" s="4"/>
      <c r="M422" s="4"/>
      <c r="N422" s="21"/>
      <c r="O422" s="21"/>
      <c r="Z422" s="29"/>
    </row>
    <row r="423">
      <c r="B423" s="14"/>
      <c r="D423" s="14"/>
      <c r="G423" s="4" t="s">
        <v>3289</v>
      </c>
      <c r="H423" s="4" t="s">
        <v>695</v>
      </c>
      <c r="I423" s="4">
        <v>7448.0</v>
      </c>
      <c r="J423" t="str">
        <f t="array" ref="J423">INDEX('TJ List'!B:B,MATCH(I423,'TJ List'!N:N,0),0)
</f>
        <v>#N/A</v>
      </c>
      <c r="L423" s="4"/>
      <c r="M423" s="4"/>
      <c r="N423" s="21"/>
      <c r="O423" s="21"/>
      <c r="Z423" s="29"/>
    </row>
    <row r="424">
      <c r="B424" s="14"/>
      <c r="D424" s="14"/>
      <c r="G424" s="4" t="s">
        <v>3290</v>
      </c>
      <c r="H424" s="4" t="s">
        <v>695</v>
      </c>
      <c r="I424" s="4">
        <v>8753.0</v>
      </c>
      <c r="J424" t="str">
        <f t="array" ref="J424">INDEX('TJ List'!B:B,MATCH(I424,'TJ List'!N:N,0),0)
</f>
        <v>#N/A</v>
      </c>
      <c r="L424" s="4"/>
      <c r="M424" s="4"/>
      <c r="N424" s="21"/>
      <c r="O424" s="21"/>
      <c r="Z424" s="29"/>
    </row>
    <row r="425">
      <c r="B425" s="14"/>
      <c r="D425" s="14"/>
      <c r="G425" s="4" t="s">
        <v>3291</v>
      </c>
      <c r="H425" s="4" t="s">
        <v>695</v>
      </c>
      <c r="I425" s="4">
        <v>10258.0</v>
      </c>
      <c r="J425" t="str">
        <f t="array" ref="J425">INDEX('TJ List'!B:B,MATCH(I425,'TJ List'!N:N,0),0)
</f>
        <v>#N/A</v>
      </c>
      <c r="L425" s="4"/>
      <c r="M425" s="4"/>
      <c r="N425" s="21"/>
      <c r="O425" s="21"/>
      <c r="Z425" s="29"/>
    </row>
    <row r="426">
      <c r="B426" s="14"/>
      <c r="D426" s="14"/>
      <c r="G426" s="4" t="s">
        <v>3292</v>
      </c>
      <c r="H426" s="4" t="s">
        <v>695</v>
      </c>
      <c r="I426" s="4">
        <v>11449.0</v>
      </c>
      <c r="J426" t="str">
        <f t="array" ref="J426">INDEX('TJ List'!B:B,MATCH(I426,'TJ List'!N:N,0),0)
</f>
        <v>#N/A</v>
      </c>
      <c r="L426" s="4"/>
      <c r="M426" s="4"/>
      <c r="N426" s="21"/>
      <c r="O426" s="21"/>
      <c r="Z426" s="29"/>
    </row>
    <row r="427">
      <c r="B427" s="14"/>
      <c r="D427" s="14"/>
      <c r="G427" s="4" t="s">
        <v>3293</v>
      </c>
      <c r="H427" s="4" t="s">
        <v>695</v>
      </c>
      <c r="I427" s="4">
        <v>11467.0</v>
      </c>
      <c r="J427" t="str">
        <f t="array" ref="J427">INDEX('TJ List'!B:B,MATCH(I427,'TJ List'!N:N,0),0)
</f>
        <v>#N/A</v>
      </c>
      <c r="L427" s="4"/>
      <c r="M427" s="4"/>
      <c r="N427" s="21"/>
      <c r="O427" s="21"/>
      <c r="Z427" s="29"/>
    </row>
    <row r="428">
      <c r="B428" s="14"/>
      <c r="D428" s="14"/>
      <c r="G428" s="4" t="s">
        <v>3294</v>
      </c>
      <c r="H428" s="4" t="s">
        <v>695</v>
      </c>
      <c r="I428" s="4">
        <v>12572.0</v>
      </c>
      <c r="J428" t="str">
        <f t="array" ref="J428">INDEX('TJ List'!B:B,MATCH(I428,'TJ List'!N:N,0),0)
</f>
        <v>#N/A</v>
      </c>
      <c r="L428" s="4"/>
      <c r="M428" s="4"/>
      <c r="N428" s="21"/>
      <c r="O428" s="21"/>
      <c r="Z428" s="29"/>
    </row>
    <row r="429">
      <c r="B429" s="14"/>
      <c r="D429" s="14"/>
      <c r="G429" s="4" t="s">
        <v>3295</v>
      </c>
      <c r="H429" s="4" t="s">
        <v>695</v>
      </c>
      <c r="I429" s="4">
        <v>12972.0</v>
      </c>
      <c r="J429" t="str">
        <f t="array" ref="J429">INDEX('TJ List'!B:B,MATCH(I429,'TJ List'!N:N,0),0)
</f>
        <v>#N/A</v>
      </c>
      <c r="L429" s="4"/>
      <c r="M429" s="4"/>
      <c r="N429" s="21"/>
      <c r="O429" s="21"/>
      <c r="Z429" s="29"/>
    </row>
    <row r="430">
      <c r="B430" s="14"/>
      <c r="D430" s="14"/>
      <c r="G430" s="4" t="s">
        <v>3296</v>
      </c>
      <c r="H430" s="4" t="s">
        <v>695</v>
      </c>
      <c r="I430" s="4">
        <v>15046.0</v>
      </c>
      <c r="J430" t="str">
        <f t="array" ref="J430">INDEX('TJ List'!B:B,MATCH(I430,'TJ List'!N:N,0),0)
</f>
        <v>#N/A</v>
      </c>
      <c r="L430" s="4"/>
      <c r="M430" s="4"/>
      <c r="N430" s="21"/>
      <c r="O430" s="21"/>
      <c r="Z430" s="29"/>
    </row>
    <row r="431">
      <c r="B431" s="14"/>
      <c r="D431" s="14"/>
      <c r="G431" s="4" t="s">
        <v>3297</v>
      </c>
      <c r="H431" s="4" t="s">
        <v>695</v>
      </c>
      <c r="I431" s="4">
        <v>16400.0</v>
      </c>
      <c r="J431" t="str">
        <f t="array" ref="J431">INDEX('TJ List'!B:B,MATCH(I431,'TJ List'!N:N,0),0)
</f>
        <v>#N/A</v>
      </c>
      <c r="L431" s="4"/>
      <c r="M431" s="4"/>
      <c r="N431" s="21"/>
      <c r="O431" s="21"/>
      <c r="Z431" s="29"/>
    </row>
    <row r="432">
      <c r="B432" s="14"/>
      <c r="D432" s="14"/>
      <c r="G432" s="4" t="s">
        <v>2335</v>
      </c>
      <c r="H432" s="4" t="s">
        <v>887</v>
      </c>
      <c r="I432" s="4">
        <v>4064.0</v>
      </c>
      <c r="J432" s="45">
        <f t="array" ref="J432">INDEX('TJ List'!B:B,MATCH(I432,'TJ List'!N:N,0),0)
</f>
        <v>38077</v>
      </c>
      <c r="L432" s="4"/>
      <c r="M432" s="4"/>
      <c r="N432" s="21"/>
      <c r="O432" s="21"/>
      <c r="Z432" s="29"/>
    </row>
    <row r="433">
      <c r="B433" s="14"/>
      <c r="D433" s="14"/>
      <c r="G433" s="4" t="s">
        <v>1268</v>
      </c>
      <c r="H433" s="4" t="s">
        <v>887</v>
      </c>
      <c r="I433" s="4">
        <v>12917.0</v>
      </c>
      <c r="J433" s="45">
        <f t="array" ref="J433">INDEX('TJ List'!B:B,MATCH(I433,'TJ List'!N:N,0),0)
</f>
        <v>41452</v>
      </c>
      <c r="L433" s="4"/>
      <c r="M433" s="4"/>
      <c r="N433" s="21"/>
      <c r="O433" s="21"/>
      <c r="Z433" s="29"/>
    </row>
    <row r="434">
      <c r="B434" s="14"/>
      <c r="D434" s="14"/>
      <c r="G434" s="4" t="s">
        <v>3298</v>
      </c>
      <c r="H434" s="4" t="s">
        <v>887</v>
      </c>
      <c r="I434" s="4">
        <v>3237.0</v>
      </c>
      <c r="J434" t="str">
        <f t="array" ref="J434">INDEX('TJ List'!B:B,MATCH(I434,'TJ List'!N:N,0),0)
</f>
        <v>#N/A</v>
      </c>
      <c r="L434" s="4"/>
      <c r="M434" s="4"/>
      <c r="N434" s="21"/>
      <c r="O434" s="21"/>
      <c r="Z434" s="29"/>
    </row>
    <row r="435">
      <c r="B435" s="14"/>
      <c r="D435" s="14"/>
      <c r="G435" s="4" t="s">
        <v>3299</v>
      </c>
      <c r="H435" s="4" t="s">
        <v>887</v>
      </c>
      <c r="I435" s="4">
        <v>3240.0</v>
      </c>
      <c r="J435" t="str">
        <f t="array" ref="J435">INDEX('TJ List'!B:B,MATCH(I435,'TJ List'!N:N,0),0)
</f>
        <v>#N/A</v>
      </c>
      <c r="L435" s="4"/>
      <c r="M435" s="4"/>
      <c r="N435" s="21"/>
      <c r="O435" s="21"/>
      <c r="Z435" s="29"/>
    </row>
    <row r="436">
      <c r="B436" s="14"/>
      <c r="D436" s="14"/>
      <c r="G436" s="4" t="s">
        <v>3300</v>
      </c>
      <c r="H436" s="4" t="s">
        <v>887</v>
      </c>
      <c r="I436" s="4">
        <v>3321.0</v>
      </c>
      <c r="J436" t="str">
        <f t="array" ref="J436">INDEX('TJ List'!B:B,MATCH(I436,'TJ List'!N:N,0),0)
</f>
        <v>#N/A</v>
      </c>
      <c r="L436" s="4"/>
      <c r="M436" s="4"/>
      <c r="N436" s="21"/>
      <c r="O436" s="21"/>
      <c r="Z436" s="29"/>
    </row>
    <row r="437">
      <c r="B437" s="14"/>
      <c r="D437" s="14"/>
      <c r="G437" s="4" t="s">
        <v>3301</v>
      </c>
      <c r="H437" s="4" t="s">
        <v>887</v>
      </c>
      <c r="I437" s="4">
        <v>3374.0</v>
      </c>
      <c r="J437" t="str">
        <f t="array" ref="J437">INDEX('TJ List'!B:B,MATCH(I437,'TJ List'!N:N,0),0)
</f>
        <v>#N/A</v>
      </c>
      <c r="L437" s="4"/>
      <c r="M437" s="4"/>
      <c r="N437" s="21"/>
      <c r="O437" s="21"/>
      <c r="Z437" s="29"/>
    </row>
    <row r="438">
      <c r="B438" s="14"/>
      <c r="D438" s="14"/>
      <c r="G438" s="4" t="s">
        <v>3302</v>
      </c>
      <c r="H438" s="4" t="s">
        <v>887</v>
      </c>
      <c r="I438" s="4">
        <v>3677.0</v>
      </c>
      <c r="J438" t="str">
        <f t="array" ref="J438">INDEX('TJ List'!B:B,MATCH(I438,'TJ List'!N:N,0),0)
</f>
        <v>#N/A</v>
      </c>
      <c r="L438" s="4"/>
      <c r="M438" s="4"/>
      <c r="N438" s="21"/>
      <c r="O438" s="21"/>
      <c r="Z438" s="29"/>
    </row>
    <row r="439">
      <c r="B439" s="14"/>
      <c r="D439" s="14"/>
      <c r="G439" s="4" t="s">
        <v>3303</v>
      </c>
      <c r="H439" s="4" t="s">
        <v>887</v>
      </c>
      <c r="I439" s="4">
        <v>5279.0</v>
      </c>
      <c r="J439" t="str">
        <f t="array" ref="J439">INDEX('TJ List'!B:B,MATCH(I439,'TJ List'!N:N,0),0)
</f>
        <v>#N/A</v>
      </c>
      <c r="L439" s="4"/>
      <c r="M439" s="4"/>
      <c r="N439" s="21"/>
      <c r="O439" s="21"/>
      <c r="Z439" s="29"/>
    </row>
    <row r="440">
      <c r="B440" s="14"/>
      <c r="D440" s="14"/>
      <c r="G440" s="4" t="s">
        <v>3304</v>
      </c>
      <c r="H440" s="4" t="s">
        <v>887</v>
      </c>
      <c r="I440" s="4">
        <v>6435.0</v>
      </c>
      <c r="J440" t="str">
        <f t="array" ref="J440">INDEX('TJ List'!B:B,MATCH(I440,'TJ List'!N:N,0),0)
</f>
        <v>#N/A</v>
      </c>
      <c r="L440" s="4"/>
      <c r="M440" s="4"/>
      <c r="N440" s="21"/>
      <c r="O440" s="21"/>
      <c r="Z440" s="29"/>
    </row>
    <row r="441">
      <c r="B441" s="14"/>
      <c r="D441" s="14"/>
      <c r="G441" s="4" t="s">
        <v>3305</v>
      </c>
      <c r="H441" s="4" t="s">
        <v>887</v>
      </c>
      <c r="I441" s="4">
        <v>6627.0</v>
      </c>
      <c r="J441" t="str">
        <f t="array" ref="J441">INDEX('TJ List'!B:B,MATCH(I441,'TJ List'!N:N,0),0)
</f>
        <v>#N/A</v>
      </c>
      <c r="L441" s="4"/>
      <c r="M441" s="4"/>
      <c r="N441" s="21"/>
      <c r="O441" s="21"/>
      <c r="Z441" s="29"/>
    </row>
    <row r="442">
      <c r="B442" s="14"/>
      <c r="D442" s="14"/>
      <c r="G442" s="4" t="s">
        <v>886</v>
      </c>
      <c r="H442" s="4" t="s">
        <v>887</v>
      </c>
      <c r="I442" s="4">
        <v>7888.0</v>
      </c>
      <c r="J442" t="str">
        <f t="array" ref="J442">INDEX('TJ List'!B:B,MATCH(I442,'TJ List'!N:N,0),0)
</f>
        <v>#N/A</v>
      </c>
      <c r="L442" s="4"/>
      <c r="M442" s="4"/>
      <c r="N442" s="21"/>
      <c r="O442" s="21"/>
      <c r="Z442" s="29"/>
    </row>
    <row r="443">
      <c r="B443" s="14"/>
      <c r="D443" s="14"/>
      <c r="G443" s="4" t="s">
        <v>3306</v>
      </c>
      <c r="H443" s="4" t="s">
        <v>887</v>
      </c>
      <c r="I443" s="4">
        <v>8173.0</v>
      </c>
      <c r="J443" t="str">
        <f t="array" ref="J443">INDEX('TJ List'!B:B,MATCH(I443,'TJ List'!N:N,0),0)
</f>
        <v>#N/A</v>
      </c>
      <c r="L443" s="4"/>
      <c r="M443" s="4"/>
      <c r="N443" s="21"/>
      <c r="O443" s="21"/>
      <c r="Z443" s="29"/>
    </row>
    <row r="444">
      <c r="B444" s="14"/>
      <c r="D444" s="14"/>
      <c r="G444" s="4" t="s">
        <v>3307</v>
      </c>
      <c r="H444" s="4" t="s">
        <v>887</v>
      </c>
      <c r="I444" s="4">
        <v>8823.0</v>
      </c>
      <c r="J444" t="str">
        <f t="array" ref="J444">INDEX('TJ List'!B:B,MATCH(I444,'TJ List'!N:N,0),0)
</f>
        <v>#N/A</v>
      </c>
      <c r="L444" s="4"/>
      <c r="M444" s="4"/>
      <c r="N444" s="21"/>
      <c r="O444" s="21"/>
      <c r="Z444" s="29"/>
    </row>
    <row r="445">
      <c r="B445" s="14"/>
      <c r="D445" s="14"/>
      <c r="G445" s="4" t="s">
        <v>3308</v>
      </c>
      <c r="H445" s="4" t="s">
        <v>887</v>
      </c>
      <c r="I445" s="4">
        <v>10044.0</v>
      </c>
      <c r="J445" t="str">
        <f t="array" ref="J445">INDEX('TJ List'!B:B,MATCH(I445,'TJ List'!N:N,0),0)
</f>
        <v>#N/A</v>
      </c>
      <c r="L445" s="4"/>
      <c r="M445" s="4"/>
      <c r="N445" s="21"/>
      <c r="O445" s="21"/>
      <c r="Z445" s="29"/>
    </row>
    <row r="446">
      <c r="B446" s="14"/>
      <c r="D446" s="14"/>
      <c r="G446" s="4" t="s">
        <v>3309</v>
      </c>
      <c r="H446" s="4" t="s">
        <v>887</v>
      </c>
      <c r="I446" s="4">
        <v>10430.0</v>
      </c>
      <c r="J446" t="str">
        <f t="array" ref="J446">INDEX('TJ List'!B:B,MATCH(I446,'TJ List'!N:N,0),0)
</f>
        <v>#N/A</v>
      </c>
      <c r="L446" s="4"/>
      <c r="M446" s="4"/>
      <c r="N446" s="21"/>
      <c r="O446" s="21"/>
      <c r="Z446" s="29"/>
    </row>
    <row r="447">
      <c r="B447" s="14"/>
      <c r="D447" s="14"/>
      <c r="G447" s="4" t="s">
        <v>3310</v>
      </c>
      <c r="H447" s="4" t="s">
        <v>887</v>
      </c>
      <c r="I447" s="4">
        <v>11502.0</v>
      </c>
      <c r="J447" t="str">
        <f t="array" ref="J447">INDEX('TJ List'!B:B,MATCH(I447,'TJ List'!N:N,0),0)
</f>
        <v>#N/A</v>
      </c>
      <c r="L447" s="4"/>
      <c r="M447" s="4"/>
      <c r="N447" s="21"/>
      <c r="O447" s="21"/>
      <c r="Z447" s="29"/>
    </row>
    <row r="448">
      <c r="B448" s="14"/>
      <c r="D448" s="14"/>
      <c r="G448" s="4" t="s">
        <v>3311</v>
      </c>
      <c r="H448" s="4" t="s">
        <v>887</v>
      </c>
      <c r="I448" s="4">
        <v>12586.0</v>
      </c>
      <c r="J448" t="str">
        <f t="array" ref="J448">INDEX('TJ List'!B:B,MATCH(I448,'TJ List'!N:N,0),0)
</f>
        <v>#N/A</v>
      </c>
      <c r="L448" s="4"/>
      <c r="M448" s="4"/>
      <c r="N448" s="21"/>
      <c r="O448" s="21"/>
      <c r="Z448" s="29"/>
    </row>
    <row r="449">
      <c r="B449" s="14"/>
      <c r="D449" s="14"/>
      <c r="G449" s="4" t="s">
        <v>3312</v>
      </c>
      <c r="H449" s="4" t="s">
        <v>887</v>
      </c>
      <c r="I449" s="4">
        <v>12691.0</v>
      </c>
      <c r="J449" t="str">
        <f t="array" ref="J449">INDEX('TJ List'!B:B,MATCH(I449,'TJ List'!N:N,0),0)
</f>
        <v>#N/A</v>
      </c>
      <c r="L449" s="4"/>
      <c r="M449" s="4"/>
      <c r="N449" s="21"/>
      <c r="O449" s="21"/>
      <c r="Z449" s="29"/>
    </row>
    <row r="450">
      <c r="B450" s="14"/>
      <c r="D450" s="14"/>
      <c r="G450" s="4" t="s">
        <v>3313</v>
      </c>
      <c r="H450" s="4" t="s">
        <v>887</v>
      </c>
      <c r="I450" s="4">
        <v>13150.0</v>
      </c>
      <c r="J450" t="str">
        <f t="array" ref="J450">INDEX('TJ List'!B:B,MATCH(I450,'TJ List'!N:N,0),0)
</f>
        <v>#N/A</v>
      </c>
      <c r="L450" s="4"/>
      <c r="M450" s="4"/>
      <c r="N450" s="21"/>
      <c r="O450" s="21"/>
      <c r="Z450" s="29"/>
    </row>
    <row r="451">
      <c r="B451" s="14"/>
      <c r="D451" s="14"/>
      <c r="G451" s="4" t="s">
        <v>3314</v>
      </c>
      <c r="H451" s="4" t="s">
        <v>887</v>
      </c>
      <c r="I451" s="4">
        <v>14107.0</v>
      </c>
      <c r="J451" t="str">
        <f t="array" ref="J451">INDEX('TJ List'!B:B,MATCH(I451,'TJ List'!N:N,0),0)
</f>
        <v>#N/A</v>
      </c>
      <c r="L451" s="4"/>
      <c r="M451" s="4"/>
      <c r="N451" s="21"/>
      <c r="O451" s="21"/>
      <c r="Z451" s="29"/>
    </row>
    <row r="452">
      <c r="B452" s="14"/>
      <c r="D452" s="14"/>
      <c r="G452" s="4" t="s">
        <v>3315</v>
      </c>
      <c r="H452" s="4" t="s">
        <v>887</v>
      </c>
      <c r="I452" s="4">
        <v>15306.0</v>
      </c>
      <c r="J452" t="str">
        <f t="array" ref="J452">INDEX('TJ List'!B:B,MATCH(I452,'TJ List'!N:N,0),0)
</f>
        <v>#N/A</v>
      </c>
      <c r="L452" s="4"/>
      <c r="M452" s="4"/>
      <c r="N452" s="21"/>
      <c r="O452" s="21"/>
      <c r="Z452" s="29"/>
    </row>
    <row r="453">
      <c r="B453" s="14"/>
      <c r="D453" s="14"/>
      <c r="G453" s="4" t="s">
        <v>2449</v>
      </c>
      <c r="H453" s="4" t="s">
        <v>356</v>
      </c>
      <c r="I453" s="4">
        <v>1918.0</v>
      </c>
      <c r="J453" s="45">
        <f t="array" ref="J453">INDEX('TJ List'!B:B,MATCH(I453,'TJ List'!N:N,0),0)
</f>
        <v>37417</v>
      </c>
      <c r="L453" s="4"/>
      <c r="M453" s="4"/>
      <c r="N453" s="21"/>
      <c r="O453" s="21"/>
      <c r="Z453" s="29"/>
    </row>
    <row r="454">
      <c r="B454" s="14"/>
      <c r="D454" s="14"/>
      <c r="G454" s="4" t="s">
        <v>320</v>
      </c>
      <c r="H454" s="4" t="s">
        <v>356</v>
      </c>
      <c r="I454" s="4">
        <v>494.0</v>
      </c>
      <c r="J454" s="45">
        <f t="array" ref="J454">INDEX('TJ List'!B:B,MATCH(I454,'TJ List'!N:N,0),0)
</f>
        <v>38106</v>
      </c>
      <c r="L454" s="4"/>
      <c r="M454" s="4"/>
      <c r="N454" s="21"/>
      <c r="O454" s="21"/>
      <c r="Z454" s="29"/>
    </row>
    <row r="455">
      <c r="B455" s="14"/>
      <c r="D455" s="14"/>
      <c r="G455" s="4" t="s">
        <v>468</v>
      </c>
      <c r="H455" s="4" t="s">
        <v>356</v>
      </c>
      <c r="I455" s="4">
        <v>12220.0</v>
      </c>
      <c r="J455" s="45">
        <f t="array" ref="J455">INDEX('TJ List'!B:B,MATCH(I455,'TJ List'!N:N,0),0)
</f>
        <v>39234</v>
      </c>
      <c r="L455" s="4"/>
      <c r="M455" s="4"/>
      <c r="N455" s="21"/>
      <c r="O455" s="21"/>
      <c r="Z455" s="29"/>
    </row>
    <row r="456">
      <c r="B456" s="14"/>
      <c r="D456" s="14"/>
      <c r="G456" s="4" t="s">
        <v>1585</v>
      </c>
      <c r="H456" s="4" t="s">
        <v>356</v>
      </c>
      <c r="I456" s="4">
        <v>12277.0</v>
      </c>
      <c r="J456" s="45">
        <f t="array" ref="J456">INDEX('TJ List'!B:B,MATCH(I456,'TJ List'!N:N,0),0)
</f>
        <v>40817</v>
      </c>
      <c r="L456" s="4"/>
      <c r="M456" s="4"/>
      <c r="N456" s="21"/>
      <c r="O456" s="21"/>
      <c r="Z456" s="29"/>
    </row>
    <row r="457">
      <c r="B457" s="14"/>
      <c r="D457" s="14"/>
      <c r="G457" s="4" t="s">
        <v>294</v>
      </c>
      <c r="H457" s="4" t="s">
        <v>356</v>
      </c>
      <c r="I457" s="4">
        <v>10354.0</v>
      </c>
      <c r="J457" s="45">
        <f t="array" ref="J457">INDEX('TJ List'!B:B,MATCH(I457,'TJ List'!N:N,0),0)
</f>
        <v>42507</v>
      </c>
      <c r="L457" s="4"/>
      <c r="M457" s="4"/>
      <c r="N457" s="21"/>
      <c r="O457" s="21"/>
      <c r="Z457" s="29"/>
    </row>
    <row r="458">
      <c r="B458" s="14"/>
      <c r="D458" s="14"/>
      <c r="G458" s="4" t="s">
        <v>3316</v>
      </c>
      <c r="H458" s="4" t="s">
        <v>356</v>
      </c>
      <c r="I458" s="4">
        <v>4138.0</v>
      </c>
      <c r="J458" t="str">
        <f t="array" ref="J458">INDEX('TJ List'!B:B,MATCH(I458,'TJ List'!N:N,0),0)
</f>
        <v>#N/A</v>
      </c>
      <c r="L458" s="4"/>
      <c r="M458" s="4"/>
      <c r="N458" s="21"/>
      <c r="O458" s="21"/>
      <c r="Z458" s="29"/>
    </row>
    <row r="459">
      <c r="B459" s="14"/>
      <c r="D459" s="14"/>
      <c r="G459" s="4" t="s">
        <v>3317</v>
      </c>
      <c r="H459" s="4" t="s">
        <v>356</v>
      </c>
      <c r="I459" s="4">
        <v>4878.0</v>
      </c>
      <c r="J459" t="str">
        <f t="array" ref="J459">INDEX('TJ List'!B:B,MATCH(I459,'TJ List'!N:N,0),0)
</f>
        <v>#N/A</v>
      </c>
      <c r="L459" s="4"/>
      <c r="M459" s="4"/>
      <c r="N459" s="21"/>
      <c r="O459" s="21"/>
      <c r="Z459" s="29"/>
    </row>
    <row r="460">
      <c r="B460" s="14"/>
      <c r="D460" s="14"/>
      <c r="G460" s="4" t="s">
        <v>1081</v>
      </c>
      <c r="H460" s="4" t="s">
        <v>356</v>
      </c>
      <c r="I460" s="4">
        <v>7872.0</v>
      </c>
      <c r="J460" t="str">
        <f t="array" ref="J460">INDEX('TJ List'!B:B,MATCH(I460,'TJ List'!N:N,0),0)
</f>
        <v>#N/A</v>
      </c>
      <c r="L460" s="4"/>
      <c r="M460" s="4"/>
      <c r="N460" s="21"/>
      <c r="O460" s="21"/>
      <c r="Z460" s="29"/>
    </row>
    <row r="461">
      <c r="B461" s="14"/>
      <c r="D461" s="14"/>
      <c r="G461" s="4" t="s">
        <v>3318</v>
      </c>
      <c r="H461" s="4" t="s">
        <v>356</v>
      </c>
      <c r="I461" s="4">
        <v>7942.0</v>
      </c>
      <c r="J461" t="str">
        <f t="array" ref="J461">INDEX('TJ List'!B:B,MATCH(I461,'TJ List'!N:N,0),0)
</f>
        <v>#N/A</v>
      </c>
      <c r="L461" s="4"/>
      <c r="M461" s="4"/>
      <c r="N461" s="21"/>
      <c r="O461" s="21"/>
      <c r="Z461" s="29"/>
    </row>
    <row r="462">
      <c r="B462" s="14"/>
      <c r="D462" s="14"/>
      <c r="G462" s="4" t="s">
        <v>354</v>
      </c>
      <c r="H462" s="4" t="s">
        <v>356</v>
      </c>
      <c r="I462" s="4">
        <v>9063.0</v>
      </c>
      <c r="J462" t="str">
        <f t="array" ref="J462">INDEX('TJ List'!B:B,MATCH(I462,'TJ List'!N:N,0),0)
</f>
        <v>#N/A</v>
      </c>
      <c r="L462" s="4"/>
      <c r="M462" s="4"/>
      <c r="N462" s="21"/>
      <c r="O462" s="21"/>
      <c r="Z462" s="29"/>
    </row>
    <row r="463">
      <c r="B463" s="14"/>
      <c r="D463" s="14"/>
      <c r="G463" s="4" t="s">
        <v>3319</v>
      </c>
      <c r="H463" s="4" t="s">
        <v>356</v>
      </c>
      <c r="I463" s="4">
        <v>9111.0</v>
      </c>
      <c r="J463" t="str">
        <f t="array" ref="J463">INDEX('TJ List'!B:B,MATCH(I463,'TJ List'!N:N,0),0)
</f>
        <v>#N/A</v>
      </c>
      <c r="L463" s="4"/>
      <c r="M463" s="4"/>
      <c r="N463" s="21"/>
      <c r="O463" s="21"/>
      <c r="Z463" s="29"/>
    </row>
    <row r="464">
      <c r="B464" s="14"/>
      <c r="D464" s="14"/>
      <c r="G464" s="4" t="s">
        <v>3320</v>
      </c>
      <c r="H464" s="4" t="s">
        <v>356</v>
      </c>
      <c r="I464" s="4">
        <v>9309.0</v>
      </c>
      <c r="J464" t="str">
        <f t="array" ref="J464">INDEX('TJ List'!B:B,MATCH(I464,'TJ List'!N:N,0),0)
</f>
        <v>#N/A</v>
      </c>
      <c r="N464" s="147"/>
      <c r="O464" s="147"/>
      <c r="Z464" s="29"/>
    </row>
    <row r="465">
      <c r="B465" s="14"/>
      <c r="D465" s="14"/>
      <c r="G465" s="4" t="s">
        <v>3321</v>
      </c>
      <c r="H465" s="4" t="s">
        <v>356</v>
      </c>
      <c r="I465" s="4">
        <v>9346.0</v>
      </c>
      <c r="J465" t="str">
        <f t="array" ref="J465">INDEX('TJ List'!B:B,MATCH(I465,'TJ List'!N:N,0),0)
</f>
        <v>#N/A</v>
      </c>
      <c r="N465" s="147"/>
      <c r="O465" s="147"/>
      <c r="Z465" s="29"/>
    </row>
    <row r="466">
      <c r="B466" s="14"/>
      <c r="D466" s="14"/>
      <c r="G466" s="4" t="s">
        <v>3322</v>
      </c>
      <c r="H466" s="4" t="s">
        <v>356</v>
      </c>
      <c r="I466" s="4">
        <v>9456.0</v>
      </c>
      <c r="J466" t="str">
        <f t="array" ref="J466">INDEX('TJ List'!B:B,MATCH(I466,'TJ List'!N:N,0),0)
</f>
        <v>#N/A</v>
      </c>
      <c r="N466" s="147"/>
      <c r="O466" s="147"/>
      <c r="Z466" s="29"/>
    </row>
    <row r="467">
      <c r="B467" s="14"/>
      <c r="D467" s="14"/>
      <c r="G467" s="4" t="s">
        <v>386</v>
      </c>
      <c r="H467" s="4" t="s">
        <v>356</v>
      </c>
      <c r="I467" s="4">
        <v>10028.0</v>
      </c>
      <c r="J467" t="str">
        <f t="array" ref="J467">INDEX('TJ List'!B:B,MATCH(I467,'TJ List'!N:N,0),0)
</f>
        <v>#N/A</v>
      </c>
      <c r="N467" s="147"/>
      <c r="O467" s="147"/>
      <c r="Z467" s="29"/>
    </row>
    <row r="468">
      <c r="B468" s="14"/>
      <c r="D468" s="14"/>
      <c r="G468" s="4" t="s">
        <v>3323</v>
      </c>
      <c r="H468" s="4" t="s">
        <v>356</v>
      </c>
      <c r="I468" s="4">
        <v>11571.0</v>
      </c>
      <c r="J468" t="str">
        <f t="array" ref="J468">INDEX('TJ List'!B:B,MATCH(I468,'TJ List'!N:N,0),0)
</f>
        <v>#N/A</v>
      </c>
      <c r="N468" s="147"/>
      <c r="O468" s="147"/>
      <c r="Z468" s="29"/>
    </row>
    <row r="469">
      <c r="B469" s="14"/>
      <c r="D469" s="14"/>
      <c r="G469" s="4" t="s">
        <v>3324</v>
      </c>
      <c r="H469" s="4" t="s">
        <v>356</v>
      </c>
      <c r="I469" s="4">
        <v>11691.0</v>
      </c>
      <c r="J469" t="str">
        <f t="array" ref="J469">INDEX('TJ List'!B:B,MATCH(I469,'TJ List'!N:N,0),0)
</f>
        <v>#N/A</v>
      </c>
      <c r="N469" s="147"/>
      <c r="O469" s="147"/>
      <c r="Z469" s="29"/>
    </row>
    <row r="470">
      <c r="B470" s="14"/>
      <c r="D470" s="14"/>
      <c r="G470" s="4" t="s">
        <v>3325</v>
      </c>
      <c r="H470" s="4" t="s">
        <v>356</v>
      </c>
      <c r="I470" s="4">
        <v>12360.0</v>
      </c>
      <c r="J470" t="str">
        <f t="array" ref="J470">INDEX('TJ List'!B:B,MATCH(I470,'TJ List'!N:N,0),0)
</f>
        <v>#N/A</v>
      </c>
      <c r="N470" s="147"/>
      <c r="O470" s="147"/>
      <c r="Z470" s="29"/>
    </row>
    <row r="471">
      <c r="B471" s="14"/>
      <c r="D471" s="14"/>
      <c r="G471" s="4" t="s">
        <v>1696</v>
      </c>
      <c r="H471" s="4" t="s">
        <v>356</v>
      </c>
      <c r="I471" s="4">
        <v>14099.0</v>
      </c>
      <c r="J471" t="str">
        <f t="array" ref="J471">INDEX('TJ List'!B:B,MATCH(I471,'TJ List'!N:N,0),0)
</f>
        <v>#N/A</v>
      </c>
      <c r="N471" s="147"/>
      <c r="O471" s="147"/>
      <c r="Z471" s="29"/>
    </row>
    <row r="472">
      <c r="B472" s="14"/>
      <c r="D472" s="14"/>
      <c r="G472" s="4" t="s">
        <v>3326</v>
      </c>
      <c r="H472" s="4" t="s">
        <v>356</v>
      </c>
      <c r="I472" s="4">
        <v>14379.0</v>
      </c>
      <c r="J472" t="str">
        <f t="array" ref="J472">INDEX('TJ List'!B:B,MATCH(I472,'TJ List'!N:N,0),0)
</f>
        <v>#N/A</v>
      </c>
      <c r="N472" s="147"/>
      <c r="O472" s="147"/>
      <c r="Z472" s="29"/>
    </row>
    <row r="473">
      <c r="B473" s="14"/>
      <c r="D473" s="14"/>
      <c r="G473" s="4" t="s">
        <v>3327</v>
      </c>
      <c r="H473" s="4" t="s">
        <v>356</v>
      </c>
      <c r="I473" s="4">
        <v>14682.0</v>
      </c>
      <c r="J473" t="str">
        <f t="array" ref="J473">INDEX('TJ List'!B:B,MATCH(I473,'TJ List'!N:N,0),0)
</f>
        <v>#N/A</v>
      </c>
      <c r="N473" s="147"/>
      <c r="O473" s="147"/>
      <c r="Z473" s="29"/>
    </row>
    <row r="474">
      <c r="B474" s="14"/>
      <c r="D474" s="14"/>
      <c r="G474" s="4" t="s">
        <v>3328</v>
      </c>
      <c r="H474" s="4" t="s">
        <v>356</v>
      </c>
      <c r="I474" s="4">
        <v>14957.0</v>
      </c>
      <c r="J474" t="str">
        <f t="array" ref="J474">INDEX('TJ List'!B:B,MATCH(I474,'TJ List'!N:N,0),0)
</f>
        <v>#N/A</v>
      </c>
      <c r="N474" s="147"/>
      <c r="O474" s="147"/>
      <c r="Z474" s="29"/>
    </row>
    <row r="475">
      <c r="B475" s="14"/>
      <c r="D475" s="14"/>
      <c r="G475" s="4" t="s">
        <v>357</v>
      </c>
      <c r="H475" s="4" t="s">
        <v>722</v>
      </c>
      <c r="I475" s="4">
        <v>1368.0</v>
      </c>
      <c r="J475" s="45">
        <f t="array" ref="J475">INDEX('TJ List'!B:B,MATCH(I475,'TJ List'!N:N,0),0)
</f>
        <v>38477</v>
      </c>
      <c r="N475" s="147"/>
      <c r="O475" s="147"/>
      <c r="Z475" s="29"/>
    </row>
    <row r="476">
      <c r="B476" s="14"/>
      <c r="D476" s="14"/>
      <c r="G476" s="4" t="s">
        <v>2237</v>
      </c>
      <c r="H476" s="4" t="s">
        <v>722</v>
      </c>
      <c r="I476" s="4">
        <v>13560.0</v>
      </c>
      <c r="J476" s="45">
        <f t="array" ref="J476">INDEX('TJ List'!B:B,MATCH(I476,'TJ List'!N:N,0),0)
</f>
        <v>38718</v>
      </c>
      <c r="N476" s="147"/>
      <c r="O476" s="147"/>
      <c r="Z476" s="29"/>
    </row>
    <row r="477">
      <c r="B477" s="14"/>
      <c r="D477" s="14"/>
      <c r="G477" s="4" t="s">
        <v>1963</v>
      </c>
      <c r="H477" s="4" t="s">
        <v>722</v>
      </c>
      <c r="I477" s="4">
        <v>12854.0</v>
      </c>
      <c r="J477" s="45">
        <f t="array" ref="J477">INDEX('TJ List'!B:B,MATCH(I477,'TJ List'!N:N,0),0)
</f>
        <v>39814</v>
      </c>
      <c r="N477" s="147"/>
      <c r="O477" s="147"/>
      <c r="Z477" s="29"/>
    </row>
    <row r="478">
      <c r="B478" s="14"/>
      <c r="D478" s="14"/>
      <c r="G478" s="4" t="s">
        <v>3329</v>
      </c>
      <c r="H478" s="4" t="s">
        <v>722</v>
      </c>
      <c r="I478" s="4">
        <v>11189.0</v>
      </c>
      <c r="J478" s="45">
        <f t="array" ref="J478">INDEX('TJ List'!B:B,MATCH(I478,'TJ List'!N:N,0),0)
</f>
        <v>40443</v>
      </c>
      <c r="N478" s="147"/>
      <c r="O478" s="147"/>
      <c r="Z478" s="29"/>
    </row>
    <row r="479">
      <c r="B479" s="14"/>
      <c r="D479" s="14"/>
      <c r="G479" s="4" t="s">
        <v>1465</v>
      </c>
      <c r="H479" s="4" t="s">
        <v>722</v>
      </c>
      <c r="I479" s="4">
        <v>4676.0</v>
      </c>
      <c r="J479" s="45">
        <f t="array" ref="J479">INDEX('TJ List'!B:B,MATCH(I479,'TJ List'!N:N,0),0)
</f>
        <v>41081</v>
      </c>
      <c r="N479" s="147"/>
      <c r="O479" s="147"/>
      <c r="Z479" s="29"/>
    </row>
    <row r="480">
      <c r="B480" s="14"/>
      <c r="D480" s="14"/>
      <c r="G480" s="4" t="s">
        <v>1360</v>
      </c>
      <c r="H480" s="4" t="s">
        <v>722</v>
      </c>
      <c r="I480" s="4">
        <v>7960.0</v>
      </c>
      <c r="J480" s="45">
        <f t="array" ref="J480">INDEX('TJ List'!B:B,MATCH(I480,'TJ List'!N:N,0),0)
</f>
        <v>41346</v>
      </c>
      <c r="N480" s="147"/>
      <c r="O480" s="147"/>
      <c r="Z480" s="29"/>
    </row>
    <row r="481">
      <c r="B481" s="14"/>
      <c r="D481" s="14"/>
      <c r="G481" s="4" t="s">
        <v>1083</v>
      </c>
      <c r="H481" s="4" t="s">
        <v>722</v>
      </c>
      <c r="I481" s="4">
        <v>4259.0</v>
      </c>
      <c r="J481" s="45">
        <f t="array" ref="J481">INDEX('TJ List'!B:B,MATCH(I481,'TJ List'!N:N,0),0)
</f>
        <v>41730</v>
      </c>
      <c r="N481" s="147"/>
      <c r="O481" s="147"/>
      <c r="Z481" s="29"/>
    </row>
    <row r="482">
      <c r="B482" s="14"/>
      <c r="D482" s="14"/>
      <c r="G482" s="4" t="s">
        <v>3330</v>
      </c>
      <c r="H482" s="4" t="s">
        <v>722</v>
      </c>
      <c r="I482" s="4">
        <v>4089.0</v>
      </c>
      <c r="J482" t="str">
        <f t="array" ref="J482">INDEX('TJ List'!B:B,MATCH(I482,'TJ List'!N:N,0),0)
</f>
        <v>#N/A</v>
      </c>
      <c r="N482" s="147"/>
      <c r="O482" s="147"/>
      <c r="Z482" s="29"/>
    </row>
    <row r="483">
      <c r="B483" s="14"/>
      <c r="D483" s="14"/>
      <c r="G483" s="4" t="s">
        <v>3331</v>
      </c>
      <c r="H483" s="4" t="s">
        <v>722</v>
      </c>
      <c r="I483" s="4">
        <v>4371.0</v>
      </c>
      <c r="J483" t="str">
        <f t="array" ref="J483">INDEX('TJ List'!B:B,MATCH(I483,'TJ List'!N:N,0),0)
</f>
        <v>#N/A</v>
      </c>
      <c r="N483" s="147"/>
      <c r="O483" s="147"/>
      <c r="Z483" s="29"/>
    </row>
    <row r="484">
      <c r="B484" s="14"/>
      <c r="D484" s="14"/>
      <c r="G484" s="4" t="s">
        <v>3332</v>
      </c>
      <c r="H484" s="4" t="s">
        <v>722</v>
      </c>
      <c r="I484" s="4">
        <v>6984.0</v>
      </c>
      <c r="J484" t="str">
        <f t="array" ref="J484">INDEX('TJ List'!B:B,MATCH(I484,'TJ List'!N:N,0),0)
</f>
        <v>#N/A</v>
      </c>
      <c r="N484" s="147"/>
      <c r="O484" s="147"/>
      <c r="Z484" s="29"/>
    </row>
    <row r="485">
      <c r="B485" s="14"/>
      <c r="D485" s="14"/>
      <c r="G485" s="4" t="s">
        <v>3333</v>
      </c>
      <c r="H485" s="4" t="s">
        <v>722</v>
      </c>
      <c r="I485" s="4">
        <v>9033.0</v>
      </c>
      <c r="J485" t="str">
        <f t="array" ref="J485">INDEX('TJ List'!B:B,MATCH(I485,'TJ List'!N:N,0),0)
</f>
        <v>#N/A</v>
      </c>
      <c r="N485" s="147"/>
      <c r="O485" s="147"/>
      <c r="Z485" s="29"/>
    </row>
    <row r="486">
      <c r="B486" s="14"/>
      <c r="D486" s="14"/>
      <c r="G486" s="4" t="s">
        <v>3334</v>
      </c>
      <c r="H486" s="4" t="s">
        <v>722</v>
      </c>
      <c r="I486" s="4">
        <v>10835.0</v>
      </c>
      <c r="J486" t="str">
        <f t="array" ref="J486">INDEX('TJ List'!B:B,MATCH(I486,'TJ List'!N:N,0),0)
</f>
        <v>#N/A</v>
      </c>
      <c r="N486" s="147"/>
      <c r="O486" s="147"/>
      <c r="Z486" s="29"/>
    </row>
    <row r="487">
      <c r="B487" s="14"/>
      <c r="D487" s="14"/>
      <c r="G487" s="4" t="s">
        <v>3335</v>
      </c>
      <c r="H487" s="4" t="s">
        <v>722</v>
      </c>
      <c r="I487" s="4">
        <v>11487.0</v>
      </c>
      <c r="J487" t="str">
        <f t="array" ref="J487">INDEX('TJ List'!B:B,MATCH(I487,'TJ List'!N:N,0),0)
</f>
        <v>#N/A</v>
      </c>
      <c r="N487" s="147"/>
      <c r="O487" s="147"/>
      <c r="Z487" s="29"/>
    </row>
    <row r="488">
      <c r="B488" s="14"/>
      <c r="D488" s="14"/>
      <c r="G488" s="4" t="s">
        <v>3336</v>
      </c>
      <c r="H488" s="4" t="s">
        <v>722</v>
      </c>
      <c r="I488" s="4">
        <v>11804.0</v>
      </c>
      <c r="J488" t="str">
        <f t="array" ref="J488">INDEX('TJ List'!B:B,MATCH(I488,'TJ List'!N:N,0),0)
</f>
        <v>#N/A</v>
      </c>
      <c r="N488" s="147"/>
      <c r="O488" s="147"/>
      <c r="Z488" s="29"/>
    </row>
    <row r="489">
      <c r="B489" s="14"/>
      <c r="D489" s="14"/>
      <c r="G489" s="4" t="s">
        <v>3337</v>
      </c>
      <c r="H489" s="4" t="s">
        <v>722</v>
      </c>
      <c r="I489" s="4">
        <v>12264.0</v>
      </c>
      <c r="J489" t="str">
        <f t="array" ref="J489">INDEX('TJ List'!B:B,MATCH(I489,'TJ List'!N:N,0),0)
</f>
        <v>#N/A</v>
      </c>
      <c r="N489" s="147"/>
      <c r="O489" s="147"/>
      <c r="Z489" s="29"/>
    </row>
    <row r="490">
      <c r="B490" s="14"/>
      <c r="D490" s="14"/>
      <c r="G490" s="4" t="s">
        <v>3338</v>
      </c>
      <c r="H490" s="4" t="s">
        <v>722</v>
      </c>
      <c r="I490" s="4">
        <v>12580.0</v>
      </c>
      <c r="J490" t="str">
        <f t="array" ref="J490">INDEX('TJ List'!B:B,MATCH(I490,'TJ List'!N:N,0),0)
</f>
        <v>#N/A</v>
      </c>
      <c r="N490" s="147"/>
      <c r="O490" s="147"/>
      <c r="Z490" s="29"/>
    </row>
    <row r="491">
      <c r="B491" s="14"/>
      <c r="D491" s="14"/>
      <c r="G491" s="4" t="s">
        <v>3339</v>
      </c>
      <c r="H491" s="4" t="s">
        <v>722</v>
      </c>
      <c r="I491" s="4">
        <v>12664.0</v>
      </c>
      <c r="J491" t="str">
        <f t="array" ref="J491">INDEX('TJ List'!B:B,MATCH(I491,'TJ List'!N:N,0),0)
</f>
        <v>#N/A</v>
      </c>
      <c r="N491" s="147"/>
      <c r="O491" s="147"/>
      <c r="Z491" s="29"/>
    </row>
    <row r="492">
      <c r="B492" s="14"/>
      <c r="D492" s="14"/>
      <c r="G492" s="4" t="s">
        <v>1732</v>
      </c>
      <c r="H492" s="4" t="s">
        <v>722</v>
      </c>
      <c r="I492" s="4">
        <v>13774.0</v>
      </c>
      <c r="J492" t="str">
        <f t="array" ref="J492">INDEX('TJ List'!B:B,MATCH(I492,'TJ List'!N:N,0),0)
</f>
        <v>#N/A</v>
      </c>
      <c r="N492" s="147"/>
      <c r="O492" s="147"/>
      <c r="Z492" s="29"/>
    </row>
    <row r="493">
      <c r="B493" s="14"/>
      <c r="D493" s="14"/>
      <c r="G493" s="4" t="s">
        <v>3340</v>
      </c>
      <c r="H493" s="4" t="s">
        <v>722</v>
      </c>
      <c r="I493" s="4">
        <v>13780.0</v>
      </c>
      <c r="J493" t="str">
        <f t="array" ref="J493">INDEX('TJ List'!B:B,MATCH(I493,'TJ List'!N:N,0),0)
</f>
        <v>#N/A</v>
      </c>
      <c r="N493" s="147"/>
      <c r="O493" s="147"/>
      <c r="Z493" s="29"/>
    </row>
    <row r="494">
      <c r="B494" s="14"/>
      <c r="D494" s="14"/>
      <c r="G494" s="4" t="s">
        <v>3341</v>
      </c>
      <c r="H494" s="4" t="s">
        <v>722</v>
      </c>
      <c r="I494" s="4">
        <v>14371.0</v>
      </c>
      <c r="J494" t="str">
        <f t="array" ref="J494">INDEX('TJ List'!B:B,MATCH(I494,'TJ List'!N:N,0),0)
</f>
        <v>#N/A</v>
      </c>
      <c r="N494" s="147"/>
      <c r="O494" s="147"/>
      <c r="Z494" s="29"/>
    </row>
    <row r="495">
      <c r="B495" s="14"/>
      <c r="D495" s="14"/>
      <c r="G495" s="4" t="s">
        <v>3342</v>
      </c>
      <c r="H495" s="4" t="s">
        <v>722</v>
      </c>
      <c r="I495" s="4">
        <v>14697.0</v>
      </c>
      <c r="J495" t="str">
        <f t="array" ref="J495">INDEX('TJ List'!B:B,MATCH(I495,'TJ List'!N:N,0),0)
</f>
        <v>#N/A</v>
      </c>
      <c r="N495" s="147"/>
      <c r="O495" s="147"/>
      <c r="Z495" s="29"/>
    </row>
    <row r="496">
      <c r="B496" s="14"/>
      <c r="D496" s="14"/>
      <c r="G496" s="4" t="s">
        <v>3343</v>
      </c>
      <c r="H496" s="4" t="s">
        <v>722</v>
      </c>
      <c r="I496" s="4">
        <v>15671.0</v>
      </c>
      <c r="J496" t="str">
        <f t="array" ref="J496">INDEX('TJ List'!B:B,MATCH(I496,'TJ List'!N:N,0),0)
</f>
        <v>#N/A</v>
      </c>
      <c r="N496" s="147"/>
      <c r="O496" s="147"/>
      <c r="Z496" s="29"/>
    </row>
    <row r="497">
      <c r="B497" s="14"/>
      <c r="D497" s="14"/>
      <c r="G497" s="4" t="s">
        <v>3344</v>
      </c>
      <c r="H497" s="4" t="s">
        <v>722</v>
      </c>
      <c r="I497" s="4">
        <v>16086.0</v>
      </c>
      <c r="J497" t="str">
        <f t="array" ref="J497">INDEX('TJ List'!B:B,MATCH(I497,'TJ List'!N:N,0),0)
</f>
        <v>#N/A</v>
      </c>
      <c r="N497" s="147"/>
      <c r="O497" s="147"/>
      <c r="Z497" s="29"/>
    </row>
    <row r="498">
      <c r="B498" s="14"/>
      <c r="D498" s="14"/>
      <c r="G498" s="4" t="s">
        <v>63</v>
      </c>
      <c r="H498" s="4" t="s">
        <v>722</v>
      </c>
      <c r="I498" s="4">
        <v>16149.0</v>
      </c>
      <c r="J498" t="str">
        <f t="array" ref="J498">INDEX('TJ List'!B:B,MATCH(I498,'TJ List'!N:N,0),0)
</f>
        <v>#N/A</v>
      </c>
      <c r="N498" s="147"/>
      <c r="O498" s="147"/>
      <c r="Z498" s="29"/>
    </row>
    <row r="499">
      <c r="B499" s="14"/>
      <c r="D499" s="14"/>
      <c r="G499" s="4" t="s">
        <v>2465</v>
      </c>
      <c r="H499" s="4" t="s">
        <v>545</v>
      </c>
      <c r="I499" s="4">
        <v>1011.0</v>
      </c>
      <c r="J499" s="45">
        <f t="array" ref="J499">INDEX('TJ List'!B:B,MATCH(I499,'TJ List'!N:N,0),0)
</f>
        <v>37257</v>
      </c>
      <c r="N499" s="147"/>
      <c r="O499" s="147"/>
      <c r="Z499" s="29"/>
    </row>
    <row r="500">
      <c r="B500" s="14"/>
      <c r="D500" s="14"/>
      <c r="G500" s="4" t="s">
        <v>387</v>
      </c>
      <c r="H500" s="4" t="s">
        <v>545</v>
      </c>
      <c r="I500" s="4">
        <v>4264.0</v>
      </c>
      <c r="J500" s="45">
        <f t="array" ref="J500">INDEX('TJ List'!B:B,MATCH(I500,'TJ List'!N:N,0),0)
</f>
        <v>39021</v>
      </c>
      <c r="N500" s="147"/>
      <c r="O500" s="147"/>
      <c r="Z500" s="29"/>
    </row>
    <row r="501">
      <c r="B501" s="14"/>
      <c r="D501" s="14"/>
      <c r="G501" s="4" t="s">
        <v>427</v>
      </c>
      <c r="H501" s="4" t="s">
        <v>545</v>
      </c>
      <c r="I501" s="4">
        <v>3201.0</v>
      </c>
      <c r="J501" s="45">
        <f t="array" ref="J501">INDEX('TJ List'!B:B,MATCH(I501,'TJ List'!N:N,0),0)
</f>
        <v>39027</v>
      </c>
      <c r="N501" s="147"/>
      <c r="O501" s="147"/>
      <c r="Z501" s="29"/>
    </row>
    <row r="502">
      <c r="B502" s="14"/>
      <c r="D502" s="14"/>
      <c r="G502" s="4" t="s">
        <v>484</v>
      </c>
      <c r="H502" s="4" t="s">
        <v>545</v>
      </c>
      <c r="I502" s="4">
        <v>8992.0</v>
      </c>
      <c r="J502" s="45">
        <f t="array" ref="J502">INDEX('TJ List'!B:B,MATCH(I502,'TJ List'!N:N,0),0)
</f>
        <v>40544</v>
      </c>
      <c r="N502" s="147"/>
      <c r="O502" s="147"/>
      <c r="Z502" s="29"/>
    </row>
    <row r="503">
      <c r="B503" s="14"/>
      <c r="D503" s="14"/>
      <c r="G503" s="4" t="s">
        <v>1435</v>
      </c>
      <c r="H503" s="4" t="s">
        <v>545</v>
      </c>
      <c r="I503" s="4">
        <v>18.0</v>
      </c>
      <c r="J503" s="45">
        <f t="array" ref="J503">INDEX('TJ List'!B:B,MATCH(I503,'TJ List'!N:N,0),0)
</f>
        <v>41122</v>
      </c>
      <c r="N503" s="147"/>
      <c r="O503" s="147"/>
      <c r="Z503" s="29"/>
    </row>
    <row r="504">
      <c r="B504" s="14"/>
      <c r="D504" s="14"/>
      <c r="G504" s="4" t="s">
        <v>544</v>
      </c>
      <c r="H504" s="4" t="s">
        <v>545</v>
      </c>
      <c r="I504" s="4">
        <v>10732.0</v>
      </c>
      <c r="J504" s="45">
        <f t="array" ref="J504">INDEX('TJ List'!B:B,MATCH(I504,'TJ List'!N:N,0),0)
</f>
        <v>41130</v>
      </c>
      <c r="N504" s="147"/>
      <c r="O504" s="147"/>
      <c r="Z504" s="29"/>
    </row>
    <row r="505">
      <c r="B505" s="14"/>
      <c r="D505" s="14"/>
      <c r="G505" s="4" t="s">
        <v>340</v>
      </c>
      <c r="H505" s="4" t="s">
        <v>545</v>
      </c>
      <c r="I505" s="4">
        <v>1984.0</v>
      </c>
      <c r="J505" s="45">
        <f t="array" ref="J505">INDEX('TJ List'!B:B,MATCH(I505,'TJ List'!N:N,0),0)
</f>
        <v>41688</v>
      </c>
      <c r="N505" s="147"/>
      <c r="O505" s="147"/>
      <c r="Z505" s="29"/>
    </row>
    <row r="506">
      <c r="B506" s="14"/>
      <c r="D506" s="14"/>
      <c r="G506" s="4" t="s">
        <v>1051</v>
      </c>
      <c r="H506" s="4" t="s">
        <v>545</v>
      </c>
      <c r="I506" s="4">
        <v>11674.0</v>
      </c>
      <c r="J506" s="45">
        <f t="array" ref="J506">INDEX('TJ List'!B:B,MATCH(I506,'TJ List'!N:N,0),0)
</f>
        <v>41738</v>
      </c>
      <c r="N506" s="147"/>
      <c r="O506" s="147"/>
      <c r="Z506" s="29"/>
    </row>
    <row r="507">
      <c r="B507" s="14"/>
      <c r="D507" s="14"/>
      <c r="G507" s="4" t="s">
        <v>604</v>
      </c>
      <c r="H507" s="4" t="s">
        <v>545</v>
      </c>
      <c r="I507" s="4">
        <v>1994.0</v>
      </c>
      <c r="J507" s="45">
        <f t="array" ref="J507">INDEX('TJ List'!B:B,MATCH(I507,'TJ List'!N:N,0),0)
</f>
        <v>41758</v>
      </c>
      <c r="N507" s="147"/>
      <c r="O507" s="147"/>
      <c r="Z507" s="29"/>
    </row>
    <row r="508">
      <c r="B508" s="14"/>
      <c r="D508" s="14"/>
      <c r="G508" s="4" t="s">
        <v>3345</v>
      </c>
      <c r="H508" s="4" t="s">
        <v>545</v>
      </c>
      <c r="I508" s="4">
        <v>99.0</v>
      </c>
      <c r="J508" t="str">
        <f t="array" ref="J508">INDEX('TJ List'!B:B,MATCH(I508,'TJ List'!N:N,0),0)
</f>
        <v>#N/A</v>
      </c>
      <c r="N508" s="147"/>
      <c r="O508" s="147"/>
      <c r="Z508" s="29"/>
    </row>
    <row r="509">
      <c r="B509" s="14"/>
      <c r="D509" s="14"/>
      <c r="G509" s="4" t="s">
        <v>3346</v>
      </c>
      <c r="H509" s="4" t="s">
        <v>545</v>
      </c>
      <c r="I509" s="4">
        <v>1333.0</v>
      </c>
      <c r="J509" t="str">
        <f t="array" ref="J509">INDEX('TJ List'!B:B,MATCH(I509,'TJ List'!N:N,0),0)
</f>
        <v>#N/A</v>
      </c>
      <c r="N509" s="147"/>
      <c r="O509" s="147"/>
      <c r="Z509" s="29"/>
    </row>
    <row r="510">
      <c r="B510" s="14"/>
      <c r="D510" s="14"/>
      <c r="G510" s="4" t="s">
        <v>3347</v>
      </c>
      <c r="H510" s="4" t="s">
        <v>545</v>
      </c>
      <c r="I510" s="4">
        <v>2929.0</v>
      </c>
      <c r="J510" t="str">
        <f t="array" ref="J510">INDEX('TJ List'!B:B,MATCH(I510,'TJ List'!N:N,0),0)
</f>
        <v>#N/A</v>
      </c>
      <c r="N510" s="147"/>
      <c r="O510" s="147"/>
      <c r="Z510" s="29"/>
    </row>
    <row r="511">
      <c r="B511" s="14"/>
      <c r="D511" s="14"/>
      <c r="G511" s="4" t="s">
        <v>3348</v>
      </c>
      <c r="H511" s="4" t="s">
        <v>545</v>
      </c>
      <c r="I511" s="4">
        <v>3132.0</v>
      </c>
      <c r="J511" t="str">
        <f t="array" ref="J511">INDEX('TJ List'!B:B,MATCH(I511,'TJ List'!N:N,0),0)
</f>
        <v>#N/A</v>
      </c>
      <c r="N511" s="147"/>
      <c r="O511" s="147"/>
      <c r="Z511" s="29"/>
    </row>
    <row r="512">
      <c r="B512" s="14"/>
      <c r="D512" s="14"/>
      <c r="G512" s="4" t="s">
        <v>3349</v>
      </c>
      <c r="H512" s="4" t="s">
        <v>545</v>
      </c>
      <c r="I512" s="4">
        <v>5200.0</v>
      </c>
      <c r="J512" t="str">
        <f t="array" ref="J512">INDEX('TJ List'!B:B,MATCH(I512,'TJ List'!N:N,0),0)
</f>
        <v>#N/A</v>
      </c>
      <c r="N512" s="147"/>
      <c r="O512" s="147"/>
      <c r="Z512" s="29"/>
    </row>
    <row r="513">
      <c r="B513" s="14"/>
      <c r="D513" s="14"/>
      <c r="G513" s="4" t="s">
        <v>3350</v>
      </c>
      <c r="H513" s="4" t="s">
        <v>545</v>
      </c>
      <c r="I513" s="4">
        <v>5791.0</v>
      </c>
      <c r="J513" t="str">
        <f t="array" ref="J513">INDEX('TJ List'!B:B,MATCH(I513,'TJ List'!N:N,0),0)
</f>
        <v>#N/A</v>
      </c>
      <c r="N513" s="147"/>
      <c r="O513" s="147"/>
      <c r="Z513" s="29"/>
    </row>
    <row r="514">
      <c r="B514" s="14"/>
      <c r="D514" s="14"/>
      <c r="G514" s="4" t="s">
        <v>3351</v>
      </c>
      <c r="H514" s="4" t="s">
        <v>545</v>
      </c>
      <c r="I514" s="4">
        <v>7655.0</v>
      </c>
      <c r="J514" t="str">
        <f t="array" ref="J514">INDEX('TJ List'!B:B,MATCH(I514,'TJ List'!N:N,0),0)
</f>
        <v>#N/A</v>
      </c>
      <c r="N514" s="147"/>
      <c r="O514" s="147"/>
      <c r="Z514" s="29"/>
    </row>
    <row r="515">
      <c r="B515" s="14"/>
      <c r="D515" s="14"/>
      <c r="G515" s="4" t="s">
        <v>3352</v>
      </c>
      <c r="H515" s="4" t="s">
        <v>545</v>
      </c>
      <c r="I515" s="4">
        <v>7731.0</v>
      </c>
      <c r="J515" t="str">
        <f t="array" ref="J515">INDEX('TJ List'!B:B,MATCH(I515,'TJ List'!N:N,0),0)
</f>
        <v>#N/A</v>
      </c>
      <c r="N515" s="147"/>
      <c r="O515" s="147"/>
      <c r="Z515" s="29"/>
    </row>
    <row r="516">
      <c r="B516" s="14"/>
      <c r="D516" s="14"/>
      <c r="G516" s="4" t="s">
        <v>3353</v>
      </c>
      <c r="H516" s="4" t="s">
        <v>545</v>
      </c>
      <c r="I516" s="4">
        <v>9178.0</v>
      </c>
      <c r="J516" t="str">
        <f t="array" ref="J516">INDEX('TJ List'!B:B,MATCH(I516,'TJ List'!N:N,0),0)
</f>
        <v>#N/A</v>
      </c>
      <c r="N516" s="147"/>
      <c r="O516" s="147"/>
      <c r="Z516" s="29"/>
    </row>
    <row r="517">
      <c r="B517" s="14"/>
      <c r="D517" s="14"/>
      <c r="G517" s="4" t="s">
        <v>3354</v>
      </c>
      <c r="H517" s="4" t="s">
        <v>545</v>
      </c>
      <c r="I517" s="4">
        <v>9325.0</v>
      </c>
      <c r="J517" t="str">
        <f t="array" ref="J517">INDEX('TJ List'!B:B,MATCH(I517,'TJ List'!N:N,0),0)
</f>
        <v>#N/A</v>
      </c>
      <c r="N517" s="147"/>
      <c r="O517" s="147"/>
      <c r="Z517" s="29"/>
    </row>
    <row r="518">
      <c r="B518" s="14"/>
      <c r="D518" s="14"/>
      <c r="G518" s="4" t="s">
        <v>1767</v>
      </c>
      <c r="H518" s="4" t="s">
        <v>545</v>
      </c>
      <c r="I518" s="4">
        <v>11432.0</v>
      </c>
      <c r="J518" t="str">
        <f t="array" ref="J518">INDEX('TJ List'!B:B,MATCH(I518,'TJ List'!N:N,0),0)
</f>
        <v>#N/A</v>
      </c>
      <c r="N518" s="147"/>
      <c r="O518" s="147"/>
      <c r="Z518" s="29"/>
    </row>
    <row r="519">
      <c r="B519" s="14"/>
      <c r="D519" s="14"/>
      <c r="G519" s="4" t="s">
        <v>1779</v>
      </c>
      <c r="H519" s="4" t="s">
        <v>545</v>
      </c>
      <c r="I519" s="4">
        <v>13125.0</v>
      </c>
      <c r="J519" t="str">
        <f t="array" ref="J519">INDEX('TJ List'!B:B,MATCH(I519,'TJ List'!N:N,0),0)
</f>
        <v>#N/A</v>
      </c>
      <c r="N519" s="147"/>
      <c r="O519" s="147"/>
      <c r="Z519" s="29"/>
    </row>
    <row r="520">
      <c r="B520" s="14"/>
      <c r="D520" s="14"/>
      <c r="G520" s="4" t="s">
        <v>3355</v>
      </c>
      <c r="H520" s="4" t="s">
        <v>545</v>
      </c>
      <c r="I520" s="4">
        <v>14374.0</v>
      </c>
      <c r="J520" t="str">
        <f t="array" ref="J520">INDEX('TJ List'!B:B,MATCH(I520,'TJ List'!N:N,0),0)
</f>
        <v>#N/A</v>
      </c>
      <c r="N520" s="147"/>
      <c r="O520" s="147"/>
      <c r="Z520" s="29"/>
    </row>
    <row r="521">
      <c r="B521" s="14"/>
      <c r="D521" s="14"/>
      <c r="G521" s="4" t="s">
        <v>3356</v>
      </c>
      <c r="H521" s="4" t="s">
        <v>545</v>
      </c>
      <c r="I521" s="4">
        <v>14975.0</v>
      </c>
      <c r="J521" t="str">
        <f t="array" ref="J521">INDEX('TJ List'!B:B,MATCH(I521,'TJ List'!N:N,0),0)
</f>
        <v>#N/A</v>
      </c>
      <c r="N521" s="147"/>
      <c r="O521" s="147"/>
      <c r="Z521" s="29"/>
    </row>
    <row r="522">
      <c r="B522" s="14"/>
      <c r="D522" s="14"/>
      <c r="G522" s="4" t="s">
        <v>3357</v>
      </c>
      <c r="H522" s="4" t="s">
        <v>545</v>
      </c>
      <c r="I522" s="4">
        <v>15291.0</v>
      </c>
      <c r="J522" t="str">
        <f t="array" ref="J522">INDEX('TJ List'!B:B,MATCH(I522,'TJ List'!N:N,0),0)
</f>
        <v>#N/A</v>
      </c>
      <c r="N522" s="147"/>
      <c r="O522" s="147"/>
      <c r="Z522" s="29"/>
    </row>
    <row r="523">
      <c r="B523" s="14"/>
      <c r="D523" s="14"/>
      <c r="G523" s="4" t="s">
        <v>3358</v>
      </c>
      <c r="H523" s="4" t="s">
        <v>545</v>
      </c>
      <c r="I523" s="4">
        <v>16977.0</v>
      </c>
      <c r="J523" t="str">
        <f t="array" ref="J523">INDEX('TJ List'!B:B,MATCH(I523,'TJ List'!N:N,0),0)
</f>
        <v>#N/A</v>
      </c>
      <c r="N523" s="147"/>
      <c r="O523" s="147"/>
      <c r="Z523" s="29"/>
    </row>
    <row r="524">
      <c r="B524" s="14"/>
      <c r="D524" s="14"/>
      <c r="G524" s="4" t="s">
        <v>1019</v>
      </c>
      <c r="H524" s="4" t="s">
        <v>573</v>
      </c>
      <c r="I524" s="4">
        <v>1259.0</v>
      </c>
      <c r="J524" s="45">
        <f t="array" ref="J524">INDEX('TJ List'!B:B,MATCH(I524,'TJ List'!N:N,0),0)
</f>
        <v>35431</v>
      </c>
      <c r="N524" s="147"/>
      <c r="O524" s="147"/>
      <c r="Z524" s="29"/>
    </row>
    <row r="525">
      <c r="B525" s="14"/>
      <c r="D525" s="14"/>
      <c r="G525" s="4" t="s">
        <v>1819</v>
      </c>
      <c r="H525" s="4" t="s">
        <v>573</v>
      </c>
      <c r="I525" s="4">
        <v>10481.0</v>
      </c>
      <c r="J525" s="45">
        <f t="array" ref="J525">INDEX('TJ List'!B:B,MATCH(I525,'TJ List'!N:N,0),0)
</f>
        <v>38777</v>
      </c>
      <c r="N525" s="147"/>
      <c r="O525" s="147"/>
      <c r="Z525" s="29"/>
    </row>
    <row r="526">
      <c r="B526" s="14"/>
      <c r="D526" s="14"/>
      <c r="G526" s="4" t="s">
        <v>2168</v>
      </c>
      <c r="H526" s="4" t="s">
        <v>573</v>
      </c>
      <c r="I526" s="4">
        <v>1246.0</v>
      </c>
      <c r="J526" s="45">
        <f t="array" ref="J526">INDEX('TJ List'!B:B,MATCH(I526,'TJ List'!N:N,0),0)
</f>
        <v>39083</v>
      </c>
      <c r="N526" s="147"/>
      <c r="O526" s="147"/>
      <c r="Z526" s="29"/>
    </row>
    <row r="527">
      <c r="B527" s="14"/>
      <c r="D527" s="14"/>
      <c r="G527" s="4" t="s">
        <v>1713</v>
      </c>
      <c r="H527" s="4" t="s">
        <v>573</v>
      </c>
      <c r="I527" s="4">
        <v>11710.0</v>
      </c>
      <c r="J527" s="45">
        <f t="array" ref="J527">INDEX('TJ List'!B:B,MATCH(I527,'TJ List'!N:N,0),0)
</f>
        <v>40483</v>
      </c>
      <c r="N527" s="147"/>
      <c r="O527" s="147"/>
      <c r="Z527" s="29"/>
    </row>
    <row r="528">
      <c r="B528" s="14"/>
      <c r="D528" s="14"/>
      <c r="G528" s="4" t="s">
        <v>987</v>
      </c>
      <c r="H528" s="4" t="s">
        <v>573</v>
      </c>
      <c r="I528" s="4">
        <v>11132.0</v>
      </c>
      <c r="J528" s="45">
        <f t="array" ref="J528">INDEX('TJ List'!B:B,MATCH(I528,'TJ List'!N:N,0),0)
</f>
        <v>41759</v>
      </c>
      <c r="N528" s="147"/>
      <c r="O528" s="147"/>
      <c r="Z528" s="29"/>
    </row>
    <row r="529">
      <c r="B529" s="14"/>
      <c r="D529" s="14"/>
      <c r="G529" s="4" t="s">
        <v>961</v>
      </c>
      <c r="H529" s="4" t="s">
        <v>573</v>
      </c>
      <c r="I529" s="4">
        <v>6902.0</v>
      </c>
      <c r="J529" s="45">
        <f t="array" ref="J529">INDEX('TJ List'!B:B,MATCH(I529,'TJ List'!N:N,0),0)
</f>
        <v>41778</v>
      </c>
      <c r="N529" s="147"/>
      <c r="O529" s="147"/>
      <c r="Z529" s="29"/>
    </row>
    <row r="530">
      <c r="B530" s="14"/>
      <c r="D530" s="14"/>
      <c r="G530" s="4" t="s">
        <v>734</v>
      </c>
      <c r="H530" s="4" t="s">
        <v>573</v>
      </c>
      <c r="I530" s="4">
        <v>13074.0</v>
      </c>
      <c r="J530" s="45">
        <f t="array" ref="J530">INDEX('TJ List'!B:B,MATCH(I530,'TJ List'!N:N,0),0)
</f>
        <v>42080</v>
      </c>
      <c r="N530" s="147"/>
      <c r="O530" s="147"/>
      <c r="Z530" s="29"/>
    </row>
    <row r="531">
      <c r="B531" s="14"/>
      <c r="D531" s="14"/>
      <c r="G531" s="4" t="s">
        <v>3359</v>
      </c>
      <c r="H531" s="4" t="s">
        <v>573</v>
      </c>
      <c r="I531" s="4">
        <v>739.0</v>
      </c>
      <c r="J531" t="str">
        <f t="array" ref="J531">INDEX('TJ List'!B:B,MATCH(I531,'TJ List'!N:N,0),0)
</f>
        <v>#N/A</v>
      </c>
      <c r="N531" s="147"/>
      <c r="O531" s="147"/>
      <c r="Z531" s="29"/>
    </row>
    <row r="532">
      <c r="B532" s="14"/>
      <c r="D532" s="14"/>
      <c r="G532" s="4" t="s">
        <v>3360</v>
      </c>
      <c r="H532" s="4" t="s">
        <v>573</v>
      </c>
      <c r="I532" s="4">
        <v>3357.0</v>
      </c>
      <c r="J532" t="str">
        <f t="array" ref="J532">INDEX('TJ List'!B:B,MATCH(I532,'TJ List'!N:N,0),0)
</f>
        <v>#N/A</v>
      </c>
      <c r="N532" s="147"/>
      <c r="O532" s="147"/>
      <c r="Z532" s="29"/>
    </row>
    <row r="533">
      <c r="B533" s="14"/>
      <c r="D533" s="14"/>
      <c r="G533" s="4" t="s">
        <v>3361</v>
      </c>
      <c r="H533" s="4" t="s">
        <v>573</v>
      </c>
      <c r="I533" s="4">
        <v>3555.0</v>
      </c>
      <c r="J533" t="str">
        <f t="array" ref="J533">INDEX('TJ List'!B:B,MATCH(I533,'TJ List'!N:N,0),0)
</f>
        <v>#N/A</v>
      </c>
      <c r="N533" s="147"/>
      <c r="O533" s="147"/>
      <c r="Z533" s="29"/>
    </row>
    <row r="534">
      <c r="B534" s="14"/>
      <c r="D534" s="14"/>
      <c r="G534" s="4" t="s">
        <v>3362</v>
      </c>
      <c r="H534" s="4" t="s">
        <v>573</v>
      </c>
      <c r="I534" s="4">
        <v>4141.0</v>
      </c>
      <c r="J534" t="str">
        <f t="array" ref="J534">INDEX('TJ List'!B:B,MATCH(I534,'TJ List'!N:N,0),0)
</f>
        <v>#N/A</v>
      </c>
      <c r="N534" s="147"/>
      <c r="O534" s="147"/>
      <c r="Z534" s="29"/>
    </row>
    <row r="535">
      <c r="B535" s="14"/>
      <c r="D535" s="14"/>
      <c r="G535" s="4" t="s">
        <v>3363</v>
      </c>
      <c r="H535" s="4" t="s">
        <v>573</v>
      </c>
      <c r="I535" s="4">
        <v>4972.0</v>
      </c>
      <c r="J535" t="str">
        <f t="array" ref="J535">INDEX('TJ List'!B:B,MATCH(I535,'TJ List'!N:N,0),0)
</f>
        <v>#N/A</v>
      </c>
      <c r="N535" s="147"/>
      <c r="O535" s="147"/>
      <c r="Z535" s="29"/>
    </row>
    <row r="536">
      <c r="B536" s="14"/>
      <c r="D536" s="14"/>
      <c r="G536" s="4" t="s">
        <v>3364</v>
      </c>
      <c r="H536" s="4" t="s">
        <v>573</v>
      </c>
      <c r="I536" s="4">
        <v>5003.0</v>
      </c>
      <c r="J536" t="str">
        <f t="array" ref="J536">INDEX('TJ List'!B:B,MATCH(I536,'TJ List'!N:N,0),0)
</f>
        <v>#N/A</v>
      </c>
      <c r="N536" s="147"/>
      <c r="O536" s="147"/>
      <c r="Z536" s="29"/>
    </row>
    <row r="537">
      <c r="B537" s="14"/>
      <c r="D537" s="14"/>
      <c r="G537" s="4" t="s">
        <v>3365</v>
      </c>
      <c r="H537" s="4" t="s">
        <v>573</v>
      </c>
      <c r="I537" s="4">
        <v>10267.0</v>
      </c>
      <c r="J537" t="str">
        <f t="array" ref="J537">INDEX('TJ List'!B:B,MATCH(I537,'TJ List'!N:N,0),0)
</f>
        <v>#N/A</v>
      </c>
      <c r="N537" s="147"/>
      <c r="O537" s="147"/>
      <c r="Z537" s="29"/>
    </row>
    <row r="538">
      <c r="B538" s="14"/>
      <c r="D538" s="14"/>
      <c r="G538" s="4" t="s">
        <v>603</v>
      </c>
      <c r="H538" s="4" t="s">
        <v>573</v>
      </c>
      <c r="I538" s="4">
        <v>10882.0</v>
      </c>
      <c r="J538" t="str">
        <f t="array" ref="J538">INDEX('TJ List'!B:B,MATCH(I538,'TJ List'!N:N,0),0)
</f>
        <v>#N/A</v>
      </c>
      <c r="N538" s="147"/>
      <c r="O538" s="147"/>
      <c r="Z538" s="29"/>
    </row>
    <row r="539">
      <c r="B539" s="14"/>
      <c r="D539" s="14"/>
      <c r="G539" s="4" t="s">
        <v>572</v>
      </c>
      <c r="H539" s="4" t="s">
        <v>573</v>
      </c>
      <c r="I539" s="4">
        <v>11287.0</v>
      </c>
      <c r="J539" t="str">
        <f t="array" ref="J539">INDEX('TJ List'!B:B,MATCH(I539,'TJ List'!N:N,0),0)
</f>
        <v>#N/A</v>
      </c>
      <c r="N539" s="147"/>
      <c r="O539" s="147"/>
      <c r="Z539" s="29"/>
    </row>
    <row r="540">
      <c r="B540" s="14"/>
      <c r="D540" s="14"/>
      <c r="G540" s="4" t="s">
        <v>3366</v>
      </c>
      <c r="H540" s="4" t="s">
        <v>573</v>
      </c>
      <c r="I540" s="4">
        <v>11752.0</v>
      </c>
      <c r="J540" t="str">
        <f t="array" ref="J540">INDEX('TJ List'!B:B,MATCH(I540,'TJ List'!N:N,0),0)
</f>
        <v>#N/A</v>
      </c>
      <c r="N540" s="147"/>
      <c r="O540" s="147"/>
      <c r="Z540" s="29"/>
    </row>
    <row r="541">
      <c r="B541" s="14"/>
      <c r="D541" s="14"/>
      <c r="G541" s="4" t="s">
        <v>3367</v>
      </c>
      <c r="H541" s="4" t="s">
        <v>573</v>
      </c>
      <c r="I541" s="4">
        <v>12730.0</v>
      </c>
      <c r="J541" t="str">
        <f t="array" ref="J541">INDEX('TJ List'!B:B,MATCH(I541,'TJ List'!N:N,0),0)
</f>
        <v>#N/A</v>
      </c>
      <c r="N541" s="147"/>
      <c r="O541" s="147"/>
      <c r="Z541" s="29"/>
    </row>
    <row r="542">
      <c r="B542" s="14"/>
      <c r="D542" s="14"/>
      <c r="G542" s="4" t="s">
        <v>3368</v>
      </c>
      <c r="H542" s="4" t="s">
        <v>573</v>
      </c>
      <c r="I542" s="4">
        <v>12890.0</v>
      </c>
      <c r="J542" t="str">
        <f t="array" ref="J542">INDEX('TJ List'!B:B,MATCH(I542,'TJ List'!N:N,0),0)
</f>
        <v>#N/A</v>
      </c>
      <c r="N542" s="147"/>
      <c r="O542" s="147"/>
      <c r="Z542" s="29"/>
    </row>
    <row r="543">
      <c r="B543" s="14"/>
      <c r="D543" s="14"/>
      <c r="G543" s="4" t="s">
        <v>3369</v>
      </c>
      <c r="H543" s="4" t="s">
        <v>573</v>
      </c>
      <c r="I543" s="4">
        <v>12982.0</v>
      </c>
      <c r="J543" t="str">
        <f t="array" ref="J543">INDEX('TJ List'!B:B,MATCH(I543,'TJ List'!N:N,0),0)
</f>
        <v>#N/A</v>
      </c>
      <c r="N543" s="147"/>
      <c r="O543" s="147"/>
      <c r="Z543" s="29"/>
    </row>
    <row r="544">
      <c r="B544" s="14"/>
      <c r="D544" s="14"/>
      <c r="G544" s="4" t="s">
        <v>3370</v>
      </c>
      <c r="H544" s="4" t="s">
        <v>573</v>
      </c>
      <c r="I544" s="4">
        <v>13736.0</v>
      </c>
      <c r="J544" t="str">
        <f t="array" ref="J544">INDEX('TJ List'!B:B,MATCH(I544,'TJ List'!N:N,0),0)
</f>
        <v>#N/A</v>
      </c>
      <c r="N544" s="147"/>
      <c r="O544" s="147"/>
      <c r="Z544" s="29"/>
    </row>
    <row r="545">
      <c r="B545" s="14"/>
      <c r="D545" s="14"/>
      <c r="G545" s="4" t="s">
        <v>3371</v>
      </c>
      <c r="H545" s="4" t="s">
        <v>573</v>
      </c>
      <c r="I545" s="4">
        <v>14391.0</v>
      </c>
      <c r="J545" t="str">
        <f t="array" ref="J545">INDEX('TJ List'!B:B,MATCH(I545,'TJ List'!N:N,0),0)
</f>
        <v>#N/A</v>
      </c>
      <c r="N545" s="147"/>
      <c r="O545" s="147"/>
      <c r="Z545" s="29"/>
    </row>
    <row r="546">
      <c r="B546" s="14"/>
      <c r="D546" s="14"/>
      <c r="G546" s="4" t="s">
        <v>3372</v>
      </c>
      <c r="H546" s="4" t="s">
        <v>573</v>
      </c>
      <c r="I546" s="4">
        <v>14524.0</v>
      </c>
      <c r="J546" t="str">
        <f t="array" ref="J546">INDEX('TJ List'!B:B,MATCH(I546,'TJ List'!N:N,0),0)
</f>
        <v>#N/A</v>
      </c>
      <c r="N546" s="147"/>
      <c r="O546" s="147"/>
      <c r="Z546" s="29"/>
    </row>
    <row r="547">
      <c r="B547" s="14"/>
      <c r="D547" s="14"/>
      <c r="G547" s="4" t="s">
        <v>3373</v>
      </c>
      <c r="H547" s="4" t="s">
        <v>573</v>
      </c>
      <c r="I547" s="4">
        <v>14663.0</v>
      </c>
      <c r="J547" t="str">
        <f t="array" ref="J547">INDEX('TJ List'!B:B,MATCH(I547,'TJ List'!N:N,0),0)
</f>
        <v>#N/A</v>
      </c>
      <c r="N547" s="147"/>
      <c r="O547" s="147"/>
      <c r="Z547" s="29"/>
    </row>
    <row r="548">
      <c r="B548" s="14"/>
      <c r="D548" s="14"/>
      <c r="G548" s="4" t="s">
        <v>3374</v>
      </c>
      <c r="H548" s="4" t="s">
        <v>573</v>
      </c>
      <c r="I548" s="4">
        <v>14696.0</v>
      </c>
      <c r="J548" t="str">
        <f t="array" ref="J548">INDEX('TJ List'!B:B,MATCH(I548,'TJ List'!N:N,0),0)
</f>
        <v>#N/A</v>
      </c>
      <c r="N548" s="147"/>
      <c r="O548" s="147"/>
      <c r="Z548" s="29"/>
    </row>
    <row r="549">
      <c r="B549" s="14"/>
      <c r="D549" s="14"/>
      <c r="G549" s="4" t="s">
        <v>2206</v>
      </c>
      <c r="H549" s="4" t="s">
        <v>721</v>
      </c>
      <c r="I549" s="4">
        <v>6911.0</v>
      </c>
      <c r="J549" s="45">
        <f t="array" ref="J549">INDEX('TJ List'!B:B,MATCH(I549,'TJ List'!N:N,0),0)
</f>
        <v>38838</v>
      </c>
      <c r="N549" s="147"/>
      <c r="O549" s="147"/>
      <c r="Z549" s="29"/>
    </row>
    <row r="550">
      <c r="B550" s="14"/>
      <c r="D550" s="14"/>
      <c r="G550" s="4" t="s">
        <v>2142</v>
      </c>
      <c r="H550" s="4" t="s">
        <v>721</v>
      </c>
      <c r="I550" s="4">
        <v>6780.0</v>
      </c>
      <c r="J550" s="45">
        <f t="array" ref="J550">INDEX('TJ List'!B:B,MATCH(I550,'TJ List'!N:N,0),0)
</f>
        <v>39083</v>
      </c>
      <c r="N550" s="147"/>
      <c r="O550" s="147"/>
      <c r="Z550" s="29"/>
    </row>
    <row r="551">
      <c r="B551" s="14"/>
      <c r="D551" s="14"/>
      <c r="G551" s="4" t="s">
        <v>574</v>
      </c>
      <c r="H551" s="4" t="s">
        <v>721</v>
      </c>
      <c r="I551" s="4">
        <v>1890.0</v>
      </c>
      <c r="J551" s="45">
        <f t="array" ref="J551">INDEX('TJ List'!B:B,MATCH(I551,'TJ List'!N:N,0),0)
</f>
        <v>41751</v>
      </c>
      <c r="N551" s="147"/>
      <c r="O551" s="147"/>
      <c r="Z551" s="29"/>
    </row>
    <row r="552">
      <c r="B552" s="14"/>
      <c r="D552" s="14"/>
      <c r="G552" s="4" t="s">
        <v>129</v>
      </c>
      <c r="H552" s="4" t="s">
        <v>721</v>
      </c>
      <c r="I552" s="4">
        <v>6562.0</v>
      </c>
      <c r="J552" s="45">
        <f t="array" ref="J552">INDEX('TJ List'!B:B,MATCH(I552,'TJ List'!N:N,0),0)
</f>
        <v>42138</v>
      </c>
      <c r="N552" s="147"/>
      <c r="O552" s="147"/>
      <c r="Z552" s="29"/>
    </row>
    <row r="553">
      <c r="B553" s="14"/>
      <c r="D553" s="14"/>
      <c r="G553" s="4" t="s">
        <v>610</v>
      </c>
      <c r="H553" s="4" t="s">
        <v>721</v>
      </c>
      <c r="I553" s="4">
        <v>10982.0</v>
      </c>
      <c r="J553" s="45">
        <f t="array" ref="J553">INDEX('TJ List'!B:B,MATCH(I553,'TJ List'!N:N,0),0)
</f>
        <v>42143</v>
      </c>
      <c r="N553" s="147"/>
      <c r="O553" s="147"/>
      <c r="Z553" s="29"/>
    </row>
    <row r="554">
      <c r="B554" s="14"/>
      <c r="D554" s="14"/>
      <c r="G554" s="4" t="s">
        <v>3375</v>
      </c>
      <c r="H554" s="4" t="s">
        <v>721</v>
      </c>
      <c r="I554" s="4">
        <v>36.0</v>
      </c>
      <c r="J554" t="str">
        <f t="array" ref="J554">INDEX('TJ List'!B:B,MATCH(I554,'TJ List'!N:N,0),0)
</f>
        <v>#N/A</v>
      </c>
      <c r="N554" s="147"/>
      <c r="O554" s="147"/>
      <c r="Z554" s="29"/>
    </row>
    <row r="555">
      <c r="B555" s="14"/>
      <c r="D555" s="14"/>
      <c r="G555" s="4" t="s">
        <v>3376</v>
      </c>
      <c r="H555" s="4" t="s">
        <v>721</v>
      </c>
      <c r="I555" s="4">
        <v>4001.0</v>
      </c>
      <c r="J555" t="str">
        <f t="array" ref="J555">INDEX('TJ List'!B:B,MATCH(I555,'TJ List'!N:N,0),0)
</f>
        <v>#N/A</v>
      </c>
      <c r="N555" s="147"/>
      <c r="O555" s="147"/>
      <c r="Z555" s="29"/>
    </row>
    <row r="556">
      <c r="B556" s="14"/>
      <c r="D556" s="14"/>
      <c r="G556" s="4" t="s">
        <v>1025</v>
      </c>
      <c r="H556" s="4" t="s">
        <v>721</v>
      </c>
      <c r="I556" s="4">
        <v>5508.0</v>
      </c>
      <c r="J556" t="str">
        <f t="array" ref="J556">INDEX('TJ List'!B:B,MATCH(I556,'TJ List'!N:N,0),0)
</f>
        <v>#N/A</v>
      </c>
      <c r="N556" s="147"/>
      <c r="O556" s="147"/>
      <c r="Z556" s="29"/>
    </row>
    <row r="557">
      <c r="B557" s="14"/>
      <c r="D557" s="14"/>
      <c r="G557" s="4" t="s">
        <v>3377</v>
      </c>
      <c r="H557" s="4" t="s">
        <v>721</v>
      </c>
      <c r="I557" s="4">
        <v>6345.0</v>
      </c>
      <c r="J557" t="str">
        <f t="array" ref="J557">INDEX('TJ List'!B:B,MATCH(I557,'TJ List'!N:N,0),0)
</f>
        <v>#N/A</v>
      </c>
      <c r="N557" s="147"/>
      <c r="O557" s="147"/>
      <c r="Z557" s="29"/>
    </row>
    <row r="558">
      <c r="B558" s="14"/>
      <c r="D558" s="14"/>
      <c r="G558" s="4" t="s">
        <v>3378</v>
      </c>
      <c r="H558" s="4" t="s">
        <v>721</v>
      </c>
      <c r="I558" s="4">
        <v>6397.0</v>
      </c>
      <c r="J558" t="str">
        <f t="array" ref="J558">INDEX('TJ List'!B:B,MATCH(I558,'TJ List'!N:N,0),0)
</f>
        <v>#N/A</v>
      </c>
      <c r="N558" s="147"/>
      <c r="O558" s="147"/>
      <c r="Z558" s="29"/>
    </row>
    <row r="559">
      <c r="B559" s="14"/>
      <c r="D559" s="14"/>
      <c r="G559" s="4" t="s">
        <v>3379</v>
      </c>
      <c r="H559" s="4" t="s">
        <v>721</v>
      </c>
      <c r="I559" s="4">
        <v>6661.0</v>
      </c>
      <c r="J559" t="str">
        <f t="array" ref="J559">INDEX('TJ List'!B:B,MATCH(I559,'TJ List'!N:N,0),0)
</f>
        <v>#N/A</v>
      </c>
      <c r="N559" s="147"/>
      <c r="O559" s="147"/>
      <c r="Z559" s="29"/>
    </row>
    <row r="560">
      <c r="B560" s="14"/>
      <c r="D560" s="14"/>
      <c r="G560" s="4" t="s">
        <v>3380</v>
      </c>
      <c r="H560" s="4" t="s">
        <v>721</v>
      </c>
      <c r="I560" s="4">
        <v>7474.0</v>
      </c>
      <c r="J560" t="str">
        <f t="array" ref="J560">INDEX('TJ List'!B:B,MATCH(I560,'TJ List'!N:N,0),0)
</f>
        <v>#N/A</v>
      </c>
      <c r="N560" s="147"/>
      <c r="O560" s="147"/>
      <c r="Z560" s="29"/>
    </row>
    <row r="561">
      <c r="B561" s="14"/>
      <c r="D561" s="14"/>
      <c r="G561" s="4" t="s">
        <v>3381</v>
      </c>
      <c r="H561" s="4" t="s">
        <v>721</v>
      </c>
      <c r="I561" s="4">
        <v>8402.0</v>
      </c>
      <c r="J561" t="str">
        <f t="array" ref="J561">INDEX('TJ List'!B:B,MATCH(I561,'TJ List'!N:N,0),0)
</f>
        <v>#N/A</v>
      </c>
      <c r="N561" s="147"/>
      <c r="O561" s="147"/>
      <c r="Z561" s="29"/>
    </row>
    <row r="562">
      <c r="B562" s="14"/>
      <c r="D562" s="14"/>
      <c r="G562" s="4" t="s">
        <v>3382</v>
      </c>
      <c r="H562" s="4" t="s">
        <v>721</v>
      </c>
      <c r="I562" s="4">
        <v>8501.0</v>
      </c>
      <c r="J562" t="str">
        <f t="array" ref="J562">INDEX('TJ List'!B:B,MATCH(I562,'TJ List'!N:N,0),0)
</f>
        <v>#N/A</v>
      </c>
      <c r="N562" s="147"/>
      <c r="O562" s="147"/>
      <c r="Z562" s="29"/>
    </row>
    <row r="563">
      <c r="B563" s="14"/>
      <c r="D563" s="14"/>
      <c r="G563" s="4" t="s">
        <v>3383</v>
      </c>
      <c r="H563" s="4" t="s">
        <v>721</v>
      </c>
      <c r="I563" s="4">
        <v>10133.0</v>
      </c>
      <c r="J563" t="str">
        <f t="array" ref="J563">INDEX('TJ List'!B:B,MATCH(I563,'TJ List'!N:N,0),0)
</f>
        <v>#N/A</v>
      </c>
      <c r="N563" s="147"/>
      <c r="O563" s="147"/>
      <c r="Z563" s="29"/>
    </row>
    <row r="564">
      <c r="B564" s="14"/>
      <c r="D564" s="14"/>
      <c r="G564" s="4" t="s">
        <v>3384</v>
      </c>
      <c r="H564" s="4" t="s">
        <v>721</v>
      </c>
      <c r="I564" s="4">
        <v>10265.0</v>
      </c>
      <c r="J564" t="str">
        <f t="array" ref="J564">INDEX('TJ List'!B:B,MATCH(I564,'TJ List'!N:N,0),0)
</f>
        <v>#N/A</v>
      </c>
      <c r="N564" s="147"/>
      <c r="O564" s="147"/>
      <c r="Z564" s="29"/>
    </row>
    <row r="565">
      <c r="B565" s="14"/>
      <c r="D565" s="14"/>
      <c r="G565" s="4" t="s">
        <v>3385</v>
      </c>
      <c r="H565" s="4" t="s">
        <v>721</v>
      </c>
      <c r="I565" s="4">
        <v>10314.0</v>
      </c>
      <c r="J565" t="str">
        <f t="array" ref="J565">INDEX('TJ List'!B:B,MATCH(I565,'TJ List'!N:N,0),0)
</f>
        <v>#N/A</v>
      </c>
      <c r="N565" s="147"/>
      <c r="O565" s="147"/>
      <c r="Z565" s="29"/>
    </row>
    <row r="566">
      <c r="B566" s="14"/>
      <c r="D566" s="14"/>
      <c r="G566" s="4" t="s">
        <v>3386</v>
      </c>
      <c r="H566" s="4" t="s">
        <v>721</v>
      </c>
      <c r="I566" s="4">
        <v>11760.0</v>
      </c>
      <c r="J566" t="str">
        <f t="array" ref="J566">INDEX('TJ List'!B:B,MATCH(I566,'TJ List'!N:N,0),0)
</f>
        <v>#N/A</v>
      </c>
      <c r="N566" s="147"/>
      <c r="O566" s="147"/>
      <c r="Z566" s="29"/>
    </row>
    <row r="567">
      <c r="B567" s="14"/>
      <c r="D567" s="14"/>
      <c r="G567" s="4" t="s">
        <v>3387</v>
      </c>
      <c r="H567" s="4" t="s">
        <v>721</v>
      </c>
      <c r="I567" s="4">
        <v>12022.0</v>
      </c>
      <c r="J567" t="str">
        <f t="array" ref="J567">INDEX('TJ List'!B:B,MATCH(I567,'TJ List'!N:N,0),0)
</f>
        <v>#N/A</v>
      </c>
      <c r="N567" s="147"/>
      <c r="O567" s="147"/>
      <c r="Z567" s="29"/>
    </row>
    <row r="568">
      <c r="B568" s="14"/>
      <c r="D568" s="14"/>
      <c r="G568" s="4" t="s">
        <v>720</v>
      </c>
      <c r="H568" s="4" t="s">
        <v>721</v>
      </c>
      <c r="I568" s="4">
        <v>12399.0</v>
      </c>
      <c r="J568" t="str">
        <f t="array" ref="J568">INDEX('TJ List'!B:B,MATCH(I568,'TJ List'!N:N,0),0)
</f>
        <v>#N/A</v>
      </c>
      <c r="N568" s="147"/>
      <c r="O568" s="147"/>
      <c r="Z568" s="29"/>
    </row>
    <row r="569">
      <c r="B569" s="14"/>
      <c r="D569" s="14"/>
      <c r="G569" s="4" t="s">
        <v>3388</v>
      </c>
      <c r="H569" s="4" t="s">
        <v>721</v>
      </c>
      <c r="I569" s="4">
        <v>13394.0</v>
      </c>
      <c r="J569" t="str">
        <f t="array" ref="J569">INDEX('TJ List'!B:B,MATCH(I569,'TJ List'!N:N,0),0)
</f>
        <v>#N/A</v>
      </c>
      <c r="N569" s="147"/>
      <c r="O569" s="147"/>
      <c r="Z569" s="29"/>
    </row>
    <row r="570">
      <c r="B570" s="14"/>
      <c r="D570" s="14"/>
      <c r="G570" s="4" t="s">
        <v>3389</v>
      </c>
      <c r="H570" s="4" t="s">
        <v>721</v>
      </c>
      <c r="I570" s="4">
        <v>13543.0</v>
      </c>
      <c r="J570" t="str">
        <f t="array" ref="J570">INDEX('TJ List'!B:B,MATCH(I570,'TJ List'!N:N,0),0)
</f>
        <v>#N/A</v>
      </c>
      <c r="N570" s="147"/>
      <c r="O570" s="147"/>
      <c r="Z570" s="29"/>
    </row>
    <row r="571">
      <c r="B571" s="14"/>
      <c r="D571" s="14"/>
      <c r="G571" s="4" t="s">
        <v>3390</v>
      </c>
      <c r="H571" s="4" t="s">
        <v>721</v>
      </c>
      <c r="I571" s="4">
        <v>14016.0</v>
      </c>
      <c r="J571" t="str">
        <f t="array" ref="J571">INDEX('TJ List'!B:B,MATCH(I571,'TJ List'!N:N,0),0)
</f>
        <v>#N/A</v>
      </c>
      <c r="N571" s="147"/>
      <c r="O571" s="147"/>
      <c r="Z571" s="29"/>
    </row>
    <row r="572">
      <c r="B572" s="14"/>
      <c r="D572" s="14"/>
      <c r="G572" s="4" t="s">
        <v>1773</v>
      </c>
      <c r="H572" s="4" t="s">
        <v>629</v>
      </c>
      <c r="I572" s="4">
        <v>4079.0</v>
      </c>
      <c r="J572" s="45">
        <f t="array" ref="J572">INDEX('TJ List'!B:B,MATCH(I572,'TJ List'!N:N,0),0)
</f>
        <v>40274</v>
      </c>
      <c r="N572" s="147"/>
      <c r="O572" s="147"/>
      <c r="Z572" s="29"/>
    </row>
    <row r="573">
      <c r="B573" s="14"/>
      <c r="D573" s="14"/>
      <c r="G573" s="4" t="s">
        <v>285</v>
      </c>
      <c r="H573" s="4" t="s">
        <v>629</v>
      </c>
      <c r="I573" s="4">
        <v>13172.0</v>
      </c>
      <c r="J573" s="45">
        <f t="array" ref="J573">INDEX('TJ List'!B:B,MATCH(I573,'TJ List'!N:N,0),0)
</f>
        <v>42514</v>
      </c>
      <c r="N573" s="147"/>
      <c r="O573" s="147"/>
      <c r="Z573" s="29"/>
    </row>
    <row r="574">
      <c r="B574" s="14"/>
      <c r="D574" s="14"/>
      <c r="G574" s="4" t="s">
        <v>3391</v>
      </c>
      <c r="H574" s="4" t="s">
        <v>629</v>
      </c>
      <c r="I574" s="4">
        <v>2717.0</v>
      </c>
      <c r="J574" t="str">
        <f t="array" ref="J574">INDEX('TJ List'!B:B,MATCH(I574,'TJ List'!N:N,0),0)
</f>
        <v>#N/A</v>
      </c>
      <c r="N574" s="147"/>
      <c r="O574" s="147"/>
      <c r="Z574" s="29"/>
    </row>
    <row r="575">
      <c r="B575" s="14"/>
      <c r="D575" s="14"/>
      <c r="G575" s="4" t="s">
        <v>3392</v>
      </c>
      <c r="H575" s="4" t="s">
        <v>629</v>
      </c>
      <c r="I575" s="4">
        <v>3184.0</v>
      </c>
      <c r="J575" t="str">
        <f t="array" ref="J575">INDEX('TJ List'!B:B,MATCH(I575,'TJ List'!N:N,0),0)
</f>
        <v>#N/A</v>
      </c>
      <c r="N575" s="147"/>
      <c r="O575" s="147"/>
      <c r="Z575" s="29"/>
    </row>
    <row r="576">
      <c r="B576" s="14"/>
      <c r="D576" s="14"/>
      <c r="G576" s="4" t="s">
        <v>3393</v>
      </c>
      <c r="H576" s="4" t="s">
        <v>629</v>
      </c>
      <c r="I576" s="4">
        <v>3543.0</v>
      </c>
      <c r="J576" t="str">
        <f t="array" ref="J576">INDEX('TJ List'!B:B,MATCH(I576,'TJ List'!N:N,0),0)
</f>
        <v>#N/A</v>
      </c>
      <c r="N576" s="147"/>
      <c r="O576" s="147"/>
      <c r="Z576" s="29"/>
    </row>
    <row r="577">
      <c r="B577" s="14"/>
      <c r="D577" s="14"/>
      <c r="G577" s="4" t="s">
        <v>3394</v>
      </c>
      <c r="H577" s="4" t="s">
        <v>629</v>
      </c>
      <c r="I577" s="4">
        <v>6655.0</v>
      </c>
      <c r="J577" t="str">
        <f t="array" ref="J577">INDEX('TJ List'!B:B,MATCH(I577,'TJ List'!N:N,0),0)
</f>
        <v>#N/A</v>
      </c>
      <c r="N577" s="147"/>
      <c r="O577" s="147"/>
      <c r="Z577" s="29"/>
    </row>
    <row r="578">
      <c r="B578" s="14"/>
      <c r="D578" s="14"/>
      <c r="G578" s="4" t="s">
        <v>3395</v>
      </c>
      <c r="H578" s="4" t="s">
        <v>629</v>
      </c>
      <c r="I578" s="4">
        <v>6819.0</v>
      </c>
      <c r="J578" t="str">
        <f t="array" ref="J578">INDEX('TJ List'!B:B,MATCH(I578,'TJ List'!N:N,0),0)
</f>
        <v>#N/A</v>
      </c>
      <c r="N578" s="147"/>
      <c r="O578" s="147"/>
      <c r="Z578" s="29"/>
    </row>
    <row r="579">
      <c r="B579" s="14"/>
      <c r="D579" s="14"/>
      <c r="G579" s="4" t="s">
        <v>3396</v>
      </c>
      <c r="H579" s="4" t="s">
        <v>629</v>
      </c>
      <c r="I579" s="4">
        <v>8185.0</v>
      </c>
      <c r="J579" t="str">
        <f t="array" ref="J579">INDEX('TJ List'!B:B,MATCH(I579,'TJ List'!N:N,0),0)
</f>
        <v>#N/A</v>
      </c>
      <c r="N579" s="147"/>
      <c r="O579" s="147"/>
      <c r="Z579" s="29"/>
    </row>
    <row r="580">
      <c r="B580" s="14"/>
      <c r="D580" s="14"/>
      <c r="G580" s="4" t="s">
        <v>3397</v>
      </c>
      <c r="H580" s="4" t="s">
        <v>629</v>
      </c>
      <c r="I580" s="4">
        <v>9137.0</v>
      </c>
      <c r="J580" t="str">
        <f t="array" ref="J580">INDEX('TJ List'!B:B,MATCH(I580,'TJ List'!N:N,0),0)
</f>
        <v>#N/A</v>
      </c>
      <c r="N580" s="147"/>
      <c r="O580" s="147"/>
      <c r="Z580" s="29"/>
    </row>
    <row r="581">
      <c r="B581" s="14"/>
      <c r="D581" s="14"/>
      <c r="G581" s="4" t="s">
        <v>3398</v>
      </c>
      <c r="H581" s="4" t="s">
        <v>629</v>
      </c>
      <c r="I581" s="4">
        <v>9227.0</v>
      </c>
      <c r="J581" t="str">
        <f t="array" ref="J581">INDEX('TJ List'!B:B,MATCH(I581,'TJ List'!N:N,0),0)
</f>
        <v>#N/A</v>
      </c>
      <c r="N581" s="147"/>
      <c r="O581" s="147"/>
      <c r="Z581" s="29"/>
    </row>
    <row r="582">
      <c r="B582" s="14"/>
      <c r="D582" s="14"/>
      <c r="G582" s="4" t="s">
        <v>3399</v>
      </c>
      <c r="H582" s="4" t="s">
        <v>629</v>
      </c>
      <c r="I582" s="4">
        <v>9761.0</v>
      </c>
      <c r="J582" t="str">
        <f t="array" ref="J582">INDEX('TJ List'!B:B,MATCH(I582,'TJ List'!N:N,0),0)
</f>
        <v>#N/A</v>
      </c>
      <c r="N582" s="147"/>
      <c r="O582" s="147"/>
      <c r="Z582" s="29"/>
    </row>
    <row r="583">
      <c r="B583" s="14"/>
      <c r="D583" s="14"/>
      <c r="G583" s="4" t="s">
        <v>628</v>
      </c>
      <c r="H583" s="4" t="s">
        <v>629</v>
      </c>
      <c r="I583" s="4">
        <v>10700.0</v>
      </c>
      <c r="J583" t="str">
        <f t="array" ref="J583">INDEX('TJ List'!B:B,MATCH(I583,'TJ List'!N:N,0),0)
</f>
        <v>#N/A</v>
      </c>
      <c r="N583" s="147"/>
      <c r="O583" s="147"/>
      <c r="Z583" s="29"/>
    </row>
    <row r="584">
      <c r="B584" s="14"/>
      <c r="D584" s="14"/>
      <c r="G584" s="4" t="s">
        <v>3400</v>
      </c>
      <c r="H584" s="4" t="s">
        <v>629</v>
      </c>
      <c r="I584" s="4">
        <v>11632.0</v>
      </c>
      <c r="J584" t="str">
        <f t="array" ref="J584">INDEX('TJ List'!B:B,MATCH(I584,'TJ List'!N:N,0),0)
</f>
        <v>#N/A</v>
      </c>
      <c r="N584" s="147"/>
      <c r="O584" s="147"/>
      <c r="Z584" s="29"/>
    </row>
    <row r="585">
      <c r="B585" s="14"/>
      <c r="D585" s="14"/>
      <c r="G585" s="4" t="s">
        <v>3401</v>
      </c>
      <c r="H585" s="4" t="s">
        <v>629</v>
      </c>
      <c r="I585" s="4">
        <v>12673.0</v>
      </c>
      <c r="J585" t="str">
        <f t="array" ref="J585">INDEX('TJ List'!B:B,MATCH(I585,'TJ List'!N:N,0),0)
</f>
        <v>#N/A</v>
      </c>
      <c r="N585" s="147"/>
      <c r="O585" s="147"/>
      <c r="Z585" s="29"/>
    </row>
    <row r="586">
      <c r="B586" s="14"/>
      <c r="D586" s="14"/>
      <c r="G586" s="4" t="s">
        <v>3402</v>
      </c>
      <c r="H586" s="4" t="s">
        <v>629</v>
      </c>
      <c r="I586" s="4">
        <v>12800.0</v>
      </c>
      <c r="J586" t="str">
        <f t="array" ref="J586">INDEX('TJ List'!B:B,MATCH(I586,'TJ List'!N:N,0),0)
</f>
        <v>#N/A</v>
      </c>
      <c r="N586" s="147"/>
      <c r="O586" s="147"/>
      <c r="Z586" s="29"/>
    </row>
    <row r="587">
      <c r="B587" s="14"/>
      <c r="D587" s="14"/>
      <c r="G587" s="4" t="s">
        <v>3403</v>
      </c>
      <c r="H587" s="4" t="s">
        <v>629</v>
      </c>
      <c r="I587" s="4">
        <v>12863.0</v>
      </c>
      <c r="J587" t="str">
        <f t="array" ref="J587">INDEX('TJ List'!B:B,MATCH(I587,'TJ List'!N:N,0),0)
</f>
        <v>#N/A</v>
      </c>
      <c r="N587" s="147"/>
      <c r="O587" s="147"/>
      <c r="Z587" s="29"/>
    </row>
    <row r="588">
      <c r="B588" s="14"/>
      <c r="D588" s="14"/>
      <c r="G588" s="4" t="s">
        <v>3404</v>
      </c>
      <c r="H588" s="4" t="s">
        <v>629</v>
      </c>
      <c r="I588" s="4">
        <v>13042.0</v>
      </c>
      <c r="J588" t="str">
        <f t="array" ref="J588">INDEX('TJ List'!B:B,MATCH(I588,'TJ List'!N:N,0),0)
</f>
        <v>#N/A</v>
      </c>
      <c r="N588" s="147"/>
      <c r="O588" s="147"/>
      <c r="Z588" s="29"/>
    </row>
    <row r="589">
      <c r="B589" s="14"/>
      <c r="D589" s="14"/>
      <c r="G589" s="4" t="s">
        <v>3405</v>
      </c>
      <c r="H589" s="4" t="s">
        <v>629</v>
      </c>
      <c r="I589" s="4">
        <v>13143.0</v>
      </c>
      <c r="J589" t="str">
        <f t="array" ref="J589">INDEX('TJ List'!B:B,MATCH(I589,'TJ List'!N:N,0),0)
</f>
        <v>#N/A</v>
      </c>
      <c r="N589" s="147"/>
      <c r="O589" s="147"/>
      <c r="Z589" s="29"/>
    </row>
    <row r="590">
      <c r="B590" s="14"/>
      <c r="D590" s="14"/>
      <c r="G590" s="4" t="s">
        <v>3406</v>
      </c>
      <c r="H590" s="4" t="s">
        <v>629</v>
      </c>
      <c r="I590" s="4">
        <v>13164.0</v>
      </c>
      <c r="J590" t="str">
        <f t="array" ref="J590">INDEX('TJ List'!B:B,MATCH(I590,'TJ List'!N:N,0),0)
</f>
        <v>#N/A</v>
      </c>
      <c r="N590" s="147"/>
      <c r="O590" s="147"/>
      <c r="Z590" s="29"/>
    </row>
    <row r="591">
      <c r="B591" s="14"/>
      <c r="D591" s="14"/>
      <c r="G591" s="4" t="s">
        <v>3407</v>
      </c>
      <c r="H591" s="4" t="s">
        <v>629</v>
      </c>
      <c r="I591" s="4">
        <v>13331.0</v>
      </c>
      <c r="J591" t="str">
        <f t="array" ref="J591">INDEX('TJ List'!B:B,MATCH(I591,'TJ List'!N:N,0),0)
</f>
        <v>#N/A</v>
      </c>
      <c r="N591" s="147"/>
      <c r="O591" s="147"/>
      <c r="Z591" s="29"/>
    </row>
    <row r="592">
      <c r="B592" s="14"/>
      <c r="D592" s="14"/>
      <c r="G592" s="4" t="s">
        <v>2479</v>
      </c>
      <c r="H592" s="4" t="s">
        <v>222</v>
      </c>
      <c r="I592" s="4">
        <v>11827.0</v>
      </c>
      <c r="J592" s="45">
        <f t="array" ref="J592">INDEX('TJ List'!B:B,MATCH(I592,'TJ List'!N:N,0),0)
</f>
        <v>37257</v>
      </c>
      <c r="N592" s="147"/>
      <c r="O592" s="147"/>
      <c r="Z592" s="29"/>
    </row>
    <row r="593">
      <c r="B593" s="14"/>
      <c r="D593" s="14"/>
      <c r="G593" s="4" t="s">
        <v>2158</v>
      </c>
      <c r="H593" s="4" t="s">
        <v>222</v>
      </c>
      <c r="I593" s="4">
        <v>3397.0</v>
      </c>
      <c r="J593" s="45">
        <f t="array" ref="J593">INDEX('TJ List'!B:B,MATCH(I593,'TJ List'!N:N,0),0)
</f>
        <v>39083</v>
      </c>
      <c r="N593" s="147"/>
      <c r="O593" s="147"/>
      <c r="Z593" s="29"/>
    </row>
    <row r="594">
      <c r="B594" s="14"/>
      <c r="D594" s="14"/>
      <c r="G594" s="4" t="s">
        <v>2140</v>
      </c>
      <c r="H594" s="4" t="s">
        <v>222</v>
      </c>
      <c r="I594" s="4">
        <v>10946.0</v>
      </c>
      <c r="J594" s="45">
        <f t="array" ref="J594">INDEX('TJ List'!B:B,MATCH(I594,'TJ List'!N:N,0),0)
</f>
        <v>39083</v>
      </c>
      <c r="N594" s="147"/>
      <c r="O594" s="147"/>
      <c r="Z594" s="29"/>
    </row>
    <row r="595">
      <c r="B595" s="14"/>
      <c r="D595" s="14"/>
      <c r="G595" s="4" t="s">
        <v>1950</v>
      </c>
      <c r="H595" s="4" t="s">
        <v>222</v>
      </c>
      <c r="I595" s="4">
        <v>11543.0</v>
      </c>
      <c r="J595" s="45">
        <f t="array" ref="J595">INDEX('TJ List'!B:B,MATCH(I595,'TJ List'!N:N,0),0)
</f>
        <v>39814</v>
      </c>
      <c r="N595" s="147"/>
      <c r="O595" s="147"/>
      <c r="Z595" s="29"/>
    </row>
    <row r="596">
      <c r="B596" s="14"/>
      <c r="D596" s="14"/>
      <c r="G596" s="4" t="s">
        <v>1873</v>
      </c>
      <c r="H596" s="4" t="s">
        <v>222</v>
      </c>
      <c r="I596" s="4">
        <v>2155.0</v>
      </c>
      <c r="J596" s="45">
        <f t="array" ref="J596">INDEX('TJ List'!B:B,MATCH(I596,'TJ List'!N:N,0),0)
</f>
        <v>39938</v>
      </c>
      <c r="N596" s="147"/>
      <c r="O596" s="147"/>
      <c r="Z596" s="29"/>
    </row>
    <row r="597">
      <c r="B597" s="14"/>
      <c r="D597" s="14"/>
      <c r="G597" s="4" t="s">
        <v>1763</v>
      </c>
      <c r="H597" s="4" t="s">
        <v>222</v>
      </c>
      <c r="I597" s="4">
        <v>15301.0</v>
      </c>
      <c r="J597" s="45">
        <f t="array" ref="J597">INDEX('TJ List'!B:B,MATCH(I597,'TJ List'!N:N,0),0)
</f>
        <v>40299</v>
      </c>
      <c r="N597" s="147"/>
      <c r="O597" s="147"/>
      <c r="Z597" s="29"/>
    </row>
    <row r="598">
      <c r="B598" s="14"/>
      <c r="D598" s="14"/>
      <c r="G598" s="4" t="s">
        <v>1703</v>
      </c>
      <c r="H598" s="4" t="s">
        <v>222</v>
      </c>
      <c r="I598" s="4">
        <v>9919.0</v>
      </c>
      <c r="J598" s="45">
        <f t="array" ref="J598">INDEX('TJ List'!B:B,MATCH(I598,'TJ List'!N:N,0),0)
</f>
        <v>40544</v>
      </c>
      <c r="N598" s="147"/>
      <c r="O598" s="147"/>
      <c r="Z598" s="29"/>
    </row>
    <row r="599">
      <c r="B599" s="14"/>
      <c r="D599" s="14"/>
      <c r="G599" s="4" t="s">
        <v>1624</v>
      </c>
      <c r="H599" s="4" t="s">
        <v>222</v>
      </c>
      <c r="I599" s="4">
        <v>8493.0</v>
      </c>
      <c r="J599" s="45">
        <f t="array" ref="J599">INDEX('TJ List'!B:B,MATCH(I599,'TJ List'!N:N,0),0)
</f>
        <v>40697</v>
      </c>
      <c r="N599" s="147"/>
      <c r="O599" s="147"/>
      <c r="Z599" s="29"/>
    </row>
    <row r="600">
      <c r="B600" s="14"/>
      <c r="D600" s="14"/>
      <c r="G600" s="4" t="s">
        <v>1496</v>
      </c>
      <c r="H600" s="4" t="s">
        <v>222</v>
      </c>
      <c r="I600" s="4">
        <v>1345.0</v>
      </c>
      <c r="J600" s="45">
        <f t="array" ref="J600">INDEX('TJ List'!B:B,MATCH(I600,'TJ List'!N:N,0),0)
</f>
        <v>41054</v>
      </c>
      <c r="N600" s="147"/>
      <c r="O600" s="147"/>
      <c r="Z600" s="29"/>
    </row>
    <row r="601">
      <c r="B601" s="14"/>
      <c r="D601" s="14"/>
      <c r="G601" s="4" t="s">
        <v>1416</v>
      </c>
      <c r="H601" s="4" t="s">
        <v>222</v>
      </c>
      <c r="I601" s="4">
        <v>9149.0</v>
      </c>
      <c r="J601" s="45">
        <f t="array" ref="J601">INDEX('TJ List'!B:B,MATCH(I601,'TJ List'!N:N,0),0)
</f>
        <v>41183</v>
      </c>
      <c r="N601" s="147"/>
      <c r="O601" s="147"/>
      <c r="Z601" s="29"/>
    </row>
    <row r="602">
      <c r="B602" s="14"/>
      <c r="D602" s="14"/>
      <c r="G602" s="4" t="s">
        <v>626</v>
      </c>
      <c r="H602" s="4" t="s">
        <v>222</v>
      </c>
      <c r="I602" s="4">
        <v>3950.0</v>
      </c>
      <c r="J602" s="45">
        <f t="array" ref="J602">INDEX('TJ List'!B:B,MATCH(I602,'TJ List'!N:N,0),0)
</f>
        <v>42132</v>
      </c>
      <c r="N602" s="147"/>
      <c r="O602" s="147"/>
      <c r="Z602" s="29"/>
    </row>
    <row r="603">
      <c r="B603" s="14"/>
      <c r="D603" s="14"/>
      <c r="G603" s="4" t="s">
        <v>624</v>
      </c>
      <c r="H603" s="4" t="s">
        <v>222</v>
      </c>
      <c r="I603" s="4">
        <v>8362.0</v>
      </c>
      <c r="J603" s="45">
        <f t="array" ref="J603">INDEX('TJ List'!B:B,MATCH(I603,'TJ List'!N:N,0),0)
</f>
        <v>42132</v>
      </c>
      <c r="N603" s="147"/>
      <c r="O603" s="147"/>
      <c r="Z603" s="29"/>
    </row>
    <row r="604">
      <c r="B604" s="14"/>
      <c r="D604" s="14"/>
      <c r="G604" s="4" t="s">
        <v>221</v>
      </c>
      <c r="H604" s="4" t="s">
        <v>222</v>
      </c>
      <c r="I604" s="4">
        <v>13849.0</v>
      </c>
      <c r="J604" s="45">
        <f t="array" ref="J604">INDEX('TJ List'!B:B,MATCH(I604,'TJ List'!N:N,0),0)
</f>
        <v>42570</v>
      </c>
      <c r="N604" s="147"/>
      <c r="O604" s="147"/>
      <c r="Z604" s="29"/>
    </row>
    <row r="605">
      <c r="B605" s="14"/>
      <c r="D605" s="14"/>
      <c r="G605" s="4" t="s">
        <v>3408</v>
      </c>
      <c r="H605" s="4" t="s">
        <v>222</v>
      </c>
      <c r="I605" s="4">
        <v>8268.0</v>
      </c>
      <c r="J605" t="str">
        <f t="array" ref="J605">INDEX('TJ List'!B:B,MATCH(I605,'TJ List'!N:N,0),0)
</f>
        <v>#N/A</v>
      </c>
      <c r="N605" s="147"/>
      <c r="O605" s="147"/>
      <c r="Z605" s="29"/>
    </row>
    <row r="606">
      <c r="B606" s="14"/>
      <c r="D606" s="14"/>
      <c r="G606" s="4" t="s">
        <v>3409</v>
      </c>
      <c r="H606" s="4" t="s">
        <v>222</v>
      </c>
      <c r="I606" s="4">
        <v>9037.0</v>
      </c>
      <c r="J606" t="str">
        <f t="array" ref="J606">INDEX('TJ List'!B:B,MATCH(I606,'TJ List'!N:N,0),0)
</f>
        <v>#N/A</v>
      </c>
      <c r="N606" s="147"/>
      <c r="O606" s="147"/>
      <c r="Z606" s="29"/>
    </row>
    <row r="607">
      <c r="B607" s="14"/>
      <c r="D607" s="14"/>
      <c r="G607" s="4" t="s">
        <v>3410</v>
      </c>
      <c r="H607" s="4" t="s">
        <v>222</v>
      </c>
      <c r="I607" s="4">
        <v>9460.0</v>
      </c>
      <c r="J607" t="str">
        <f t="array" ref="J607">INDEX('TJ List'!B:B,MATCH(I607,'TJ List'!N:N,0),0)
</f>
        <v>#N/A</v>
      </c>
      <c r="N607" s="147"/>
      <c r="O607" s="147"/>
      <c r="Z607" s="29"/>
    </row>
    <row r="608">
      <c r="B608" s="14"/>
      <c r="D608" s="14"/>
      <c r="G608" s="4" t="s">
        <v>3411</v>
      </c>
      <c r="H608" s="4" t="s">
        <v>222</v>
      </c>
      <c r="I608" s="4">
        <v>10039.0</v>
      </c>
      <c r="J608" t="str">
        <f t="array" ref="J608">INDEX('TJ List'!B:B,MATCH(I608,'TJ List'!N:N,0),0)
</f>
        <v>#N/A</v>
      </c>
      <c r="N608" s="147"/>
      <c r="O608" s="147"/>
      <c r="Z608" s="29"/>
    </row>
    <row r="609">
      <c r="B609" s="14"/>
      <c r="D609" s="14"/>
      <c r="G609" s="4" t="s">
        <v>1899</v>
      </c>
      <c r="H609" s="4" t="s">
        <v>222</v>
      </c>
      <c r="I609" s="4">
        <v>10075.0</v>
      </c>
      <c r="J609" t="str">
        <f t="array" ref="J609">INDEX('TJ List'!B:B,MATCH(I609,'TJ List'!N:N,0),0)
</f>
        <v>#N/A</v>
      </c>
      <c r="N609" s="147"/>
      <c r="O609" s="147"/>
      <c r="Z609" s="29"/>
    </row>
    <row r="610">
      <c r="B610" s="14"/>
      <c r="D610" s="14"/>
      <c r="G610" s="4" t="s">
        <v>3412</v>
      </c>
      <c r="H610" s="4" t="s">
        <v>222</v>
      </c>
      <c r="I610" s="4">
        <v>10528.0</v>
      </c>
      <c r="J610" t="str">
        <f t="array" ref="J610">INDEX('TJ List'!B:B,MATCH(I610,'TJ List'!N:N,0),0)
</f>
        <v>#N/A</v>
      </c>
      <c r="N610" s="147"/>
      <c r="O610" s="147"/>
      <c r="Z610" s="29"/>
    </row>
    <row r="611">
      <c r="B611" s="14"/>
      <c r="D611" s="14"/>
      <c r="G611" s="4" t="s">
        <v>3413</v>
      </c>
      <c r="H611" s="4" t="s">
        <v>222</v>
      </c>
      <c r="I611" s="4">
        <v>10968.0</v>
      </c>
      <c r="J611" t="str">
        <f t="array" ref="J611">INDEX('TJ List'!B:B,MATCH(I611,'TJ List'!N:N,0),0)
</f>
        <v>#N/A</v>
      </c>
      <c r="N611" s="147"/>
      <c r="O611" s="147"/>
      <c r="Z611" s="29"/>
    </row>
    <row r="612">
      <c r="B612" s="14"/>
      <c r="D612" s="14"/>
      <c r="G612" s="4" t="s">
        <v>919</v>
      </c>
      <c r="H612" s="4" t="s">
        <v>222</v>
      </c>
      <c r="I612" s="4">
        <v>11391.0</v>
      </c>
      <c r="J612" t="str">
        <f t="array" ref="J612">INDEX('TJ List'!B:B,MATCH(I612,'TJ List'!N:N,0),0)
</f>
        <v>#N/A</v>
      </c>
      <c r="N612" s="147"/>
      <c r="O612" s="147"/>
      <c r="Z612" s="29"/>
    </row>
    <row r="613">
      <c r="B613" s="14"/>
      <c r="D613" s="14"/>
      <c r="G613" s="4" t="s">
        <v>3414</v>
      </c>
      <c r="H613" s="4" t="s">
        <v>222</v>
      </c>
      <c r="I613" s="4">
        <v>12555.0</v>
      </c>
      <c r="J613" t="str">
        <f t="array" ref="J613">INDEX('TJ List'!B:B,MATCH(I613,'TJ List'!N:N,0),0)
</f>
        <v>#N/A</v>
      </c>
      <c r="N613" s="147"/>
      <c r="O613" s="147"/>
      <c r="Z613" s="29"/>
    </row>
    <row r="614">
      <c r="B614" s="14"/>
      <c r="D614" s="14"/>
      <c r="G614" s="4" t="s">
        <v>3415</v>
      </c>
      <c r="H614" s="4" t="s">
        <v>222</v>
      </c>
      <c r="I614" s="4">
        <v>12962.0</v>
      </c>
      <c r="J614" t="str">
        <f t="array" ref="J614">INDEX('TJ List'!B:B,MATCH(I614,'TJ List'!N:N,0),0)
</f>
        <v>#N/A</v>
      </c>
      <c r="N614" s="147"/>
      <c r="O614" s="147"/>
      <c r="Z614" s="29"/>
    </row>
    <row r="615">
      <c r="B615" s="14"/>
      <c r="D615" s="14"/>
      <c r="G615" s="4" t="s">
        <v>3416</v>
      </c>
      <c r="H615" s="4" t="s">
        <v>222</v>
      </c>
      <c r="I615" s="4">
        <v>13050.0</v>
      </c>
      <c r="J615" t="str">
        <f t="array" ref="J615">INDEX('TJ List'!B:B,MATCH(I615,'TJ List'!N:N,0),0)
</f>
        <v>#N/A</v>
      </c>
      <c r="N615" s="147"/>
      <c r="O615" s="147"/>
      <c r="Z615" s="29"/>
    </row>
    <row r="616">
      <c r="B616" s="14"/>
      <c r="D616" s="14"/>
      <c r="G616" s="4" t="s">
        <v>3417</v>
      </c>
      <c r="H616" s="4" t="s">
        <v>222</v>
      </c>
      <c r="I616" s="4">
        <v>13594.0</v>
      </c>
      <c r="J616" t="str">
        <f t="array" ref="J616">INDEX('TJ List'!B:B,MATCH(I616,'TJ List'!N:N,0),0)
</f>
        <v>#N/A</v>
      </c>
      <c r="N616" s="147"/>
      <c r="O616" s="147"/>
      <c r="Z616" s="29"/>
    </row>
    <row r="617">
      <c r="B617" s="14"/>
      <c r="D617" s="14"/>
      <c r="G617" s="4" t="s">
        <v>3418</v>
      </c>
      <c r="H617" s="4" t="s">
        <v>222</v>
      </c>
      <c r="I617" s="4">
        <v>14295.0</v>
      </c>
      <c r="J617" t="str">
        <f t="array" ref="J617">INDEX('TJ List'!B:B,MATCH(I617,'TJ List'!N:N,0),0)
</f>
        <v>#N/A</v>
      </c>
      <c r="N617" s="147"/>
      <c r="O617" s="147"/>
      <c r="Z617" s="29"/>
    </row>
    <row r="618">
      <c r="B618" s="14"/>
      <c r="D618" s="14"/>
      <c r="G618" s="4" t="s">
        <v>118</v>
      </c>
      <c r="H618" s="4" t="s">
        <v>222</v>
      </c>
      <c r="I618" s="4">
        <v>14843.0</v>
      </c>
      <c r="J618" t="str">
        <f t="array" ref="J618">INDEX('TJ List'!B:B,MATCH(I618,'TJ List'!N:N,0),0)
</f>
        <v>#N/A</v>
      </c>
      <c r="N618" s="147"/>
      <c r="O618" s="147"/>
      <c r="Z618" s="29"/>
    </row>
    <row r="619">
      <c r="B619" s="14"/>
      <c r="D619" s="14"/>
      <c r="G619" s="4" t="s">
        <v>1921</v>
      </c>
      <c r="H619" s="4" t="s">
        <v>222</v>
      </c>
      <c r="I619" s="4">
        <v>15232.0</v>
      </c>
      <c r="J619" t="str">
        <f t="array" ref="J619">INDEX('TJ List'!B:B,MATCH(I619,'TJ List'!N:N,0),0)
</f>
        <v>#N/A</v>
      </c>
      <c r="N619" s="147"/>
      <c r="O619" s="147"/>
      <c r="Z619" s="29"/>
    </row>
    <row r="620">
      <c r="B620" s="14"/>
      <c r="D620" s="14"/>
      <c r="G620" s="4" t="s">
        <v>3419</v>
      </c>
      <c r="H620" s="4" t="s">
        <v>222</v>
      </c>
      <c r="I620" s="4">
        <v>16208.0</v>
      </c>
      <c r="J620" t="str">
        <f t="array" ref="J620">INDEX('TJ List'!B:B,MATCH(I620,'TJ List'!N:N,0),0)
</f>
        <v>#N/A</v>
      </c>
      <c r="N620" s="147"/>
      <c r="O620" s="147"/>
      <c r="Z620" s="29"/>
    </row>
    <row r="621">
      <c r="B621" s="14"/>
      <c r="D621" s="14"/>
      <c r="G621" s="4" t="s">
        <v>3420</v>
      </c>
      <c r="H621" s="4" t="s">
        <v>222</v>
      </c>
      <c r="I621" s="4">
        <v>17130.0</v>
      </c>
      <c r="J621" t="str">
        <f t="array" ref="J621">INDEX('TJ List'!B:B,MATCH(I621,'TJ List'!N:N,0),0)
</f>
        <v>#N/A</v>
      </c>
      <c r="N621" s="147"/>
      <c r="O621" s="147"/>
      <c r="Z621" s="29"/>
    </row>
    <row r="622">
      <c r="B622" s="14"/>
      <c r="D622" s="14"/>
      <c r="G622" s="4" t="s">
        <v>2004</v>
      </c>
      <c r="H622" s="4" t="s">
        <v>606</v>
      </c>
      <c r="I622" s="4">
        <v>7550.0</v>
      </c>
      <c r="J622" s="45">
        <f t="array" ref="J622">INDEX('TJ List'!B:B,MATCH(I622,'TJ List'!N:N,0),0)
</f>
        <v>39637</v>
      </c>
      <c r="N622" s="147"/>
      <c r="O622" s="147"/>
      <c r="Z622" s="29"/>
    </row>
    <row r="623">
      <c r="B623" s="14"/>
      <c r="D623" s="14"/>
      <c r="G623" s="4" t="s">
        <v>1671</v>
      </c>
      <c r="H623" s="4" t="s">
        <v>606</v>
      </c>
      <c r="I623" s="4">
        <v>13911.0</v>
      </c>
      <c r="J623" s="45">
        <f t="array" ref="J623">INDEX('TJ List'!B:B,MATCH(I623,'TJ List'!N:N,0),0)
</f>
        <v>40544</v>
      </c>
      <c r="N623" s="147"/>
      <c r="O623" s="147"/>
      <c r="Z623" s="29"/>
    </row>
    <row r="624">
      <c r="B624" s="14"/>
      <c r="D624" s="14"/>
      <c r="G624" s="4" t="s">
        <v>3421</v>
      </c>
      <c r="H624" s="4" t="s">
        <v>606</v>
      </c>
      <c r="I624" s="4">
        <v>2047.0</v>
      </c>
      <c r="J624" s="45">
        <f t="array" ref="J624">INDEX('TJ List'!B:B,MATCH(I624,'TJ List'!N:N,0),0)
</f>
        <v>40697</v>
      </c>
      <c r="N624" s="147"/>
      <c r="O624" s="147"/>
      <c r="Z624" s="29"/>
    </row>
    <row r="625">
      <c r="B625" s="14"/>
      <c r="D625" s="14"/>
      <c r="G625" s="4" t="s">
        <v>1544</v>
      </c>
      <c r="H625" s="4" t="s">
        <v>606</v>
      </c>
      <c r="I625" s="4">
        <v>8580.0</v>
      </c>
      <c r="J625" s="45">
        <f t="array" ref="J625">INDEX('TJ List'!B:B,MATCH(I625,'TJ List'!N:N,0),0)
</f>
        <v>41000</v>
      </c>
      <c r="N625" s="147"/>
      <c r="O625" s="147"/>
      <c r="Z625" s="29"/>
    </row>
    <row r="626">
      <c r="B626" s="14"/>
      <c r="D626" s="14"/>
      <c r="G626" s="4" t="s">
        <v>1299</v>
      </c>
      <c r="H626" s="4" t="s">
        <v>606</v>
      </c>
      <c r="I626" s="4">
        <v>5861.0</v>
      </c>
      <c r="J626" s="45">
        <f t="array" ref="J626">INDEX('TJ List'!B:B,MATCH(I626,'TJ List'!N:N,0),0)
</f>
        <v>41400</v>
      </c>
      <c r="N626" s="147"/>
      <c r="O626" s="147"/>
      <c r="Z626" s="29"/>
    </row>
    <row r="627">
      <c r="B627" s="14"/>
      <c r="D627" s="14"/>
      <c r="G627" s="4" t="s">
        <v>971</v>
      </c>
      <c r="H627" s="4" t="s">
        <v>606</v>
      </c>
      <c r="I627" s="4">
        <v>17432.0</v>
      </c>
      <c r="J627" s="45">
        <f t="array" ref="J627">INDEX('TJ List'!B:B,MATCH(I627,'TJ List'!N:N,0),0)
</f>
        <v>41773</v>
      </c>
      <c r="N627" s="147"/>
      <c r="O627" s="147"/>
      <c r="Z627" s="29"/>
    </row>
    <row r="628">
      <c r="B628" s="14"/>
      <c r="D628" s="14"/>
      <c r="G628" s="4" t="s">
        <v>852</v>
      </c>
      <c r="H628" s="4" t="s">
        <v>606</v>
      </c>
      <c r="I628" s="4">
        <v>4338.0</v>
      </c>
      <c r="J628" s="45">
        <f t="array" ref="J628">INDEX('TJ List'!B:B,MATCH(I628,'TJ List'!N:N,0),0)
</f>
        <v>41843</v>
      </c>
      <c r="N628" s="147"/>
      <c r="O628" s="147"/>
      <c r="Z628" s="29"/>
    </row>
    <row r="629">
      <c r="B629" s="14"/>
      <c r="D629" s="14"/>
      <c r="G629" s="4" t="s">
        <v>630</v>
      </c>
      <c r="H629" s="4" t="s">
        <v>606</v>
      </c>
      <c r="I629" s="4">
        <v>1247.0</v>
      </c>
      <c r="J629" s="45">
        <f t="array" ref="J629">INDEX('TJ List'!B:B,MATCH(I629,'TJ List'!N:N,0),0)
</f>
        <v>42131</v>
      </c>
      <c r="N629" s="147"/>
      <c r="O629" s="147"/>
      <c r="Z629" s="29"/>
    </row>
    <row r="630">
      <c r="B630" s="14"/>
      <c r="D630" s="14"/>
      <c r="G630" s="4" t="s">
        <v>3422</v>
      </c>
      <c r="H630" s="4" t="s">
        <v>606</v>
      </c>
      <c r="I630" s="4">
        <v>2170.0</v>
      </c>
      <c r="J630" t="str">
        <f t="array" ref="J630">INDEX('TJ List'!B:B,MATCH(I630,'TJ List'!N:N,0),0)
</f>
        <v>#N/A</v>
      </c>
      <c r="N630" s="147"/>
      <c r="O630" s="147"/>
      <c r="Z630" s="29"/>
    </row>
    <row r="631">
      <c r="B631" s="14"/>
      <c r="D631" s="14"/>
      <c r="G631" s="4" t="s">
        <v>3423</v>
      </c>
      <c r="H631" s="4" t="s">
        <v>606</v>
      </c>
      <c r="I631" s="4">
        <v>5057.0</v>
      </c>
      <c r="J631" t="str">
        <f t="array" ref="J631">INDEX('TJ List'!B:B,MATCH(I631,'TJ List'!N:N,0),0)
</f>
        <v>#N/A</v>
      </c>
      <c r="N631" s="147"/>
      <c r="O631" s="147"/>
      <c r="Z631" s="29"/>
    </row>
    <row r="632">
      <c r="B632" s="14"/>
      <c r="D632" s="14"/>
      <c r="G632" s="4" t="s">
        <v>3424</v>
      </c>
      <c r="H632" s="4" t="s">
        <v>606</v>
      </c>
      <c r="I632" s="4">
        <v>5525.0</v>
      </c>
      <c r="J632" t="str">
        <f t="array" ref="J632">INDEX('TJ List'!B:B,MATCH(I632,'TJ List'!N:N,0),0)
</f>
        <v>#N/A</v>
      </c>
      <c r="N632" s="147"/>
      <c r="O632" s="147"/>
      <c r="Z632" s="29"/>
    </row>
    <row r="633">
      <c r="B633" s="14"/>
      <c r="D633" s="14"/>
      <c r="G633" s="4" t="s">
        <v>3425</v>
      </c>
      <c r="H633" s="4" t="s">
        <v>606</v>
      </c>
      <c r="I633" s="4">
        <v>5876.0</v>
      </c>
      <c r="J633" t="str">
        <f t="array" ref="J633">INDEX('TJ List'!B:B,MATCH(I633,'TJ List'!N:N,0),0)
</f>
        <v>#N/A</v>
      </c>
      <c r="N633" s="147"/>
      <c r="O633" s="147"/>
      <c r="Z633" s="29"/>
    </row>
    <row r="634">
      <c r="B634" s="14"/>
      <c r="D634" s="14"/>
      <c r="G634" s="4" t="s">
        <v>3426</v>
      </c>
      <c r="H634" s="4" t="s">
        <v>606</v>
      </c>
      <c r="I634" s="4">
        <v>7593.0</v>
      </c>
      <c r="J634" t="str">
        <f t="array" ref="J634">INDEX('TJ List'!B:B,MATCH(I634,'TJ List'!N:N,0),0)
</f>
        <v>#N/A</v>
      </c>
      <c r="N634" s="147"/>
      <c r="O634" s="147"/>
      <c r="Z634" s="29"/>
    </row>
    <row r="635">
      <c r="B635" s="14"/>
      <c r="D635" s="14"/>
      <c r="G635" s="4" t="s">
        <v>3427</v>
      </c>
      <c r="H635" s="4" t="s">
        <v>606</v>
      </c>
      <c r="I635" s="4">
        <v>8007.0</v>
      </c>
      <c r="J635" t="str">
        <f t="array" ref="J635">INDEX('TJ List'!B:B,MATCH(I635,'TJ List'!N:N,0),0)
</f>
        <v>#N/A</v>
      </c>
      <c r="N635" s="147"/>
      <c r="O635" s="147"/>
      <c r="Z635" s="29"/>
    </row>
    <row r="636">
      <c r="B636" s="14"/>
      <c r="D636" s="14"/>
      <c r="G636" s="4" t="s">
        <v>3428</v>
      </c>
      <c r="H636" s="4" t="s">
        <v>606</v>
      </c>
      <c r="I636" s="4">
        <v>9756.0</v>
      </c>
      <c r="J636" t="str">
        <f t="array" ref="J636">INDEX('TJ List'!B:B,MATCH(I636,'TJ List'!N:N,0),0)
</f>
        <v>#N/A</v>
      </c>
      <c r="N636" s="147"/>
      <c r="O636" s="147"/>
      <c r="Z636" s="29"/>
    </row>
    <row r="637">
      <c r="B637" s="14"/>
      <c r="D637" s="14"/>
      <c r="G637" s="4" t="s">
        <v>3429</v>
      </c>
      <c r="H637" s="4" t="s">
        <v>606</v>
      </c>
      <c r="I637" s="4">
        <v>9895.0</v>
      </c>
      <c r="J637" t="str">
        <f t="array" ref="J637">INDEX('TJ List'!B:B,MATCH(I637,'TJ List'!N:N,0),0)
</f>
        <v>#N/A</v>
      </c>
      <c r="N637" s="147"/>
      <c r="O637" s="147"/>
      <c r="Z637" s="29"/>
    </row>
    <row r="638">
      <c r="B638" s="14"/>
      <c r="D638" s="14"/>
      <c r="G638" s="4" t="s">
        <v>3430</v>
      </c>
      <c r="H638" s="4" t="s">
        <v>606</v>
      </c>
      <c r="I638" s="4">
        <v>10587.0</v>
      </c>
      <c r="J638" t="str">
        <f t="array" ref="J638">INDEX('TJ List'!B:B,MATCH(I638,'TJ List'!N:N,0),0)
</f>
        <v>#N/A</v>
      </c>
      <c r="N638" s="147"/>
      <c r="O638" s="147"/>
      <c r="Z638" s="29"/>
    </row>
    <row r="639">
      <c r="B639" s="14"/>
      <c r="D639" s="14"/>
      <c r="G639" s="4" t="s">
        <v>3431</v>
      </c>
      <c r="H639" s="4" t="s">
        <v>606</v>
      </c>
      <c r="I639" s="4">
        <v>10925.0</v>
      </c>
      <c r="J639" t="str">
        <f t="array" ref="J639">INDEX('TJ List'!B:B,MATCH(I639,'TJ List'!N:N,0),0)
</f>
        <v>#N/A</v>
      </c>
      <c r="N639" s="147"/>
      <c r="O639" s="147"/>
      <c r="Z639" s="29"/>
    </row>
    <row r="640">
      <c r="B640" s="14"/>
      <c r="D640" s="14"/>
      <c r="G640" s="4" t="s">
        <v>3432</v>
      </c>
      <c r="H640" s="4" t="s">
        <v>606</v>
      </c>
      <c r="I640" s="4">
        <v>12880.0</v>
      </c>
      <c r="J640" t="str">
        <f t="array" ref="J640">INDEX('TJ List'!B:B,MATCH(I640,'TJ List'!N:N,0),0)
</f>
        <v>#N/A</v>
      </c>
      <c r="N640" s="147"/>
      <c r="O640" s="147"/>
      <c r="Z640" s="29"/>
    </row>
    <row r="641">
      <c r="B641" s="14"/>
      <c r="D641" s="14"/>
      <c r="G641" s="4" t="s">
        <v>3433</v>
      </c>
      <c r="H641" s="4" t="s">
        <v>606</v>
      </c>
      <c r="I641" s="4">
        <v>13276.0</v>
      </c>
      <c r="J641" t="str">
        <f t="array" ref="J641">INDEX('TJ List'!B:B,MATCH(I641,'TJ List'!N:N,0),0)
</f>
        <v>#N/A</v>
      </c>
      <c r="N641" s="147"/>
      <c r="O641" s="147"/>
      <c r="Z641" s="29"/>
    </row>
    <row r="642">
      <c r="B642" s="14"/>
      <c r="D642" s="14"/>
      <c r="G642" s="4" t="s">
        <v>3434</v>
      </c>
      <c r="H642" s="4" t="s">
        <v>606</v>
      </c>
      <c r="I642" s="4">
        <v>13453.0</v>
      </c>
      <c r="J642" t="str">
        <f t="array" ref="J642">INDEX('TJ List'!B:B,MATCH(I642,'TJ List'!N:N,0),0)
</f>
        <v>#N/A</v>
      </c>
      <c r="N642" s="147"/>
      <c r="O642" s="147"/>
      <c r="Z642" s="29"/>
    </row>
    <row r="643">
      <c r="B643" s="14"/>
      <c r="D643" s="14"/>
      <c r="G643" s="4" t="s">
        <v>3435</v>
      </c>
      <c r="H643" s="4" t="s">
        <v>606</v>
      </c>
      <c r="I643" s="4">
        <v>14542.0</v>
      </c>
      <c r="J643" t="str">
        <f t="array" ref="J643">INDEX('TJ List'!B:B,MATCH(I643,'TJ List'!N:N,0),0)
</f>
        <v>#N/A</v>
      </c>
      <c r="N643" s="147"/>
      <c r="O643" s="147"/>
      <c r="Z643" s="29"/>
    </row>
    <row r="644">
      <c r="B644" s="14"/>
      <c r="D644" s="14"/>
      <c r="G644" s="4" t="s">
        <v>3436</v>
      </c>
      <c r="H644" s="4" t="s">
        <v>606</v>
      </c>
      <c r="I644" s="4">
        <v>14916.0</v>
      </c>
      <c r="J644" t="str">
        <f t="array" ref="J644">INDEX('TJ List'!B:B,MATCH(I644,'TJ List'!N:N,0),0)
</f>
        <v>#N/A</v>
      </c>
      <c r="N644" s="147"/>
      <c r="O644" s="147"/>
      <c r="Z644" s="29"/>
    </row>
    <row r="645">
      <c r="B645" s="14"/>
      <c r="D645" s="14"/>
      <c r="G645" s="4" t="s">
        <v>3437</v>
      </c>
      <c r="H645" s="4" t="s">
        <v>606</v>
      </c>
      <c r="I645" s="4">
        <v>15038.0</v>
      </c>
      <c r="J645" t="str">
        <f t="array" ref="J645">INDEX('TJ List'!B:B,MATCH(I645,'TJ List'!N:N,0),0)
</f>
        <v>#N/A</v>
      </c>
      <c r="N645" s="147"/>
      <c r="O645" s="147"/>
      <c r="Z645" s="29"/>
    </row>
    <row r="646">
      <c r="B646" s="14"/>
      <c r="D646" s="14"/>
      <c r="G646" s="4" t="s">
        <v>3438</v>
      </c>
      <c r="H646" s="4" t="s">
        <v>606</v>
      </c>
      <c r="I646" s="4">
        <v>15684.0</v>
      </c>
      <c r="J646" t="str">
        <f t="array" ref="J646">INDEX('TJ List'!B:B,MATCH(I646,'TJ List'!N:N,0),0)
</f>
        <v>#N/A</v>
      </c>
      <c r="N646" s="147"/>
      <c r="O646" s="147"/>
      <c r="Z646" s="29"/>
    </row>
    <row r="647">
      <c r="B647" s="14"/>
      <c r="D647" s="14"/>
      <c r="G647" s="4" t="s">
        <v>1861</v>
      </c>
      <c r="H647" s="4" t="s">
        <v>321</v>
      </c>
      <c r="I647" s="4">
        <v>3990.0</v>
      </c>
      <c r="J647" s="45">
        <f t="array" ref="J647">INDEX('TJ List'!B:B,MATCH(I647,'TJ List'!N:N,0),0)
</f>
        <v>40028</v>
      </c>
      <c r="N647" s="147"/>
      <c r="O647" s="147"/>
      <c r="Z647" s="29"/>
    </row>
    <row r="648">
      <c r="B648" s="14"/>
      <c r="D648" s="14"/>
      <c r="G648" s="4" t="s">
        <v>508</v>
      </c>
      <c r="H648" s="4" t="s">
        <v>321</v>
      </c>
      <c r="I648" s="4">
        <v>6941.0</v>
      </c>
      <c r="J648" s="45">
        <f t="array" ref="J648">INDEX('TJ List'!B:B,MATCH(I648,'TJ List'!N:N,0),0)
</f>
        <v>41001</v>
      </c>
      <c r="N648" s="147"/>
      <c r="O648" s="147"/>
      <c r="Z648" s="29"/>
    </row>
    <row r="649">
      <c r="B649" s="14"/>
      <c r="D649" s="14"/>
      <c r="G649" s="4" t="s">
        <v>1473</v>
      </c>
      <c r="H649" s="4" t="s">
        <v>321</v>
      </c>
      <c r="I649" s="4">
        <v>3542.0</v>
      </c>
      <c r="J649" s="45">
        <f t="array" ref="J649">INDEX('TJ List'!B:B,MATCH(I649,'TJ List'!N:N,0),0)
</f>
        <v>41073</v>
      </c>
      <c r="N649" s="147"/>
      <c r="O649" s="147"/>
      <c r="Z649" s="29"/>
    </row>
    <row r="650">
      <c r="B650" s="14"/>
      <c r="D650" s="14"/>
      <c r="G650" s="4" t="s">
        <v>1250</v>
      </c>
      <c r="H650" s="4" t="s">
        <v>321</v>
      </c>
      <c r="I650" s="4">
        <v>13799.0</v>
      </c>
      <c r="J650" s="45">
        <f t="array" ref="J650">INDEX('TJ List'!B:B,MATCH(I650,'TJ List'!N:N,0),0)
</f>
        <v>41466</v>
      </c>
      <c r="N650" s="147"/>
      <c r="O650" s="147"/>
      <c r="Z650" s="29"/>
    </row>
    <row r="651">
      <c r="B651" s="14"/>
      <c r="D651" s="14"/>
      <c r="G651" s="4" t="s">
        <v>1240</v>
      </c>
      <c r="H651" s="4" t="s">
        <v>321</v>
      </c>
      <c r="I651" s="4">
        <v>13834.0</v>
      </c>
      <c r="J651" s="45">
        <f t="array" ref="J651">INDEX('TJ List'!B:B,MATCH(I651,'TJ List'!N:N,0),0)
</f>
        <v>41486</v>
      </c>
      <c r="N651" s="147"/>
      <c r="O651" s="147"/>
      <c r="Z651" s="29"/>
    </row>
    <row r="652">
      <c r="B652" s="14"/>
      <c r="D652" s="14"/>
      <c r="G652" s="4" t="s">
        <v>1216</v>
      </c>
      <c r="H652" s="4" t="s">
        <v>321</v>
      </c>
      <c r="I652" s="4">
        <v>10387.0</v>
      </c>
      <c r="J652" s="45">
        <f t="array" ref="J652">INDEX('TJ List'!B:B,MATCH(I652,'TJ List'!N:N,0),0)
</f>
        <v>41528</v>
      </c>
      <c r="N652" s="147"/>
      <c r="O652" s="147"/>
      <c r="Z652" s="29"/>
    </row>
    <row r="653">
      <c r="B653" s="14"/>
      <c r="D653" s="14"/>
      <c r="G653" s="4" t="s">
        <v>1118</v>
      </c>
      <c r="H653" s="4" t="s">
        <v>321</v>
      </c>
      <c r="I653" s="4">
        <v>6943.0</v>
      </c>
      <c r="J653" s="45">
        <f t="array" ref="J653">INDEX('TJ List'!B:B,MATCH(I653,'TJ List'!N:N,0),0)
</f>
        <v>41716</v>
      </c>
      <c r="N653" s="147"/>
      <c r="O653" s="147"/>
      <c r="Z653" s="29"/>
    </row>
    <row r="654">
      <c r="B654" s="14"/>
      <c r="D654" s="14"/>
      <c r="G654" s="4" t="s">
        <v>615</v>
      </c>
      <c r="H654" s="4" t="s">
        <v>321</v>
      </c>
      <c r="I654" s="4">
        <v>9417.0</v>
      </c>
      <c r="J654" s="45">
        <f t="array" ref="J654">INDEX('TJ List'!B:B,MATCH(I654,'TJ List'!N:N,0),0)
</f>
        <v>41716</v>
      </c>
      <c r="N654" s="147"/>
      <c r="O654" s="147"/>
      <c r="Z654" s="29"/>
    </row>
    <row r="655">
      <c r="B655" s="14"/>
      <c r="D655" s="14"/>
      <c r="G655" s="4" t="s">
        <v>707</v>
      </c>
      <c r="H655" s="4" t="s">
        <v>321</v>
      </c>
      <c r="I655" s="4">
        <v>4891.0</v>
      </c>
      <c r="J655" s="45">
        <f t="array" ref="J655">INDEX('TJ List'!B:B,MATCH(I655,'TJ List'!N:N,0),0)
</f>
        <v>41730</v>
      </c>
      <c r="N655" s="147"/>
      <c r="O655" s="147"/>
      <c r="Z655" s="29"/>
    </row>
    <row r="656">
      <c r="B656" s="14"/>
      <c r="D656" s="14"/>
      <c r="G656" s="4" t="s">
        <v>467</v>
      </c>
      <c r="H656" s="4" t="s">
        <v>321</v>
      </c>
      <c r="I656" s="4">
        <v>8044.0</v>
      </c>
      <c r="J656" s="45">
        <f t="array" ref="J656">INDEX('TJ List'!B:B,MATCH(I656,'TJ List'!N:N,0),0)
</f>
        <v>42221</v>
      </c>
      <c r="N656" s="147"/>
      <c r="O656" s="147"/>
      <c r="Z656" s="29"/>
    </row>
    <row r="657">
      <c r="B657" s="14"/>
      <c r="D657" s="14"/>
      <c r="G657" s="4" t="s">
        <v>3439</v>
      </c>
      <c r="H657" s="4" t="s">
        <v>321</v>
      </c>
      <c r="I657" s="4">
        <v>2074.0</v>
      </c>
      <c r="J657" t="str">
        <f t="array" ref="J657">INDEX('TJ List'!B:B,MATCH(I657,'TJ List'!N:N,0),0)
</f>
        <v>#N/A</v>
      </c>
      <c r="N657" s="147"/>
      <c r="O657" s="147"/>
      <c r="Z657" s="29"/>
    </row>
    <row r="658">
      <c r="B658" s="14"/>
      <c r="D658" s="14"/>
      <c r="G658" s="4" t="s">
        <v>3440</v>
      </c>
      <c r="H658" s="4" t="s">
        <v>321</v>
      </c>
      <c r="I658" s="4">
        <v>3196.0</v>
      </c>
      <c r="J658" t="str">
        <f t="array" ref="J658">INDEX('TJ List'!B:B,MATCH(I658,'TJ List'!N:N,0),0)
</f>
        <v>#N/A</v>
      </c>
      <c r="N658" s="147"/>
      <c r="O658" s="147"/>
      <c r="Z658" s="29"/>
    </row>
    <row r="659">
      <c r="B659" s="14"/>
      <c r="D659" s="14"/>
      <c r="G659" s="4" t="s">
        <v>749</v>
      </c>
      <c r="H659" s="4" t="s">
        <v>321</v>
      </c>
      <c r="I659" s="4">
        <v>3411.0</v>
      </c>
      <c r="J659" t="str">
        <f t="array" ref="J659">INDEX('TJ List'!B:B,MATCH(I659,'TJ List'!N:N,0),0)
</f>
        <v>#N/A</v>
      </c>
      <c r="N659" s="147"/>
      <c r="O659" s="147"/>
      <c r="Z659" s="29"/>
    </row>
    <row r="660">
      <c r="B660" s="14"/>
      <c r="D660" s="14"/>
      <c r="G660" s="4" t="s">
        <v>3441</v>
      </c>
      <c r="H660" s="4" t="s">
        <v>321</v>
      </c>
      <c r="I660" s="4">
        <v>6033.0</v>
      </c>
      <c r="J660" t="str">
        <f t="array" ref="J660">INDEX('TJ List'!B:B,MATCH(I660,'TJ List'!N:N,0),0)
</f>
        <v>#N/A</v>
      </c>
      <c r="N660" s="147"/>
      <c r="O660" s="147"/>
      <c r="Z660" s="29"/>
    </row>
    <row r="661">
      <c r="B661" s="14"/>
      <c r="D661" s="14"/>
      <c r="G661" s="4" t="s">
        <v>3442</v>
      </c>
      <c r="H661" s="4" t="s">
        <v>321</v>
      </c>
      <c r="I661" s="4">
        <v>6986.0</v>
      </c>
      <c r="J661" t="str">
        <f t="array" ref="J661">INDEX('TJ List'!B:B,MATCH(I661,'TJ List'!N:N,0),0)
</f>
        <v>#N/A</v>
      </c>
      <c r="N661" s="147"/>
      <c r="O661" s="147"/>
      <c r="Z661" s="29"/>
    </row>
    <row r="662">
      <c r="B662" s="14"/>
      <c r="D662" s="14"/>
      <c r="G662" s="4" t="s">
        <v>3443</v>
      </c>
      <c r="H662" s="4" t="s">
        <v>321</v>
      </c>
      <c r="I662" s="4">
        <v>7396.0</v>
      </c>
      <c r="J662" t="str">
        <f t="array" ref="J662">INDEX('TJ List'!B:B,MATCH(I662,'TJ List'!N:N,0),0)
</f>
        <v>#N/A</v>
      </c>
      <c r="N662" s="147"/>
      <c r="O662" s="147"/>
      <c r="Z662" s="29"/>
    </row>
    <row r="663">
      <c r="B663" s="14"/>
      <c r="D663" s="14"/>
      <c r="G663" s="4" t="s">
        <v>3444</v>
      </c>
      <c r="H663" s="4" t="s">
        <v>321</v>
      </c>
      <c r="I663" s="4">
        <v>7441.0</v>
      </c>
      <c r="J663" t="str">
        <f t="array" ref="J663">INDEX('TJ List'!B:B,MATCH(I663,'TJ List'!N:N,0),0)
</f>
        <v>#N/A</v>
      </c>
      <c r="N663" s="147"/>
      <c r="O663" s="147"/>
      <c r="Z663" s="29"/>
    </row>
    <row r="664">
      <c r="B664" s="14"/>
      <c r="D664" s="14"/>
      <c r="G664" s="4" t="s">
        <v>3445</v>
      </c>
      <c r="H664" s="4" t="s">
        <v>321</v>
      </c>
      <c r="I664" s="4">
        <v>10591.0</v>
      </c>
      <c r="J664" t="str">
        <f t="array" ref="J664">INDEX('TJ List'!B:B,MATCH(I664,'TJ List'!N:N,0),0)
</f>
        <v>#N/A</v>
      </c>
      <c r="N664" s="147"/>
      <c r="O664" s="147"/>
      <c r="Z664" s="29"/>
    </row>
    <row r="665">
      <c r="B665" s="14"/>
      <c r="D665" s="14"/>
      <c r="G665" s="4" t="s">
        <v>3446</v>
      </c>
      <c r="H665" s="4" t="s">
        <v>321</v>
      </c>
      <c r="I665" s="4">
        <v>11855.0</v>
      </c>
      <c r="J665" t="str">
        <f t="array" ref="J665">INDEX('TJ List'!B:B,MATCH(I665,'TJ List'!N:N,0),0)
</f>
        <v>#N/A</v>
      </c>
      <c r="N665" s="147"/>
      <c r="O665" s="147"/>
      <c r="Z665" s="29"/>
    </row>
    <row r="666">
      <c r="B666" s="14"/>
      <c r="D666" s="14"/>
      <c r="G666" s="4" t="s">
        <v>3447</v>
      </c>
      <c r="H666" s="4" t="s">
        <v>321</v>
      </c>
      <c r="I666" s="4">
        <v>12027.0</v>
      </c>
      <c r="J666" t="str">
        <f t="array" ref="J666">INDEX('TJ List'!B:B,MATCH(I666,'TJ List'!N:N,0),0)
</f>
        <v>#N/A</v>
      </c>
      <c r="N666" s="147"/>
      <c r="O666" s="147"/>
      <c r="Z666" s="29"/>
    </row>
    <row r="667">
      <c r="B667" s="14"/>
      <c r="D667" s="14"/>
      <c r="G667" s="4" t="s">
        <v>3448</v>
      </c>
      <c r="H667" s="4" t="s">
        <v>321</v>
      </c>
      <c r="I667" s="4">
        <v>15240.0</v>
      </c>
      <c r="J667" t="str">
        <f t="array" ref="J667">INDEX('TJ List'!B:B,MATCH(I667,'TJ List'!N:N,0),0)
</f>
        <v>#N/A</v>
      </c>
      <c r="N667" s="147"/>
      <c r="O667" s="147"/>
      <c r="Z667" s="29"/>
    </row>
    <row r="668">
      <c r="B668" s="14"/>
      <c r="D668" s="14"/>
      <c r="G668" s="4" t="s">
        <v>2415</v>
      </c>
      <c r="H668" s="4" t="s">
        <v>358</v>
      </c>
      <c r="I668" s="4">
        <v>3284.0</v>
      </c>
      <c r="J668" s="45">
        <f t="array" ref="J668">INDEX('TJ List'!B:B,MATCH(I668,'TJ List'!N:N,0),0)
</f>
        <v>37622</v>
      </c>
      <c r="N668" s="147"/>
      <c r="O668" s="147"/>
      <c r="Z668" s="29"/>
    </row>
    <row r="669">
      <c r="B669" s="14"/>
      <c r="D669" s="14"/>
      <c r="G669" s="4" t="s">
        <v>2372</v>
      </c>
      <c r="H669" s="4" t="s">
        <v>358</v>
      </c>
      <c r="I669" s="4">
        <v>6200.0</v>
      </c>
      <c r="J669" s="45">
        <f t="array" ref="J669">INDEX('TJ List'!B:B,MATCH(I669,'TJ List'!N:N,0),0)
</f>
        <v>37987</v>
      </c>
      <c r="N669" s="147"/>
      <c r="O669" s="147"/>
      <c r="Z669" s="29"/>
    </row>
    <row r="670">
      <c r="B670" s="14"/>
      <c r="D670" s="14"/>
      <c r="G670" s="4" t="s">
        <v>2186</v>
      </c>
      <c r="H670" s="4" t="s">
        <v>358</v>
      </c>
      <c r="I670" s="4">
        <v>6166.0</v>
      </c>
      <c r="J670" s="45">
        <f t="array" ref="J670">INDEX('TJ List'!B:B,MATCH(I670,'TJ List'!N:N,0),0)
</f>
        <v>38960</v>
      </c>
      <c r="N670" s="147"/>
      <c r="O670" s="147"/>
      <c r="Z670" s="29"/>
    </row>
    <row r="671">
      <c r="B671" s="14"/>
      <c r="D671" s="14"/>
      <c r="G671" s="4" t="s">
        <v>2092</v>
      </c>
      <c r="H671" s="4" t="s">
        <v>358</v>
      </c>
      <c r="I671" s="4">
        <v>9239.0</v>
      </c>
      <c r="J671" s="45">
        <f t="array" ref="J671">INDEX('TJ List'!B:B,MATCH(I671,'TJ List'!N:N,0),0)
</f>
        <v>39269</v>
      </c>
      <c r="N671" s="147"/>
      <c r="O671" s="147"/>
      <c r="Z671" s="29"/>
    </row>
    <row r="672">
      <c r="B672" s="14"/>
      <c r="D672" s="14"/>
      <c r="G672" s="4" t="s">
        <v>2020</v>
      </c>
      <c r="H672" s="4" t="s">
        <v>358</v>
      </c>
      <c r="I672" s="4">
        <v>10756.0</v>
      </c>
      <c r="J672" s="45">
        <f t="array" ref="J672">INDEX('TJ List'!B:B,MATCH(I672,'TJ List'!N:N,0),0)
</f>
        <v>39569</v>
      </c>
      <c r="N672" s="147"/>
      <c r="O672" s="147"/>
      <c r="Z672" s="29"/>
    </row>
    <row r="673">
      <c r="B673" s="14"/>
      <c r="D673" s="14"/>
      <c r="G673" s="4" t="s">
        <v>2016</v>
      </c>
      <c r="H673" s="4" t="s">
        <v>358</v>
      </c>
      <c r="I673" s="4">
        <v>13424.0</v>
      </c>
      <c r="J673" s="45">
        <f t="array" ref="J673">INDEX('TJ List'!B:B,MATCH(I673,'TJ List'!N:N,0),0)
</f>
        <v>39600</v>
      </c>
      <c r="N673" s="147"/>
      <c r="O673" s="147"/>
      <c r="Z673" s="29"/>
    </row>
    <row r="674">
      <c r="B674" s="14"/>
      <c r="D674" s="14"/>
      <c r="G674" s="4" t="s">
        <v>1858</v>
      </c>
      <c r="H674" s="4" t="s">
        <v>358</v>
      </c>
      <c r="I674" s="4">
        <v>4505.0</v>
      </c>
      <c r="J674" s="45">
        <f t="array" ref="J674">INDEX('TJ List'!B:B,MATCH(I674,'TJ List'!N:N,0),0)
</f>
        <v>40044</v>
      </c>
      <c r="N674" s="147"/>
      <c r="O674" s="147"/>
      <c r="Z674" s="29"/>
    </row>
    <row r="675">
      <c r="B675" s="14"/>
      <c r="D675" s="14"/>
      <c r="G675" s="4" t="s">
        <v>1505</v>
      </c>
      <c r="H675" s="4" t="s">
        <v>358</v>
      </c>
      <c r="I675" s="4">
        <v>5203.0</v>
      </c>
      <c r="J675" s="45">
        <f t="array" ref="J675">INDEX('TJ List'!B:B,MATCH(I675,'TJ List'!N:N,0),0)
</f>
        <v>41030</v>
      </c>
      <c r="N675" s="147"/>
      <c r="O675" s="147"/>
      <c r="Z675" s="29"/>
    </row>
    <row r="676">
      <c r="B676" s="14"/>
      <c r="D676" s="14"/>
      <c r="G676" s="4" t="s">
        <v>1106</v>
      </c>
      <c r="H676" s="4" t="s">
        <v>358</v>
      </c>
      <c r="I676" s="4">
        <v>5766.0</v>
      </c>
      <c r="J676" s="45">
        <f t="array" ref="J676">INDEX('TJ List'!B:B,MATCH(I676,'TJ List'!N:N,0),0)
</f>
        <v>41727</v>
      </c>
      <c r="N676" s="147"/>
      <c r="O676" s="147"/>
      <c r="Z676" s="29"/>
    </row>
    <row r="677">
      <c r="B677" s="14"/>
      <c r="D677" s="14"/>
      <c r="G677" s="4" t="s">
        <v>1058</v>
      </c>
      <c r="H677" s="4" t="s">
        <v>358</v>
      </c>
      <c r="I677" s="4">
        <v>9926.0</v>
      </c>
      <c r="J677" s="45">
        <f t="array" ref="J677">INDEX('TJ List'!B:B,MATCH(I677,'TJ List'!N:N,0),0)
</f>
        <v>41737</v>
      </c>
      <c r="N677" s="147"/>
      <c r="O677" s="147"/>
      <c r="Z677" s="29"/>
    </row>
    <row r="678">
      <c r="B678" s="14"/>
      <c r="D678" s="14"/>
      <c r="G678" s="4" t="s">
        <v>482</v>
      </c>
      <c r="H678" s="4" t="s">
        <v>358</v>
      </c>
      <c r="I678" s="4">
        <v>1159.0</v>
      </c>
      <c r="J678" t="str">
        <f t="array" ref="J678">INDEX('TJ List'!B:B,MATCH(I678,'TJ List'!N:N,0),0)
</f>
        <v>#N/A</v>
      </c>
      <c r="N678" s="147"/>
      <c r="O678" s="147"/>
      <c r="Z678" s="29"/>
    </row>
    <row r="679">
      <c r="B679" s="14"/>
      <c r="D679" s="14"/>
      <c r="G679" s="4" t="s">
        <v>3449</v>
      </c>
      <c r="H679" s="4" t="s">
        <v>358</v>
      </c>
      <c r="I679" s="4">
        <v>1642.0</v>
      </c>
      <c r="J679" t="str">
        <f t="array" ref="J679">INDEX('TJ List'!B:B,MATCH(I679,'TJ List'!N:N,0),0)
</f>
        <v>#N/A</v>
      </c>
      <c r="N679" s="147"/>
      <c r="O679" s="147"/>
      <c r="Z679" s="29"/>
    </row>
    <row r="680">
      <c r="B680" s="14"/>
      <c r="D680" s="14"/>
      <c r="G680" s="4" t="s">
        <v>3450</v>
      </c>
      <c r="H680" s="4" t="s">
        <v>358</v>
      </c>
      <c r="I680" s="4">
        <v>4301.0</v>
      </c>
      <c r="J680" t="str">
        <f t="array" ref="J680">INDEX('TJ List'!B:B,MATCH(I680,'TJ List'!N:N,0),0)
</f>
        <v>#N/A</v>
      </c>
      <c r="N680" s="147"/>
      <c r="O680" s="147"/>
      <c r="Z680" s="29"/>
    </row>
    <row r="681">
      <c r="B681" s="14"/>
      <c r="D681" s="14"/>
      <c r="G681" s="4" t="s">
        <v>3451</v>
      </c>
      <c r="H681" s="4" t="s">
        <v>358</v>
      </c>
      <c r="I681" s="4">
        <v>6499.0</v>
      </c>
      <c r="J681" t="str">
        <f t="array" ref="J681">INDEX('TJ List'!B:B,MATCH(I681,'TJ List'!N:N,0),0)
</f>
        <v>#N/A</v>
      </c>
      <c r="N681" s="147"/>
      <c r="O681" s="147"/>
      <c r="Z681" s="29"/>
    </row>
    <row r="682">
      <c r="B682" s="14"/>
      <c r="D682" s="14"/>
      <c r="G682" s="4" t="s">
        <v>3452</v>
      </c>
      <c r="H682" s="4" t="s">
        <v>358</v>
      </c>
      <c r="I682" s="4">
        <v>7416.0</v>
      </c>
      <c r="J682" t="str">
        <f t="array" ref="J682">INDEX('TJ List'!B:B,MATCH(I682,'TJ List'!N:N,0),0)
</f>
        <v>#N/A</v>
      </c>
      <c r="N682" s="147"/>
      <c r="O682" s="147"/>
      <c r="Z682" s="29"/>
    </row>
    <row r="683">
      <c r="B683" s="14"/>
      <c r="D683" s="14"/>
      <c r="G683" s="4" t="s">
        <v>3453</v>
      </c>
      <c r="H683" s="4" t="s">
        <v>358</v>
      </c>
      <c r="I683" s="4">
        <v>8700.0</v>
      </c>
      <c r="J683" t="str">
        <f t="array" ref="J683">INDEX('TJ List'!B:B,MATCH(I683,'TJ List'!N:N,0),0)
</f>
        <v>#N/A</v>
      </c>
      <c r="N683" s="147"/>
      <c r="O683" s="147"/>
      <c r="Z683" s="29"/>
    </row>
    <row r="684">
      <c r="B684" s="14"/>
      <c r="D684" s="14"/>
      <c r="G684" s="4" t="s">
        <v>3454</v>
      </c>
      <c r="H684" s="4" t="s">
        <v>358</v>
      </c>
      <c r="I684" s="4">
        <v>11753.0</v>
      </c>
      <c r="J684" t="str">
        <f t="array" ref="J684">INDEX('TJ List'!B:B,MATCH(I684,'TJ List'!N:N,0),0)
</f>
        <v>#N/A</v>
      </c>
      <c r="N684" s="147"/>
      <c r="O684" s="147"/>
      <c r="Z684" s="29"/>
    </row>
    <row r="685">
      <c r="B685" s="14"/>
      <c r="D685" s="14"/>
      <c r="G685" s="4" t="s">
        <v>3455</v>
      </c>
      <c r="H685" s="4" t="s">
        <v>358</v>
      </c>
      <c r="I685" s="4">
        <v>13211.0</v>
      </c>
      <c r="J685" t="str">
        <f t="array" ref="J685">INDEX('TJ List'!B:B,MATCH(I685,'TJ List'!N:N,0),0)
</f>
        <v>#N/A</v>
      </c>
      <c r="N685" s="147"/>
      <c r="O685" s="147"/>
      <c r="Z685" s="29"/>
    </row>
    <row r="686">
      <c r="B686" s="14"/>
      <c r="D686" s="14"/>
      <c r="G686" s="4" t="s">
        <v>3456</v>
      </c>
      <c r="H686" s="4" t="s">
        <v>358</v>
      </c>
      <c r="I686" s="4">
        <v>13218.0</v>
      </c>
      <c r="J686" t="str">
        <f t="array" ref="J686">INDEX('TJ List'!B:B,MATCH(I686,'TJ List'!N:N,0),0)
</f>
        <v>#N/A</v>
      </c>
      <c r="N686" s="147"/>
      <c r="O686" s="147"/>
      <c r="Z686" s="29"/>
    </row>
    <row r="687">
      <c r="B687" s="14"/>
      <c r="D687" s="14"/>
      <c r="G687" s="4" t="s">
        <v>3457</v>
      </c>
      <c r="H687" s="4" t="s">
        <v>358</v>
      </c>
      <c r="I687" s="4">
        <v>13475.0</v>
      </c>
      <c r="J687" t="str">
        <f t="array" ref="J687">INDEX('TJ List'!B:B,MATCH(I687,'TJ List'!N:N,0),0)
</f>
        <v>#N/A</v>
      </c>
      <c r="N687" s="147"/>
      <c r="O687" s="147"/>
      <c r="Z687" s="29"/>
    </row>
    <row r="688">
      <c r="B688" s="14"/>
      <c r="D688" s="14"/>
      <c r="G688" s="4" t="s">
        <v>3458</v>
      </c>
      <c r="H688" s="4" t="s">
        <v>358</v>
      </c>
      <c r="I688" s="4">
        <v>14814.0</v>
      </c>
      <c r="J688" t="str">
        <f t="array" ref="J688">INDEX('TJ List'!B:B,MATCH(I688,'TJ List'!N:N,0),0)
</f>
        <v>#N/A</v>
      </c>
      <c r="N688" s="147"/>
      <c r="O688" s="147"/>
      <c r="Z688" s="29"/>
    </row>
    <row r="689">
      <c r="B689" s="14"/>
      <c r="D689" s="14"/>
      <c r="G689" s="4" t="s">
        <v>3459</v>
      </c>
      <c r="H689" s="4" t="s">
        <v>358</v>
      </c>
      <c r="I689" s="4">
        <v>14857.0</v>
      </c>
      <c r="J689" t="str">
        <f t="array" ref="J689">INDEX('TJ List'!B:B,MATCH(I689,'TJ List'!N:N,0),0)
</f>
        <v>#N/A</v>
      </c>
      <c r="N689" s="147"/>
      <c r="O689" s="147"/>
      <c r="Z689" s="29"/>
    </row>
    <row r="690">
      <c r="B690" s="14"/>
      <c r="D690" s="14"/>
      <c r="G690" s="4" t="s">
        <v>3460</v>
      </c>
      <c r="H690" s="4" t="s">
        <v>358</v>
      </c>
      <c r="I690" s="4">
        <v>15440.0</v>
      </c>
      <c r="J690" t="str">
        <f t="array" ref="J690">INDEX('TJ List'!B:B,MATCH(I690,'TJ List'!N:N,0),0)
</f>
        <v>#N/A</v>
      </c>
      <c r="N690" s="147"/>
      <c r="O690" s="147"/>
      <c r="Z690" s="29"/>
    </row>
    <row r="691">
      <c r="B691" s="14"/>
      <c r="D691" s="14"/>
      <c r="G691" s="4" t="s">
        <v>1967</v>
      </c>
      <c r="H691" s="4" t="s">
        <v>827</v>
      </c>
      <c r="I691" s="4">
        <v>7853.0</v>
      </c>
      <c r="J691" s="45">
        <f t="array" ref="J691">INDEX('TJ List'!B:B,MATCH(I691,'TJ List'!N:N,0),0)
</f>
        <v>39814</v>
      </c>
      <c r="N691" s="147"/>
      <c r="O691" s="147"/>
      <c r="Z691" s="29"/>
    </row>
    <row r="692">
      <c r="B692" s="14"/>
      <c r="D692" s="14"/>
      <c r="G692" s="4" t="s">
        <v>1586</v>
      </c>
      <c r="H692" s="4" t="s">
        <v>827</v>
      </c>
      <c r="I692" s="4">
        <v>10123.0</v>
      </c>
      <c r="J692" s="45">
        <f t="array" ref="J692">INDEX('TJ List'!B:B,MATCH(I692,'TJ List'!N:N,0),0)
</f>
        <v>40793</v>
      </c>
      <c r="N692" s="147"/>
      <c r="O692" s="147"/>
      <c r="Z692" s="29"/>
    </row>
    <row r="693">
      <c r="B693" s="14"/>
      <c r="D693" s="14"/>
      <c r="G693" s="4" t="s">
        <v>1433</v>
      </c>
      <c r="H693" s="4" t="s">
        <v>827</v>
      </c>
      <c r="I693" s="4">
        <v>11394.0</v>
      </c>
      <c r="J693" s="45">
        <f t="array" ref="J693">INDEX('TJ List'!B:B,MATCH(I693,'TJ List'!N:N,0),0)
</f>
        <v>41123</v>
      </c>
      <c r="N693" s="147"/>
      <c r="O693" s="147"/>
      <c r="Z693" s="29"/>
    </row>
    <row r="694">
      <c r="B694" s="14"/>
      <c r="D694" s="14"/>
      <c r="G694" s="4" t="s">
        <v>1211</v>
      </c>
      <c r="H694" s="4" t="s">
        <v>827</v>
      </c>
      <c r="I694" s="4">
        <v>13767.0</v>
      </c>
      <c r="J694" s="45">
        <f t="array" ref="J694">INDEX('TJ List'!B:B,MATCH(I694,'TJ List'!N:N,0),0)
</f>
        <v>41534</v>
      </c>
      <c r="N694" s="147"/>
      <c r="O694" s="147"/>
      <c r="Z694" s="29"/>
    </row>
    <row r="695">
      <c r="B695" s="14"/>
      <c r="D695" s="14"/>
      <c r="G695" s="4" t="s">
        <v>3461</v>
      </c>
      <c r="H695" s="4" t="s">
        <v>827</v>
      </c>
      <c r="I695" s="4">
        <v>3200.0</v>
      </c>
      <c r="J695" t="str">
        <f t="array" ref="J695">INDEX('TJ List'!B:B,MATCH(I695,'TJ List'!N:N,0),0)
</f>
        <v>#N/A</v>
      </c>
      <c r="N695" s="147"/>
      <c r="O695" s="147"/>
      <c r="Z695" s="29"/>
    </row>
    <row r="696">
      <c r="B696" s="14"/>
      <c r="D696" s="14"/>
      <c r="G696" s="4" t="s">
        <v>826</v>
      </c>
      <c r="H696" s="4" t="s">
        <v>827</v>
      </c>
      <c r="I696" s="4">
        <v>6153.0</v>
      </c>
      <c r="J696" t="str">
        <f t="array" ref="J696">INDEX('TJ List'!B:B,MATCH(I696,'TJ List'!N:N,0),0)
</f>
        <v>#N/A</v>
      </c>
      <c r="N696" s="147"/>
      <c r="O696" s="147"/>
      <c r="Z696" s="29"/>
    </row>
    <row r="697">
      <c r="B697" s="14"/>
      <c r="D697" s="14"/>
      <c r="G697" s="4" t="s">
        <v>3462</v>
      </c>
      <c r="H697" s="4" t="s">
        <v>827</v>
      </c>
      <c r="I697" s="4">
        <v>6398.0</v>
      </c>
      <c r="J697" t="str">
        <f t="array" ref="J697">INDEX('TJ List'!B:B,MATCH(I697,'TJ List'!N:N,0),0)
</f>
        <v>#N/A</v>
      </c>
      <c r="N697" s="147"/>
      <c r="O697" s="147"/>
      <c r="Z697" s="29"/>
    </row>
    <row r="698">
      <c r="B698" s="14"/>
      <c r="D698" s="14"/>
      <c r="G698" s="4" t="s">
        <v>3463</v>
      </c>
      <c r="H698" s="4" t="s">
        <v>827</v>
      </c>
      <c r="I698" s="4">
        <v>7005.0</v>
      </c>
      <c r="J698" t="str">
        <f t="array" ref="J698">INDEX('TJ List'!B:B,MATCH(I698,'TJ List'!N:N,0),0)
</f>
        <v>#N/A</v>
      </c>
      <c r="N698" s="147"/>
      <c r="O698" s="147"/>
      <c r="Z698" s="29"/>
    </row>
    <row r="699">
      <c r="B699" s="14"/>
      <c r="D699" s="14"/>
      <c r="G699" s="4" t="s">
        <v>2036</v>
      </c>
      <c r="H699" s="4" t="s">
        <v>827</v>
      </c>
      <c r="I699" s="4">
        <v>7450.0</v>
      </c>
      <c r="J699" t="str">
        <f t="array" ref="J699">INDEX('TJ List'!B:B,MATCH(I699,'TJ List'!N:N,0),0)
</f>
        <v>#N/A</v>
      </c>
      <c r="N699" s="147"/>
      <c r="O699" s="147"/>
      <c r="Z699" s="29"/>
    </row>
    <row r="700">
      <c r="B700" s="14"/>
      <c r="D700" s="14"/>
      <c r="G700" s="4" t="s">
        <v>3464</v>
      </c>
      <c r="H700" s="4" t="s">
        <v>827</v>
      </c>
      <c r="I700" s="4">
        <v>7608.0</v>
      </c>
      <c r="J700" t="str">
        <f t="array" ref="J700">INDEX('TJ List'!B:B,MATCH(I700,'TJ List'!N:N,0),0)
</f>
        <v>#N/A</v>
      </c>
      <c r="N700" s="147"/>
      <c r="O700" s="147"/>
      <c r="Z700" s="29"/>
    </row>
    <row r="701">
      <c r="B701" s="14"/>
      <c r="D701" s="14"/>
      <c r="G701" s="4" t="s">
        <v>2056</v>
      </c>
      <c r="H701" s="4" t="s">
        <v>827</v>
      </c>
      <c r="I701" s="4">
        <v>8041.0</v>
      </c>
      <c r="J701" t="str">
        <f t="array" ref="J701">INDEX('TJ List'!B:B,MATCH(I701,'TJ List'!N:N,0),0)
</f>
        <v>#N/A</v>
      </c>
      <c r="N701" s="147"/>
      <c r="O701" s="147"/>
      <c r="Z701" s="29"/>
    </row>
    <row r="702">
      <c r="B702" s="14"/>
      <c r="D702" s="14"/>
      <c r="G702" s="4" t="s">
        <v>3465</v>
      </c>
      <c r="H702" s="4" t="s">
        <v>827</v>
      </c>
      <c r="I702" s="4">
        <v>8490.0</v>
      </c>
      <c r="J702" t="str">
        <f t="array" ref="J702">INDEX('TJ List'!B:B,MATCH(I702,'TJ List'!N:N,0),0)
</f>
        <v>#N/A</v>
      </c>
      <c r="N702" s="147"/>
      <c r="O702" s="147"/>
      <c r="Z702" s="29"/>
    </row>
    <row r="703">
      <c r="B703" s="14"/>
      <c r="D703" s="14"/>
      <c r="G703" s="4" t="s">
        <v>3466</v>
      </c>
      <c r="H703" s="4" t="s">
        <v>827</v>
      </c>
      <c r="I703" s="4">
        <v>9939.0</v>
      </c>
      <c r="J703" t="str">
        <f t="array" ref="J703">INDEX('TJ List'!B:B,MATCH(I703,'TJ List'!N:N,0),0)
</f>
        <v>#N/A</v>
      </c>
      <c r="N703" s="147"/>
      <c r="O703" s="147"/>
      <c r="Z703" s="29"/>
    </row>
    <row r="704">
      <c r="B704" s="14"/>
      <c r="D704" s="14"/>
      <c r="G704" s="4" t="s">
        <v>3467</v>
      </c>
      <c r="H704" s="4" t="s">
        <v>827</v>
      </c>
      <c r="I704" s="4">
        <v>10315.0</v>
      </c>
      <c r="J704" t="str">
        <f t="array" ref="J704">INDEX('TJ List'!B:B,MATCH(I704,'TJ List'!N:N,0),0)
</f>
        <v>#N/A</v>
      </c>
      <c r="N704" s="147"/>
      <c r="O704" s="147"/>
      <c r="Z704" s="29"/>
    </row>
    <row r="705">
      <c r="B705" s="14"/>
      <c r="D705" s="14"/>
      <c r="G705" s="4" t="s">
        <v>3468</v>
      </c>
      <c r="H705" s="4" t="s">
        <v>827</v>
      </c>
      <c r="I705" s="4">
        <v>10976.0</v>
      </c>
      <c r="J705" t="str">
        <f t="array" ref="J705">INDEX('TJ List'!B:B,MATCH(I705,'TJ List'!N:N,0),0)
</f>
        <v>#N/A</v>
      </c>
      <c r="N705" s="147"/>
      <c r="O705" s="147"/>
      <c r="Z705" s="29"/>
    </row>
    <row r="706">
      <c r="B706" s="14"/>
      <c r="D706" s="14"/>
      <c r="G706" s="4" t="s">
        <v>3469</v>
      </c>
      <c r="H706" s="4" t="s">
        <v>827</v>
      </c>
      <c r="I706" s="4">
        <v>11350.0</v>
      </c>
      <c r="J706" t="str">
        <f t="array" ref="J706">INDEX('TJ List'!B:B,MATCH(I706,'TJ List'!N:N,0),0)
</f>
        <v>#N/A</v>
      </c>
      <c r="N706" s="147"/>
      <c r="O706" s="147"/>
      <c r="Z706" s="29"/>
    </row>
    <row r="707">
      <c r="B707" s="14"/>
      <c r="D707" s="14"/>
      <c r="G707" s="4" t="s">
        <v>3470</v>
      </c>
      <c r="H707" s="4" t="s">
        <v>827</v>
      </c>
      <c r="I707" s="4">
        <v>12042.0</v>
      </c>
      <c r="J707" t="str">
        <f t="array" ref="J707">INDEX('TJ List'!B:B,MATCH(I707,'TJ List'!N:N,0),0)
</f>
        <v>#N/A</v>
      </c>
      <c r="N707" s="147"/>
      <c r="O707" s="147"/>
      <c r="Z707" s="29"/>
    </row>
    <row r="708">
      <c r="B708" s="14"/>
      <c r="D708" s="14"/>
      <c r="G708" s="4" t="s">
        <v>3471</v>
      </c>
      <c r="H708" s="4" t="s">
        <v>827</v>
      </c>
      <c r="I708" s="4">
        <v>13188.0</v>
      </c>
      <c r="J708" t="str">
        <f t="array" ref="J708">INDEX('TJ List'!B:B,MATCH(I708,'TJ List'!N:N,0),0)
</f>
        <v>#N/A</v>
      </c>
      <c r="N708" s="147"/>
      <c r="O708" s="147"/>
      <c r="Z708" s="29"/>
    </row>
    <row r="709">
      <c r="B709" s="14"/>
      <c r="D709" s="14"/>
      <c r="G709" s="4" t="s">
        <v>3472</v>
      </c>
      <c r="H709" s="4" t="s">
        <v>827</v>
      </c>
      <c r="I709" s="4">
        <v>13449.0</v>
      </c>
      <c r="J709" t="str">
        <f t="array" ref="J709">INDEX('TJ List'!B:B,MATCH(I709,'TJ List'!N:N,0),0)
</f>
        <v>#N/A</v>
      </c>
      <c r="N709" s="147"/>
      <c r="O709" s="147"/>
      <c r="Z709" s="29"/>
    </row>
    <row r="710">
      <c r="B710" s="14"/>
      <c r="D710" s="14"/>
      <c r="G710" s="4" t="s">
        <v>3473</v>
      </c>
      <c r="H710" s="4" t="s">
        <v>827</v>
      </c>
      <c r="I710" s="4">
        <v>13758.0</v>
      </c>
      <c r="J710" t="str">
        <f t="array" ref="J710">INDEX('TJ List'!B:B,MATCH(I710,'TJ List'!N:N,0),0)
</f>
        <v>#N/A</v>
      </c>
      <c r="N710" s="147"/>
      <c r="O710" s="147"/>
      <c r="Z710" s="29"/>
    </row>
    <row r="711">
      <c r="B711" s="14"/>
      <c r="D711" s="14"/>
      <c r="G711" s="4" t="s">
        <v>3474</v>
      </c>
      <c r="H711" s="4" t="s">
        <v>827</v>
      </c>
      <c r="I711" s="4">
        <v>14168.0</v>
      </c>
      <c r="J711" t="str">
        <f t="array" ref="J711">INDEX('TJ List'!B:B,MATCH(I711,'TJ List'!N:N,0),0)
</f>
        <v>#N/A</v>
      </c>
      <c r="N711" s="147"/>
      <c r="O711" s="147"/>
      <c r="Z711" s="29"/>
    </row>
    <row r="712">
      <c r="B712" s="14"/>
      <c r="D712" s="14"/>
      <c r="G712" s="4" t="s">
        <v>1934</v>
      </c>
      <c r="H712" s="4" t="s">
        <v>466</v>
      </c>
      <c r="I712" s="4">
        <v>7024.0</v>
      </c>
      <c r="J712" s="45">
        <f t="array" ref="J712">INDEX('TJ List'!B:B,MATCH(I712,'TJ List'!N:N,0),0)
</f>
        <v>39880</v>
      </c>
      <c r="N712" s="147"/>
      <c r="O712" s="147"/>
      <c r="Z712" s="29"/>
    </row>
    <row r="713">
      <c r="B713" s="14"/>
      <c r="D713" s="14"/>
      <c r="G713" s="4" t="s">
        <v>1731</v>
      </c>
      <c r="H713" s="4" t="s">
        <v>466</v>
      </c>
      <c r="I713" s="4">
        <v>14093.0</v>
      </c>
      <c r="J713" s="45">
        <f t="array" ref="J713">INDEX('TJ List'!B:B,MATCH(I713,'TJ List'!N:N,0),0)
</f>
        <v>40414</v>
      </c>
      <c r="N713" s="147"/>
      <c r="O713" s="147"/>
      <c r="Z713" s="29"/>
    </row>
    <row r="714">
      <c r="B714" s="14"/>
      <c r="D714" s="14"/>
      <c r="G714" s="4" t="s">
        <v>1409</v>
      </c>
      <c r="H714" s="4" t="s">
        <v>466</v>
      </c>
      <c r="I714" s="4">
        <v>888.0</v>
      </c>
      <c r="J714" s="45">
        <f t="array" ref="J714">INDEX('TJ List'!B:B,MATCH(I714,'TJ List'!N:N,0),0)
</f>
        <v>41228</v>
      </c>
      <c r="N714" s="147"/>
      <c r="O714" s="147"/>
      <c r="Z714" s="29"/>
    </row>
    <row r="715">
      <c r="B715" s="14"/>
      <c r="D715" s="14"/>
      <c r="G715" s="4" t="s">
        <v>927</v>
      </c>
      <c r="H715" s="4" t="s">
        <v>466</v>
      </c>
      <c r="I715" s="4">
        <v>12831.0</v>
      </c>
      <c r="J715" s="45">
        <f t="array" ref="J715">INDEX('TJ List'!B:B,MATCH(I715,'TJ List'!N:N,0),0)
</f>
        <v>41788</v>
      </c>
      <c r="N715" s="147"/>
      <c r="O715" s="147"/>
      <c r="Z715" s="29"/>
    </row>
    <row r="716">
      <c r="B716" s="14"/>
      <c r="D716" s="14"/>
      <c r="G716" s="4" t="s">
        <v>846</v>
      </c>
      <c r="H716" s="4" t="s">
        <v>466</v>
      </c>
      <c r="I716" s="4">
        <v>4696.0</v>
      </c>
      <c r="J716" s="45">
        <f t="array" ref="J716">INDEX('TJ List'!B:B,MATCH(I716,'TJ List'!N:N,0),0)
</f>
        <v>41849</v>
      </c>
      <c r="N716" s="147"/>
      <c r="O716" s="147"/>
      <c r="Z716" s="29"/>
    </row>
    <row r="717">
      <c r="B717" s="14"/>
      <c r="D717" s="14"/>
      <c r="G717" s="4" t="s">
        <v>258</v>
      </c>
      <c r="H717" s="4" t="s">
        <v>466</v>
      </c>
      <c r="I717" s="4">
        <v>10558.0</v>
      </c>
      <c r="J717" s="45">
        <f t="array" ref="J717">INDEX('TJ List'!B:B,MATCH(I717,'TJ List'!N:N,0),0)
</f>
        <v>42531</v>
      </c>
      <c r="N717" s="147"/>
      <c r="O717" s="147"/>
      <c r="Z717" s="29"/>
    </row>
    <row r="718">
      <c r="B718" s="14"/>
      <c r="D718" s="14"/>
      <c r="G718" s="4" t="s">
        <v>3475</v>
      </c>
      <c r="H718" s="4" t="s">
        <v>466</v>
      </c>
      <c r="I718" s="4">
        <v>4300.0</v>
      </c>
      <c r="J718" t="str">
        <f t="array" ref="J718">INDEX('TJ List'!B:B,MATCH(I718,'TJ List'!N:N,0),0)
</f>
        <v>#N/A</v>
      </c>
      <c r="N718" s="147"/>
      <c r="O718" s="147"/>
      <c r="Z718" s="29"/>
    </row>
    <row r="719">
      <c r="B719" s="14"/>
      <c r="D719" s="14"/>
      <c r="G719" s="4" t="s">
        <v>3476</v>
      </c>
      <c r="H719" s="4" t="s">
        <v>466</v>
      </c>
      <c r="I719" s="4">
        <v>6329.0</v>
      </c>
      <c r="J719" t="str">
        <f t="array" ref="J719">INDEX('TJ List'!B:B,MATCH(I719,'TJ List'!N:N,0),0)
</f>
        <v>#N/A</v>
      </c>
      <c r="N719" s="147"/>
      <c r="O719" s="147"/>
      <c r="Z719" s="29"/>
    </row>
    <row r="720">
      <c r="B720" s="14"/>
      <c r="D720" s="14"/>
      <c r="G720" s="4" t="s">
        <v>465</v>
      </c>
      <c r="H720" s="4" t="s">
        <v>466</v>
      </c>
      <c r="I720" s="4">
        <v>6677.0</v>
      </c>
      <c r="J720" t="str">
        <f t="array" ref="J720">INDEX('TJ List'!B:B,MATCH(I720,'TJ List'!N:N,0),0)
</f>
        <v>#N/A</v>
      </c>
      <c r="N720" s="147"/>
      <c r="O720" s="147"/>
      <c r="Z720" s="29"/>
    </row>
    <row r="721">
      <c r="B721" s="14"/>
      <c r="D721" s="14"/>
      <c r="G721" s="4" t="s">
        <v>3477</v>
      </c>
      <c r="H721" s="4" t="s">
        <v>466</v>
      </c>
      <c r="I721" s="4">
        <v>8073.0</v>
      </c>
      <c r="J721" t="str">
        <f t="array" ref="J721">INDEX('TJ List'!B:B,MATCH(I721,'TJ List'!N:N,0),0)
</f>
        <v>#N/A</v>
      </c>
      <c r="N721" s="147"/>
      <c r="O721" s="147"/>
      <c r="Z721" s="29"/>
    </row>
    <row r="722">
      <c r="B722" s="14"/>
      <c r="D722" s="14"/>
      <c r="G722" s="4" t="s">
        <v>3478</v>
      </c>
      <c r="H722" s="4" t="s">
        <v>466</v>
      </c>
      <c r="I722" s="4">
        <v>8241.0</v>
      </c>
      <c r="J722" t="str">
        <f t="array" ref="J722">INDEX('TJ List'!B:B,MATCH(I722,'TJ List'!N:N,0),0)
</f>
        <v>#N/A</v>
      </c>
      <c r="N722" s="147"/>
      <c r="O722" s="147"/>
      <c r="Z722" s="29"/>
    </row>
    <row r="723">
      <c r="B723" s="14"/>
      <c r="D723" s="14"/>
      <c r="G723" s="4" t="s">
        <v>3479</v>
      </c>
      <c r="H723" s="4" t="s">
        <v>466</v>
      </c>
      <c r="I723" s="4">
        <v>9080.0</v>
      </c>
      <c r="J723" t="str">
        <f t="array" ref="J723">INDEX('TJ List'!B:B,MATCH(I723,'TJ List'!N:N,0),0)
</f>
        <v>#N/A</v>
      </c>
      <c r="N723" s="147"/>
      <c r="O723" s="147"/>
      <c r="Z723" s="29"/>
    </row>
    <row r="724">
      <c r="B724" s="14"/>
      <c r="D724" s="14"/>
      <c r="G724" s="4" t="s">
        <v>3480</v>
      </c>
      <c r="H724" s="4" t="s">
        <v>466</v>
      </c>
      <c r="I724" s="4">
        <v>9780.0</v>
      </c>
      <c r="J724" t="str">
        <f t="array" ref="J724">INDEX('TJ List'!B:B,MATCH(I724,'TJ List'!N:N,0),0)
</f>
        <v>#N/A</v>
      </c>
      <c r="N724" s="147"/>
      <c r="O724" s="147"/>
      <c r="Z724" s="29"/>
    </row>
    <row r="725">
      <c r="B725" s="14"/>
      <c r="D725" s="14"/>
      <c r="G725" s="4" t="s">
        <v>3481</v>
      </c>
      <c r="H725" s="4" t="s">
        <v>466</v>
      </c>
      <c r="I725" s="4">
        <v>10185.0</v>
      </c>
      <c r="J725" t="str">
        <f t="array" ref="J725">INDEX('TJ List'!B:B,MATCH(I725,'TJ List'!N:N,0),0)
</f>
        <v>#N/A</v>
      </c>
      <c r="N725" s="147"/>
      <c r="O725" s="147"/>
      <c r="Z725" s="29"/>
    </row>
    <row r="726">
      <c r="B726" s="14"/>
      <c r="D726" s="14"/>
      <c r="G726" s="4" t="s">
        <v>3482</v>
      </c>
      <c r="H726" s="4" t="s">
        <v>466</v>
      </c>
      <c r="I726" s="4">
        <v>10341.0</v>
      </c>
      <c r="J726" t="str">
        <f t="array" ref="J726">INDEX('TJ List'!B:B,MATCH(I726,'TJ List'!N:N,0),0)
</f>
        <v>#N/A</v>
      </c>
      <c r="N726" s="147"/>
      <c r="O726" s="147"/>
      <c r="Z726" s="29"/>
    </row>
    <row r="727">
      <c r="B727" s="14"/>
      <c r="D727" s="14"/>
      <c r="G727" s="4" t="s">
        <v>2071</v>
      </c>
      <c r="H727" s="4" t="s">
        <v>466</v>
      </c>
      <c r="I727" s="4">
        <v>10534.0</v>
      </c>
      <c r="J727" t="str">
        <f t="array" ref="J727">INDEX('TJ List'!B:B,MATCH(I727,'TJ List'!N:N,0),0)
</f>
        <v>#N/A</v>
      </c>
      <c r="N727" s="147"/>
      <c r="O727" s="147"/>
      <c r="Z727" s="29"/>
    </row>
    <row r="728">
      <c r="B728" s="14"/>
      <c r="D728" s="14"/>
      <c r="G728" s="4" t="s">
        <v>3483</v>
      </c>
      <c r="H728" s="4" t="s">
        <v>466</v>
      </c>
      <c r="I728" s="4">
        <v>10603.0</v>
      </c>
      <c r="J728" t="str">
        <f t="array" ref="J728">INDEX('TJ List'!B:B,MATCH(I728,'TJ List'!N:N,0),0)
</f>
        <v>#N/A</v>
      </c>
      <c r="N728" s="147"/>
      <c r="O728" s="147"/>
      <c r="Z728" s="29"/>
    </row>
    <row r="729">
      <c r="B729" s="14"/>
      <c r="D729" s="14"/>
      <c r="G729" s="4" t="s">
        <v>3484</v>
      </c>
      <c r="H729" s="4" t="s">
        <v>466</v>
      </c>
      <c r="I729" s="4">
        <v>11384.0</v>
      </c>
      <c r="J729" t="str">
        <f t="array" ref="J729">INDEX('TJ List'!B:B,MATCH(I729,'TJ List'!N:N,0),0)
</f>
        <v>#N/A</v>
      </c>
      <c r="N729" s="147"/>
      <c r="O729" s="147"/>
      <c r="Z729" s="29"/>
    </row>
    <row r="730">
      <c r="B730" s="14"/>
      <c r="D730" s="14"/>
      <c r="G730" s="4" t="s">
        <v>3485</v>
      </c>
      <c r="H730" s="4" t="s">
        <v>466</v>
      </c>
      <c r="I730" s="4">
        <v>11423.0</v>
      </c>
      <c r="J730" t="str">
        <f t="array" ref="J730">INDEX('TJ List'!B:B,MATCH(I730,'TJ List'!N:N,0),0)
</f>
        <v>#N/A</v>
      </c>
      <c r="N730" s="147"/>
      <c r="O730" s="147"/>
      <c r="Z730" s="29"/>
    </row>
    <row r="731">
      <c r="B731" s="14"/>
      <c r="D731" s="14"/>
      <c r="G731" s="4" t="s">
        <v>3486</v>
      </c>
      <c r="H731" s="4" t="s">
        <v>466</v>
      </c>
      <c r="I731" s="4">
        <v>13418.0</v>
      </c>
      <c r="J731" t="str">
        <f t="array" ref="J731">INDEX('TJ List'!B:B,MATCH(I731,'TJ List'!N:N,0),0)
</f>
        <v>#N/A</v>
      </c>
      <c r="N731" s="147"/>
      <c r="O731" s="147"/>
      <c r="Z731" s="29"/>
    </row>
    <row r="732">
      <c r="B732" s="14"/>
      <c r="D732" s="14"/>
      <c r="G732" s="4" t="s">
        <v>3487</v>
      </c>
      <c r="H732" s="4" t="s">
        <v>466</v>
      </c>
      <c r="I732" s="4">
        <v>15126.0</v>
      </c>
      <c r="J732" t="str">
        <f t="array" ref="J732">INDEX('TJ List'!B:B,MATCH(I732,'TJ List'!N:N,0),0)
</f>
        <v>#N/A</v>
      </c>
      <c r="N732" s="147"/>
      <c r="O732" s="147"/>
      <c r="Z732" s="29"/>
    </row>
    <row r="733">
      <c r="B733" s="14"/>
      <c r="D733" s="14"/>
      <c r="G733" s="4" t="s">
        <v>3488</v>
      </c>
      <c r="H733" s="4" t="s">
        <v>466</v>
      </c>
      <c r="I733" s="4">
        <v>16137.0</v>
      </c>
      <c r="J733" t="str">
        <f t="array" ref="J733">INDEX('TJ List'!B:B,MATCH(I733,'TJ List'!N:N,0),0)
</f>
        <v>#N/A</v>
      </c>
      <c r="N733" s="147"/>
      <c r="O733" s="147"/>
      <c r="Z733" s="29"/>
    </row>
    <row r="734">
      <c r="B734" s="14"/>
      <c r="D734" s="14"/>
      <c r="G734" s="4" t="s">
        <v>3489</v>
      </c>
      <c r="H734" s="4" t="s">
        <v>466</v>
      </c>
      <c r="I734" s="4">
        <v>18311.0</v>
      </c>
      <c r="J734" t="str">
        <f t="array" ref="J734">INDEX('TJ List'!B:B,MATCH(I734,'TJ List'!N:N,0),0)
</f>
        <v>#N/A</v>
      </c>
      <c r="N734" s="147"/>
      <c r="O734" s="147"/>
      <c r="Z734" s="29"/>
    </row>
    <row r="735">
      <c r="B735" s="14"/>
      <c r="D735" s="14"/>
      <c r="G735" s="4" t="s">
        <v>2219</v>
      </c>
      <c r="H735" s="4" t="s">
        <v>857</v>
      </c>
      <c r="I735" s="4">
        <v>9073.0</v>
      </c>
      <c r="J735" s="45">
        <f t="array" ref="J735">INDEX('TJ List'!B:B,MATCH(I735,'TJ List'!N:N,0),0)
</f>
        <v>38718</v>
      </c>
      <c r="N735" s="147"/>
      <c r="O735" s="147"/>
      <c r="Z735" s="29"/>
    </row>
    <row r="736">
      <c r="B736" s="14"/>
      <c r="D736" s="14"/>
      <c r="G736" s="4" t="s">
        <v>1015</v>
      </c>
      <c r="H736" s="4" t="s">
        <v>857</v>
      </c>
      <c r="I736" s="4">
        <v>11580.0</v>
      </c>
      <c r="J736" s="45">
        <f t="array" ref="J736">INDEX('TJ List'!B:B,MATCH(I736,'TJ List'!N:N,0),0)
</f>
        <v>40722</v>
      </c>
      <c r="N736" s="147"/>
      <c r="O736" s="147"/>
      <c r="Z736" s="29"/>
    </row>
    <row r="737">
      <c r="B737" s="14"/>
      <c r="D737" s="14"/>
      <c r="G737" s="4" t="s">
        <v>1331</v>
      </c>
      <c r="H737" s="4" t="s">
        <v>857</v>
      </c>
      <c r="I737" s="4">
        <v>13685.0</v>
      </c>
      <c r="J737" s="45">
        <f t="array" ref="J737">INDEX('TJ List'!B:B,MATCH(I737,'TJ List'!N:N,0),0)
</f>
        <v>41386</v>
      </c>
      <c r="N737" s="147"/>
      <c r="O737" s="147"/>
      <c r="Z737" s="29"/>
    </row>
    <row r="738">
      <c r="B738" s="14"/>
      <c r="D738" s="14"/>
      <c r="G738" s="4" t="s">
        <v>604</v>
      </c>
      <c r="H738" s="4" t="s">
        <v>857</v>
      </c>
      <c r="I738" s="4">
        <v>1994.0</v>
      </c>
      <c r="J738" s="45">
        <f t="array" ref="J738">INDEX('TJ List'!B:B,MATCH(I738,'TJ List'!N:N,0),0)
</f>
        <v>41758</v>
      </c>
      <c r="N738" s="147"/>
      <c r="O738" s="147"/>
      <c r="Z738" s="29"/>
    </row>
    <row r="739">
      <c r="B739" s="14"/>
      <c r="D739" s="14"/>
      <c r="G739" s="4" t="s">
        <v>324</v>
      </c>
      <c r="H739" s="4" t="s">
        <v>857</v>
      </c>
      <c r="I739" s="4">
        <v>12093.0</v>
      </c>
      <c r="J739" s="45">
        <f t="array" ref="J739">INDEX('TJ List'!B:B,MATCH(I739,'TJ List'!N:N,0),0)
</f>
        <v>42486</v>
      </c>
      <c r="N739" s="147"/>
      <c r="O739" s="147"/>
      <c r="Z739" s="29"/>
    </row>
    <row r="740">
      <c r="B740" s="14"/>
      <c r="D740" s="14"/>
      <c r="G740" s="4" t="s">
        <v>181</v>
      </c>
      <c r="H740" s="4" t="s">
        <v>857</v>
      </c>
      <c r="I740" s="4">
        <v>9132.0</v>
      </c>
      <c r="J740" s="45">
        <f t="array" ref="J740">INDEX('TJ List'!B:B,MATCH(I740,'TJ List'!N:N,0),0)
</f>
        <v>42601</v>
      </c>
      <c r="N740" s="147"/>
      <c r="O740" s="147"/>
      <c r="Z740" s="29"/>
    </row>
    <row r="741">
      <c r="B741" s="14"/>
      <c r="D741" s="14"/>
      <c r="G741" s="4" t="s">
        <v>3490</v>
      </c>
      <c r="H741" s="4" t="s">
        <v>857</v>
      </c>
      <c r="I741" s="4">
        <v>404.0</v>
      </c>
      <c r="J741" t="str">
        <f t="array" ref="J741">INDEX('TJ List'!B:B,MATCH(I741,'TJ List'!N:N,0),0)
</f>
        <v>#N/A</v>
      </c>
      <c r="N741" s="147"/>
      <c r="O741" s="147"/>
      <c r="Z741" s="29"/>
    </row>
    <row r="742">
      <c r="B742" s="14"/>
      <c r="D742" s="14"/>
      <c r="G742" s="4" t="s">
        <v>3491</v>
      </c>
      <c r="H742" s="4" t="s">
        <v>857</v>
      </c>
      <c r="I742" s="4">
        <v>5372.0</v>
      </c>
      <c r="J742" t="str">
        <f t="array" ref="J742">INDEX('TJ List'!B:B,MATCH(I742,'TJ List'!N:N,0),0)
</f>
        <v>#N/A</v>
      </c>
      <c r="N742" s="147"/>
      <c r="O742" s="147"/>
      <c r="Z742" s="29"/>
    </row>
    <row r="743">
      <c r="B743" s="14"/>
      <c r="D743" s="14"/>
      <c r="G743" s="4" t="s">
        <v>3492</v>
      </c>
      <c r="H743" s="4" t="s">
        <v>857</v>
      </c>
      <c r="I743" s="4">
        <v>6216.0</v>
      </c>
      <c r="J743" t="str">
        <f t="array" ref="J743">INDEX('TJ List'!B:B,MATCH(I743,'TJ List'!N:N,0),0)
</f>
        <v>#N/A</v>
      </c>
      <c r="N743" s="147"/>
      <c r="O743" s="147"/>
      <c r="Z743" s="29"/>
    </row>
    <row r="744">
      <c r="B744" s="14"/>
      <c r="D744" s="14"/>
      <c r="G744" s="4" t="s">
        <v>3493</v>
      </c>
      <c r="H744" s="4" t="s">
        <v>857</v>
      </c>
      <c r="I744" s="4">
        <v>7466.0</v>
      </c>
      <c r="J744" t="str">
        <f t="array" ref="J744">INDEX('TJ List'!B:B,MATCH(I744,'TJ List'!N:N,0),0)
</f>
        <v>#N/A</v>
      </c>
      <c r="N744" s="147"/>
      <c r="O744" s="147"/>
      <c r="Z744" s="29"/>
    </row>
    <row r="745">
      <c r="B745" s="14"/>
      <c r="D745" s="14"/>
      <c r="G745" s="4" t="s">
        <v>3494</v>
      </c>
      <c r="H745" s="4" t="s">
        <v>857</v>
      </c>
      <c r="I745" s="4">
        <v>7803.0</v>
      </c>
      <c r="J745" t="str">
        <f t="array" ref="J745">INDEX('TJ List'!B:B,MATCH(I745,'TJ List'!N:N,0),0)
</f>
        <v>#N/A</v>
      </c>
      <c r="N745" s="147"/>
      <c r="O745" s="147"/>
      <c r="Z745" s="29"/>
    </row>
    <row r="746">
      <c r="B746" s="14"/>
      <c r="D746" s="14"/>
      <c r="G746" s="4" t="s">
        <v>3495</v>
      </c>
      <c r="H746" s="4" t="s">
        <v>857</v>
      </c>
      <c r="I746" s="4">
        <v>10855.0</v>
      </c>
      <c r="J746" t="str">
        <f t="array" ref="J746">INDEX('TJ List'!B:B,MATCH(I746,'TJ List'!N:N,0),0)
</f>
        <v>#N/A</v>
      </c>
      <c r="N746" s="147"/>
      <c r="O746" s="147"/>
      <c r="Z746" s="29"/>
    </row>
    <row r="747">
      <c r="B747" s="14"/>
      <c r="D747" s="14"/>
      <c r="G747" s="4" t="s">
        <v>3496</v>
      </c>
      <c r="H747" s="4" t="s">
        <v>857</v>
      </c>
      <c r="I747" s="4">
        <v>11440.0</v>
      </c>
      <c r="J747" t="str">
        <f t="array" ref="J747">INDEX('TJ List'!B:B,MATCH(I747,'TJ List'!N:N,0),0)
</f>
        <v>#N/A</v>
      </c>
      <c r="N747" s="147"/>
      <c r="O747" s="147"/>
      <c r="Z747" s="29"/>
    </row>
    <row r="748">
      <c r="B748" s="14"/>
      <c r="D748" s="14"/>
      <c r="G748" s="4" t="s">
        <v>3497</v>
      </c>
      <c r="H748" s="4" t="s">
        <v>857</v>
      </c>
      <c r="I748" s="4">
        <v>11479.0</v>
      </c>
      <c r="J748" t="str">
        <f t="array" ref="J748">INDEX('TJ List'!B:B,MATCH(I748,'TJ List'!N:N,0),0)
</f>
        <v>#N/A</v>
      </c>
      <c r="N748" s="147"/>
      <c r="O748" s="147"/>
      <c r="Z748" s="29"/>
    </row>
    <row r="749">
      <c r="B749" s="14"/>
      <c r="D749" s="14"/>
      <c r="G749" s="4" t="s">
        <v>3498</v>
      </c>
      <c r="H749" s="4" t="s">
        <v>857</v>
      </c>
      <c r="I749" s="4">
        <v>13323.0</v>
      </c>
      <c r="J749" t="str">
        <f t="array" ref="J749">INDEX('TJ List'!B:B,MATCH(I749,'TJ List'!N:N,0),0)
</f>
        <v>#N/A</v>
      </c>
      <c r="N749" s="147"/>
      <c r="O749" s="147"/>
      <c r="Z749" s="29"/>
    </row>
    <row r="750">
      <c r="B750" s="14"/>
      <c r="D750" s="14"/>
      <c r="G750" s="4" t="s">
        <v>3499</v>
      </c>
      <c r="H750" s="4" t="s">
        <v>857</v>
      </c>
      <c r="I750" s="4">
        <v>13345.0</v>
      </c>
      <c r="J750" t="str">
        <f t="array" ref="J750">INDEX('TJ List'!B:B,MATCH(I750,'TJ List'!N:N,0),0)
</f>
        <v>#N/A</v>
      </c>
      <c r="N750" s="147"/>
      <c r="O750" s="147"/>
      <c r="Z750" s="29"/>
    </row>
    <row r="751">
      <c r="B751" s="14"/>
      <c r="D751" s="14"/>
      <c r="G751" s="4" t="s">
        <v>3500</v>
      </c>
      <c r="H751" s="4" t="s">
        <v>857</v>
      </c>
      <c r="I751" s="4">
        <v>14741.0</v>
      </c>
      <c r="J751" t="str">
        <f t="array" ref="J751">INDEX('TJ List'!B:B,MATCH(I751,'TJ List'!N:N,0),0)
</f>
        <v>#N/A</v>
      </c>
      <c r="N751" s="147"/>
      <c r="O751" s="147"/>
      <c r="Z751" s="29"/>
    </row>
    <row r="752">
      <c r="B752" s="14"/>
      <c r="D752" s="14"/>
      <c r="G752" s="4" t="s">
        <v>3501</v>
      </c>
      <c r="H752" s="4" t="s">
        <v>857</v>
      </c>
      <c r="I752" s="4">
        <v>15100.0</v>
      </c>
      <c r="J752" t="str">
        <f t="array" ref="J752">INDEX('TJ List'!B:B,MATCH(I752,'TJ List'!N:N,0),0)
</f>
        <v>#N/A</v>
      </c>
      <c r="N752" s="147"/>
      <c r="O752" s="147"/>
      <c r="Z752" s="29"/>
    </row>
    <row r="753">
      <c r="B753" s="14"/>
      <c r="D753" s="14"/>
      <c r="G753" s="4" t="s">
        <v>2154</v>
      </c>
      <c r="H753" s="4" t="s">
        <v>857</v>
      </c>
      <c r="I753" s="4">
        <v>15552.0</v>
      </c>
      <c r="J753" t="str">
        <f t="array" ref="J753">INDEX('TJ List'!B:B,MATCH(I753,'TJ List'!N:N,0),0)
</f>
        <v>#N/A</v>
      </c>
      <c r="N753" s="147"/>
      <c r="O753" s="147"/>
      <c r="Z753" s="29"/>
    </row>
    <row r="754">
      <c r="B754" s="14"/>
      <c r="D754" s="14"/>
      <c r="G754" s="4" t="s">
        <v>137</v>
      </c>
      <c r="H754" s="4" t="s">
        <v>857</v>
      </c>
      <c r="I754" s="4">
        <v>15764.0</v>
      </c>
      <c r="J754" t="str">
        <f t="array" ref="J754">INDEX('TJ List'!B:B,MATCH(I754,'TJ List'!N:N,0),0)
</f>
        <v>#N/A</v>
      </c>
      <c r="N754" s="147"/>
      <c r="O754" s="147"/>
      <c r="Z754" s="29"/>
    </row>
    <row r="755">
      <c r="B755" s="14"/>
      <c r="D755" s="14"/>
      <c r="G755" s="4" t="s">
        <v>3502</v>
      </c>
      <c r="H755" s="4" t="s">
        <v>857</v>
      </c>
      <c r="I755" s="4">
        <v>15890.0</v>
      </c>
      <c r="J755" t="str">
        <f t="array" ref="J755">INDEX('TJ List'!B:B,MATCH(I755,'TJ List'!N:N,0),0)
</f>
        <v>#N/A</v>
      </c>
      <c r="N755" s="147"/>
      <c r="O755" s="147"/>
      <c r="Z755" s="29"/>
    </row>
    <row r="756">
      <c r="B756" s="14"/>
      <c r="D756" s="14"/>
      <c r="G756" s="4" t="s">
        <v>3503</v>
      </c>
      <c r="H756" s="4" t="s">
        <v>857</v>
      </c>
      <c r="I756" s="4">
        <v>16588.0</v>
      </c>
      <c r="J756" t="str">
        <f t="array" ref="J756">INDEX('TJ List'!B:B,MATCH(I756,'TJ List'!N:N,0),0)
</f>
        <v>#N/A</v>
      </c>
      <c r="N756" s="147"/>
      <c r="O756" s="147"/>
      <c r="Z756" s="29"/>
    </row>
    <row r="757">
      <c r="B757" s="14"/>
      <c r="D757" s="14"/>
      <c r="G757" s="4"/>
      <c r="H757" s="4"/>
      <c r="I757" s="4"/>
      <c r="N757" s="147"/>
      <c r="O757" s="147"/>
      <c r="Z757" s="29"/>
    </row>
    <row r="758">
      <c r="B758" s="14"/>
      <c r="D758" s="14"/>
      <c r="G758" s="4"/>
      <c r="H758" s="4"/>
      <c r="I758" s="4"/>
      <c r="N758" s="147"/>
      <c r="O758" s="147"/>
      <c r="Z758" s="29"/>
    </row>
    <row r="759">
      <c r="B759" s="14"/>
      <c r="D759" s="14"/>
      <c r="G759" s="4"/>
      <c r="H759" s="4"/>
      <c r="I759" s="4"/>
      <c r="N759" s="147"/>
      <c r="O759" s="147"/>
      <c r="Z759" s="29"/>
    </row>
    <row r="760">
      <c r="B760" s="14"/>
      <c r="D760" s="14"/>
      <c r="N760" s="147"/>
      <c r="O760" s="147"/>
      <c r="Z760" s="29"/>
    </row>
    <row r="761">
      <c r="B761" s="14"/>
      <c r="D761" s="14"/>
      <c r="N761" s="147"/>
      <c r="O761" s="147"/>
      <c r="Z761" s="29"/>
    </row>
    <row r="762">
      <c r="B762" s="14"/>
      <c r="D762" s="14"/>
      <c r="N762" s="147"/>
      <c r="O762" s="147"/>
      <c r="Z762" s="29"/>
    </row>
    <row r="763">
      <c r="B763" s="14"/>
      <c r="D763" s="14"/>
      <c r="N763" s="147"/>
      <c r="O763" s="147"/>
      <c r="Z763" s="29"/>
    </row>
    <row r="764">
      <c r="B764" s="14"/>
      <c r="D764" s="14"/>
      <c r="N764" s="147"/>
      <c r="O764" s="147"/>
      <c r="Z764" s="29"/>
    </row>
    <row r="765">
      <c r="B765" s="14"/>
      <c r="D765" s="14"/>
      <c r="N765" s="147"/>
      <c r="O765" s="147"/>
      <c r="Z765" s="29"/>
    </row>
    <row r="766">
      <c r="B766" s="14"/>
      <c r="D766" s="14"/>
      <c r="N766" s="147"/>
      <c r="O766" s="147"/>
      <c r="Z766" s="29"/>
    </row>
    <row r="767">
      <c r="B767" s="14"/>
      <c r="D767" s="14"/>
      <c r="N767" s="147"/>
      <c r="O767" s="147"/>
      <c r="Z767" s="29"/>
    </row>
    <row r="768">
      <c r="B768" s="14"/>
      <c r="D768" s="14"/>
      <c r="N768" s="147"/>
      <c r="O768" s="147"/>
      <c r="Z768" s="29"/>
    </row>
    <row r="769">
      <c r="B769" s="14"/>
      <c r="D769" s="14"/>
      <c r="N769" s="147"/>
      <c r="O769" s="147"/>
      <c r="Z769" s="29"/>
    </row>
    <row r="770">
      <c r="B770" s="14"/>
      <c r="D770" s="14"/>
      <c r="N770" s="147"/>
      <c r="O770" s="147"/>
      <c r="Z770" s="29"/>
    </row>
    <row r="771">
      <c r="B771" s="14"/>
      <c r="D771" s="14"/>
      <c r="N771" s="147"/>
      <c r="O771" s="147"/>
      <c r="Z771" s="29"/>
    </row>
    <row r="772">
      <c r="B772" s="14"/>
      <c r="D772" s="14"/>
      <c r="N772" s="147"/>
      <c r="O772" s="147"/>
      <c r="Z772" s="29"/>
    </row>
    <row r="773">
      <c r="B773" s="14"/>
      <c r="D773" s="14"/>
      <c r="N773" s="147"/>
      <c r="O773" s="147"/>
      <c r="Z773" s="29"/>
    </row>
    <row r="774">
      <c r="B774" s="14"/>
      <c r="D774" s="14"/>
      <c r="N774" s="147"/>
      <c r="O774" s="147"/>
      <c r="Z774" s="29"/>
    </row>
    <row r="775">
      <c r="B775" s="14"/>
      <c r="D775" s="14"/>
      <c r="N775" s="147"/>
      <c r="O775" s="147"/>
      <c r="Z775" s="29"/>
    </row>
    <row r="776">
      <c r="B776" s="14"/>
      <c r="D776" s="14"/>
      <c r="N776" s="147"/>
      <c r="O776" s="147"/>
      <c r="Z776" s="29"/>
    </row>
    <row r="777">
      <c r="B777" s="14"/>
      <c r="D777" s="14"/>
      <c r="N777" s="147"/>
      <c r="O777" s="147"/>
      <c r="Z777" s="29"/>
    </row>
    <row r="778">
      <c r="B778" s="14"/>
      <c r="D778" s="14"/>
      <c r="N778" s="147"/>
      <c r="O778" s="147"/>
      <c r="Z778" s="29"/>
    </row>
    <row r="779">
      <c r="B779" s="14"/>
      <c r="D779" s="14"/>
      <c r="N779" s="147"/>
      <c r="O779" s="147"/>
      <c r="Z779" s="29"/>
    </row>
    <row r="780">
      <c r="B780" s="14"/>
      <c r="D780" s="14"/>
      <c r="N780" s="147"/>
      <c r="O780" s="147"/>
      <c r="Z780" s="29"/>
    </row>
    <row r="781">
      <c r="B781" s="14"/>
      <c r="D781" s="14"/>
      <c r="N781" s="147"/>
      <c r="O781" s="147"/>
      <c r="Z781" s="29"/>
    </row>
    <row r="782">
      <c r="B782" s="14"/>
      <c r="D782" s="14"/>
      <c r="N782" s="147"/>
      <c r="O782" s="147"/>
      <c r="Z782" s="29"/>
    </row>
    <row r="783">
      <c r="B783" s="14"/>
      <c r="D783" s="14"/>
      <c r="N783" s="147"/>
      <c r="O783" s="147"/>
      <c r="Z783" s="29"/>
    </row>
    <row r="784">
      <c r="B784" s="14"/>
      <c r="D784" s="14"/>
      <c r="N784" s="147"/>
      <c r="O784" s="147"/>
      <c r="Z784" s="29"/>
    </row>
    <row r="785">
      <c r="B785" s="14"/>
      <c r="D785" s="14"/>
      <c r="N785" s="147"/>
      <c r="O785" s="147"/>
      <c r="Z785" s="29"/>
    </row>
    <row r="786">
      <c r="B786" s="14"/>
      <c r="D786" s="14"/>
      <c r="N786" s="147"/>
      <c r="O786" s="147"/>
      <c r="Z786" s="29"/>
    </row>
    <row r="787">
      <c r="B787" s="14"/>
      <c r="D787" s="14"/>
      <c r="N787" s="147"/>
      <c r="O787" s="147"/>
      <c r="Z787" s="29"/>
    </row>
    <row r="788">
      <c r="B788" s="14"/>
      <c r="D788" s="14"/>
      <c r="N788" s="147"/>
      <c r="O788" s="147"/>
      <c r="Z788" s="29"/>
    </row>
    <row r="789">
      <c r="B789" s="14"/>
      <c r="D789" s="14"/>
      <c r="N789" s="147"/>
      <c r="O789" s="147"/>
      <c r="Z789" s="29"/>
    </row>
    <row r="790">
      <c r="B790" s="14"/>
      <c r="D790" s="14"/>
      <c r="N790" s="147"/>
      <c r="O790" s="147"/>
      <c r="Z790" s="29"/>
    </row>
    <row r="791">
      <c r="B791" s="14"/>
      <c r="D791" s="14"/>
      <c r="N791" s="147"/>
      <c r="O791" s="147"/>
      <c r="Z791" s="29"/>
    </row>
    <row r="792">
      <c r="B792" s="14"/>
      <c r="D792" s="14"/>
      <c r="N792" s="147"/>
      <c r="O792" s="147"/>
      <c r="Z792" s="29"/>
    </row>
    <row r="793">
      <c r="B793" s="14"/>
      <c r="D793" s="14"/>
      <c r="N793" s="147"/>
      <c r="O793" s="147"/>
      <c r="Z793" s="29"/>
    </row>
    <row r="794">
      <c r="B794" s="14"/>
      <c r="D794" s="14"/>
      <c r="N794" s="147"/>
      <c r="O794" s="147"/>
      <c r="Z794" s="29"/>
    </row>
    <row r="795">
      <c r="B795" s="14"/>
      <c r="D795" s="14"/>
      <c r="N795" s="147"/>
      <c r="O795" s="147"/>
      <c r="Z795" s="29"/>
    </row>
    <row r="796">
      <c r="B796" s="14"/>
      <c r="D796" s="14"/>
      <c r="N796" s="147"/>
      <c r="O796" s="147"/>
      <c r="Z796" s="29"/>
    </row>
    <row r="797">
      <c r="B797" s="14"/>
      <c r="D797" s="14"/>
      <c r="N797" s="147"/>
      <c r="O797" s="147"/>
      <c r="Z797" s="29"/>
    </row>
    <row r="798">
      <c r="B798" s="14"/>
      <c r="D798" s="14"/>
      <c r="N798" s="147"/>
      <c r="O798" s="147"/>
      <c r="Z798" s="29"/>
    </row>
    <row r="799">
      <c r="B799" s="14"/>
      <c r="D799" s="14"/>
      <c r="N799" s="147"/>
      <c r="O799" s="147"/>
      <c r="Z799" s="29"/>
    </row>
    <row r="800">
      <c r="B800" s="14"/>
      <c r="D800" s="14"/>
      <c r="N800" s="147"/>
      <c r="O800" s="147"/>
      <c r="Z800" s="29"/>
    </row>
    <row r="801">
      <c r="B801" s="14"/>
      <c r="D801" s="14"/>
      <c r="N801" s="147"/>
      <c r="O801" s="147"/>
      <c r="Z801" s="29"/>
    </row>
    <row r="802">
      <c r="B802" s="14"/>
      <c r="D802" s="14"/>
      <c r="N802" s="147"/>
      <c r="O802" s="147"/>
      <c r="Z802" s="29"/>
    </row>
    <row r="803">
      <c r="B803" s="14"/>
      <c r="D803" s="14"/>
      <c r="N803" s="147"/>
      <c r="O803" s="147"/>
      <c r="Z803" s="29"/>
    </row>
    <row r="804">
      <c r="B804" s="14"/>
      <c r="D804" s="14"/>
      <c r="N804" s="147"/>
      <c r="O804" s="147"/>
      <c r="Z804" s="29"/>
    </row>
    <row r="805">
      <c r="B805" s="14"/>
      <c r="D805" s="14"/>
      <c r="N805" s="147"/>
      <c r="O805" s="147"/>
      <c r="Z805" s="29"/>
    </row>
    <row r="806">
      <c r="B806" s="14"/>
      <c r="D806" s="14"/>
      <c r="N806" s="147"/>
      <c r="O806" s="147"/>
      <c r="Z806" s="29"/>
    </row>
    <row r="807">
      <c r="B807" s="14"/>
      <c r="D807" s="14"/>
      <c r="N807" s="147"/>
      <c r="O807" s="147"/>
      <c r="Z807" s="29"/>
    </row>
    <row r="808">
      <c r="B808" s="14"/>
      <c r="D808" s="14"/>
      <c r="N808" s="147"/>
      <c r="O808" s="147"/>
      <c r="Z808" s="29"/>
    </row>
    <row r="809">
      <c r="B809" s="14"/>
      <c r="D809" s="14"/>
      <c r="N809" s="147"/>
      <c r="O809" s="147"/>
      <c r="Z809" s="29"/>
    </row>
    <row r="810">
      <c r="B810" s="14"/>
      <c r="D810" s="14"/>
      <c r="N810" s="147"/>
      <c r="O810" s="147"/>
      <c r="Z810" s="29"/>
    </row>
    <row r="811">
      <c r="B811" s="14"/>
      <c r="D811" s="14"/>
      <c r="N811" s="147"/>
      <c r="O811" s="147"/>
      <c r="Z811" s="29"/>
    </row>
    <row r="812">
      <c r="B812" s="14"/>
      <c r="D812" s="14"/>
      <c r="N812" s="147"/>
      <c r="O812" s="147"/>
      <c r="Z812" s="29"/>
    </row>
    <row r="813">
      <c r="B813" s="14"/>
      <c r="D813" s="14"/>
      <c r="N813" s="147"/>
      <c r="O813" s="147"/>
      <c r="Z813" s="29"/>
    </row>
    <row r="814">
      <c r="B814" s="14"/>
      <c r="D814" s="14"/>
      <c r="N814" s="147"/>
      <c r="O814" s="147"/>
      <c r="Z814" s="29"/>
    </row>
    <row r="815">
      <c r="B815" s="14"/>
      <c r="D815" s="14"/>
      <c r="N815" s="147"/>
      <c r="O815" s="147"/>
      <c r="Z815" s="29"/>
    </row>
    <row r="816">
      <c r="B816" s="14"/>
      <c r="D816" s="14"/>
      <c r="N816" s="147"/>
      <c r="O816" s="147"/>
      <c r="Z816" s="29"/>
    </row>
    <row r="817">
      <c r="B817" s="14"/>
      <c r="D817" s="14"/>
      <c r="N817" s="147"/>
      <c r="O817" s="147"/>
      <c r="Z817" s="29"/>
    </row>
    <row r="818">
      <c r="B818" s="14"/>
      <c r="D818" s="14"/>
      <c r="N818" s="147"/>
      <c r="O818" s="147"/>
      <c r="Z818" s="29"/>
    </row>
    <row r="819">
      <c r="B819" s="14"/>
      <c r="D819" s="14"/>
      <c r="N819" s="147"/>
      <c r="O819" s="147"/>
      <c r="Z819" s="29"/>
    </row>
    <row r="820">
      <c r="B820" s="14"/>
      <c r="D820" s="14"/>
      <c r="N820" s="147"/>
      <c r="O820" s="147"/>
      <c r="Z820" s="29"/>
    </row>
    <row r="821">
      <c r="B821" s="14"/>
      <c r="D821" s="14"/>
      <c r="N821" s="147"/>
      <c r="O821" s="147"/>
      <c r="Z821" s="29"/>
    </row>
    <row r="822">
      <c r="B822" s="14"/>
      <c r="D822" s="14"/>
      <c r="N822" s="147"/>
      <c r="O822" s="147"/>
      <c r="Z822" s="29"/>
    </row>
    <row r="823">
      <c r="B823" s="14"/>
      <c r="D823" s="14"/>
      <c r="N823" s="147"/>
      <c r="O823" s="147"/>
      <c r="Z823" s="29"/>
    </row>
    <row r="824">
      <c r="B824" s="14"/>
      <c r="D824" s="14"/>
      <c r="N824" s="147"/>
      <c r="O824" s="147"/>
      <c r="Z824" s="29"/>
    </row>
    <row r="825">
      <c r="B825" s="14"/>
      <c r="D825" s="14"/>
      <c r="N825" s="147"/>
      <c r="O825" s="147"/>
      <c r="Z825" s="29"/>
    </row>
    <row r="826">
      <c r="B826" s="14"/>
      <c r="D826" s="14"/>
      <c r="N826" s="147"/>
      <c r="O826" s="147"/>
      <c r="Z826" s="29"/>
    </row>
    <row r="827">
      <c r="B827" s="14"/>
      <c r="D827" s="14"/>
      <c r="N827" s="147"/>
      <c r="O827" s="147"/>
      <c r="Z827" s="29"/>
    </row>
    <row r="828">
      <c r="B828" s="14"/>
      <c r="D828" s="14"/>
      <c r="N828" s="147"/>
      <c r="O828" s="147"/>
      <c r="Z828" s="29"/>
    </row>
    <row r="829">
      <c r="B829" s="14"/>
      <c r="D829" s="14"/>
      <c r="N829" s="147"/>
      <c r="O829" s="147"/>
      <c r="Z829" s="29"/>
    </row>
    <row r="830">
      <c r="B830" s="14"/>
      <c r="D830" s="14"/>
      <c r="N830" s="147"/>
      <c r="O830" s="147"/>
      <c r="Z830" s="29"/>
    </row>
    <row r="831">
      <c r="B831" s="14"/>
      <c r="D831" s="14"/>
      <c r="N831" s="147"/>
      <c r="O831" s="147"/>
      <c r="Z831" s="29"/>
    </row>
    <row r="832">
      <c r="B832" s="14"/>
      <c r="D832" s="14"/>
      <c r="N832" s="147"/>
      <c r="O832" s="147"/>
      <c r="Z832" s="29"/>
    </row>
    <row r="833">
      <c r="B833" s="14"/>
      <c r="D833" s="14"/>
      <c r="N833" s="147"/>
      <c r="O833" s="147"/>
      <c r="Z833" s="29"/>
    </row>
    <row r="834">
      <c r="B834" s="14"/>
      <c r="D834" s="14"/>
      <c r="N834" s="147"/>
      <c r="O834" s="147"/>
      <c r="Z834" s="29"/>
    </row>
    <row r="835">
      <c r="B835" s="14"/>
      <c r="D835" s="14"/>
      <c r="N835" s="147"/>
      <c r="O835" s="147"/>
      <c r="Z835" s="29"/>
    </row>
    <row r="836">
      <c r="B836" s="14"/>
      <c r="D836" s="14"/>
      <c r="N836" s="147"/>
      <c r="O836" s="147"/>
      <c r="Z836" s="29"/>
    </row>
    <row r="837">
      <c r="B837" s="14"/>
      <c r="D837" s="14"/>
      <c r="N837" s="147"/>
      <c r="O837" s="147"/>
      <c r="Z837" s="29"/>
    </row>
    <row r="838">
      <c r="B838" s="14"/>
      <c r="D838" s="14"/>
      <c r="N838" s="147"/>
      <c r="O838" s="147"/>
      <c r="Z838" s="29"/>
    </row>
    <row r="839">
      <c r="B839" s="14"/>
      <c r="D839" s="14"/>
      <c r="N839" s="147"/>
      <c r="O839" s="147"/>
      <c r="Z839" s="29"/>
    </row>
    <row r="840">
      <c r="B840" s="14"/>
      <c r="D840" s="14"/>
      <c r="N840" s="147"/>
      <c r="O840" s="147"/>
      <c r="Z840" s="29"/>
    </row>
    <row r="841">
      <c r="B841" s="14"/>
      <c r="D841" s="14"/>
      <c r="N841" s="147"/>
      <c r="O841" s="147"/>
      <c r="Z841" s="29"/>
    </row>
    <row r="842">
      <c r="B842" s="14"/>
      <c r="D842" s="14"/>
      <c r="N842" s="147"/>
      <c r="O842" s="147"/>
      <c r="Z842" s="29"/>
    </row>
    <row r="843">
      <c r="B843" s="14"/>
      <c r="D843" s="14"/>
      <c r="N843" s="147"/>
      <c r="O843" s="147"/>
      <c r="Z843" s="29"/>
    </row>
    <row r="844">
      <c r="B844" s="14"/>
      <c r="D844" s="14"/>
      <c r="N844" s="147"/>
      <c r="O844" s="147"/>
      <c r="Z844" s="29"/>
    </row>
    <row r="845">
      <c r="B845" s="14"/>
      <c r="D845" s="14"/>
      <c r="N845" s="147"/>
      <c r="O845" s="147"/>
      <c r="Z845" s="29"/>
    </row>
    <row r="846">
      <c r="B846" s="14"/>
      <c r="D846" s="14"/>
      <c r="N846" s="147"/>
      <c r="O846" s="147"/>
      <c r="Z846" s="29"/>
    </row>
    <row r="847">
      <c r="B847" s="14"/>
      <c r="D847" s="14"/>
      <c r="N847" s="147"/>
      <c r="O847" s="147"/>
      <c r="Z847" s="29"/>
    </row>
    <row r="848">
      <c r="B848" s="14"/>
      <c r="D848" s="14"/>
      <c r="N848" s="147"/>
      <c r="O848" s="147"/>
      <c r="Z848" s="29"/>
    </row>
    <row r="849">
      <c r="B849" s="14"/>
      <c r="D849" s="14"/>
      <c r="N849" s="147"/>
      <c r="O849" s="147"/>
      <c r="Z849" s="29"/>
    </row>
    <row r="850">
      <c r="B850" s="14"/>
      <c r="D850" s="14"/>
      <c r="N850" s="147"/>
      <c r="O850" s="147"/>
      <c r="Z850" s="29"/>
    </row>
    <row r="851">
      <c r="B851" s="14"/>
      <c r="D851" s="14"/>
      <c r="N851" s="147"/>
      <c r="O851" s="147"/>
      <c r="Z851" s="29"/>
    </row>
    <row r="852">
      <c r="B852" s="14"/>
      <c r="D852" s="14"/>
      <c r="N852" s="147"/>
      <c r="O852" s="147"/>
      <c r="Z852" s="29"/>
    </row>
    <row r="853">
      <c r="B853" s="14"/>
      <c r="D853" s="14"/>
      <c r="N853" s="147"/>
      <c r="O853" s="147"/>
      <c r="Z853" s="29"/>
    </row>
    <row r="854">
      <c r="B854" s="14"/>
      <c r="D854" s="14"/>
      <c r="N854" s="147"/>
      <c r="O854" s="147"/>
      <c r="Z854" s="29"/>
    </row>
    <row r="855">
      <c r="B855" s="14"/>
      <c r="D855" s="14"/>
      <c r="N855" s="147"/>
      <c r="O855" s="147"/>
      <c r="Z855" s="29"/>
    </row>
    <row r="856">
      <c r="B856" s="14"/>
      <c r="D856" s="14"/>
      <c r="N856" s="147"/>
      <c r="O856" s="147"/>
      <c r="Z856" s="29"/>
    </row>
    <row r="857">
      <c r="B857" s="14"/>
      <c r="D857" s="14"/>
      <c r="N857" s="147"/>
      <c r="O857" s="147"/>
      <c r="Z857" s="29"/>
    </row>
    <row r="858">
      <c r="B858" s="14"/>
      <c r="D858" s="14"/>
      <c r="N858" s="147"/>
      <c r="O858" s="147"/>
      <c r="Z858" s="29"/>
    </row>
    <row r="859">
      <c r="B859" s="14"/>
      <c r="D859" s="14"/>
      <c r="N859" s="147"/>
      <c r="O859" s="147"/>
      <c r="Z859" s="29"/>
    </row>
    <row r="860">
      <c r="B860" s="14"/>
      <c r="D860" s="14"/>
      <c r="N860" s="147"/>
      <c r="O860" s="147"/>
      <c r="Z860" s="29"/>
    </row>
    <row r="861">
      <c r="B861" s="14"/>
      <c r="D861" s="14"/>
      <c r="N861" s="147"/>
      <c r="O861" s="147"/>
      <c r="Z861" s="29"/>
    </row>
    <row r="862">
      <c r="B862" s="14"/>
      <c r="D862" s="14"/>
      <c r="N862" s="147"/>
      <c r="O862" s="147"/>
      <c r="Z862" s="29"/>
    </row>
    <row r="863">
      <c r="B863" s="14"/>
      <c r="D863" s="14"/>
      <c r="N863" s="147"/>
      <c r="O863" s="147"/>
      <c r="Z863" s="29"/>
    </row>
    <row r="864">
      <c r="B864" s="14"/>
      <c r="D864" s="14"/>
      <c r="N864" s="147"/>
      <c r="O864" s="147"/>
      <c r="Z864" s="29"/>
    </row>
    <row r="865">
      <c r="B865" s="14"/>
      <c r="D865" s="14"/>
      <c r="N865" s="147"/>
      <c r="O865" s="147"/>
      <c r="Z865" s="29"/>
    </row>
    <row r="866">
      <c r="B866" s="14"/>
      <c r="D866" s="14"/>
      <c r="N866" s="147"/>
      <c r="O866" s="147"/>
      <c r="Z866" s="29"/>
    </row>
    <row r="867">
      <c r="B867" s="14"/>
      <c r="D867" s="14"/>
      <c r="N867" s="147"/>
      <c r="O867" s="147"/>
      <c r="Z867" s="29"/>
    </row>
    <row r="868">
      <c r="B868" s="14"/>
      <c r="D868" s="14"/>
      <c r="N868" s="147"/>
      <c r="O868" s="147"/>
      <c r="Z868" s="29"/>
    </row>
    <row r="869">
      <c r="B869" s="14"/>
      <c r="D869" s="14"/>
      <c r="N869" s="147"/>
      <c r="O869" s="147"/>
      <c r="Z869" s="29"/>
    </row>
    <row r="870">
      <c r="B870" s="14"/>
      <c r="D870" s="14"/>
      <c r="N870" s="147"/>
      <c r="O870" s="147"/>
      <c r="Z870" s="29"/>
    </row>
    <row r="871">
      <c r="B871" s="14"/>
      <c r="D871" s="14"/>
      <c r="N871" s="147"/>
      <c r="O871" s="147"/>
      <c r="Z871" s="29"/>
    </row>
    <row r="872">
      <c r="B872" s="14"/>
      <c r="D872" s="14"/>
      <c r="N872" s="147"/>
      <c r="O872" s="147"/>
      <c r="Z872" s="29"/>
    </row>
    <row r="873">
      <c r="B873" s="14"/>
      <c r="D873" s="14"/>
      <c r="N873" s="147"/>
      <c r="O873" s="147"/>
      <c r="Z873" s="29"/>
    </row>
    <row r="874">
      <c r="B874" s="14"/>
      <c r="D874" s="14"/>
      <c r="N874" s="147"/>
      <c r="O874" s="147"/>
      <c r="Z874" s="29"/>
    </row>
    <row r="875">
      <c r="B875" s="14"/>
      <c r="D875" s="14"/>
      <c r="N875" s="147"/>
      <c r="O875" s="147"/>
      <c r="Z875" s="29"/>
    </row>
    <row r="876">
      <c r="B876" s="14"/>
      <c r="D876" s="14"/>
      <c r="N876" s="147"/>
      <c r="O876" s="147"/>
      <c r="Z876" s="29"/>
    </row>
    <row r="877">
      <c r="B877" s="14"/>
      <c r="D877" s="14"/>
      <c r="N877" s="147"/>
      <c r="O877" s="147"/>
      <c r="Z877" s="29"/>
    </row>
    <row r="878">
      <c r="B878" s="14"/>
      <c r="D878" s="14"/>
      <c r="N878" s="147"/>
      <c r="O878" s="147"/>
      <c r="Z878" s="29"/>
    </row>
    <row r="879">
      <c r="B879" s="14"/>
      <c r="D879" s="14"/>
      <c r="N879" s="147"/>
      <c r="O879" s="147"/>
      <c r="Z879" s="29"/>
    </row>
    <row r="880">
      <c r="B880" s="14"/>
      <c r="D880" s="14"/>
      <c r="N880" s="147"/>
      <c r="O880" s="147"/>
      <c r="Z880" s="29"/>
    </row>
    <row r="881">
      <c r="B881" s="14"/>
      <c r="D881" s="14"/>
      <c r="N881" s="147"/>
      <c r="O881" s="147"/>
      <c r="Z881" s="29"/>
    </row>
    <row r="882">
      <c r="B882" s="14"/>
      <c r="D882" s="14"/>
      <c r="N882" s="147"/>
      <c r="O882" s="147"/>
      <c r="Z882" s="29"/>
    </row>
    <row r="883">
      <c r="B883" s="14"/>
      <c r="D883" s="14"/>
      <c r="N883" s="147"/>
      <c r="O883" s="147"/>
      <c r="Z883" s="29"/>
    </row>
    <row r="884">
      <c r="B884" s="14"/>
      <c r="D884" s="14"/>
      <c r="N884" s="147"/>
      <c r="O884" s="147"/>
      <c r="Z884" s="29"/>
    </row>
    <row r="885">
      <c r="B885" s="14"/>
      <c r="D885" s="14"/>
      <c r="N885" s="147"/>
      <c r="O885" s="147"/>
      <c r="Z885" s="29"/>
    </row>
    <row r="886">
      <c r="B886" s="14"/>
      <c r="D886" s="14"/>
      <c r="N886" s="147"/>
      <c r="O886" s="147"/>
      <c r="Z886" s="29"/>
    </row>
    <row r="887">
      <c r="B887" s="14"/>
      <c r="D887" s="14"/>
      <c r="N887" s="147"/>
      <c r="O887" s="147"/>
      <c r="Z887" s="29"/>
    </row>
    <row r="888">
      <c r="B888" s="14"/>
      <c r="D888" s="14"/>
      <c r="N888" s="147"/>
      <c r="O888" s="147"/>
      <c r="Z888" s="29"/>
    </row>
    <row r="889">
      <c r="B889" s="14"/>
      <c r="D889" s="14"/>
      <c r="N889" s="147"/>
      <c r="O889" s="147"/>
      <c r="Z889" s="29"/>
    </row>
    <row r="890">
      <c r="B890" s="14"/>
      <c r="D890" s="14"/>
      <c r="N890" s="147"/>
      <c r="O890" s="147"/>
      <c r="Z890" s="29"/>
    </row>
    <row r="891">
      <c r="B891" s="14"/>
      <c r="D891" s="14"/>
      <c r="N891" s="147"/>
      <c r="O891" s="147"/>
      <c r="Z891" s="29"/>
    </row>
    <row r="892">
      <c r="B892" s="14"/>
      <c r="D892" s="14"/>
      <c r="N892" s="147"/>
      <c r="O892" s="147"/>
      <c r="Z892" s="29"/>
    </row>
    <row r="893">
      <c r="B893" s="14"/>
      <c r="D893" s="14"/>
      <c r="N893" s="147"/>
      <c r="O893" s="147"/>
      <c r="Z893" s="29"/>
    </row>
    <row r="894">
      <c r="B894" s="14"/>
      <c r="D894" s="14"/>
      <c r="N894" s="147"/>
      <c r="O894" s="147"/>
      <c r="Z894" s="29"/>
    </row>
    <row r="895">
      <c r="B895" s="14"/>
      <c r="D895" s="14"/>
      <c r="N895" s="147"/>
      <c r="O895" s="147"/>
      <c r="Z895" s="29"/>
    </row>
    <row r="896">
      <c r="B896" s="14"/>
      <c r="D896" s="14"/>
      <c r="N896" s="147"/>
      <c r="O896" s="147"/>
      <c r="Z896" s="29"/>
    </row>
    <row r="897">
      <c r="B897" s="14"/>
      <c r="D897" s="14"/>
      <c r="N897" s="147"/>
      <c r="O897" s="147"/>
      <c r="Z897" s="29"/>
    </row>
    <row r="898">
      <c r="B898" s="14"/>
      <c r="D898" s="14"/>
      <c r="N898" s="147"/>
      <c r="O898" s="147"/>
      <c r="Z898" s="29"/>
    </row>
    <row r="899">
      <c r="B899" s="14"/>
      <c r="D899" s="14"/>
      <c r="N899" s="147"/>
      <c r="O899" s="147"/>
      <c r="Z899" s="29"/>
    </row>
    <row r="900">
      <c r="B900" s="14"/>
      <c r="D900" s="14"/>
      <c r="N900" s="147"/>
      <c r="O900" s="147"/>
      <c r="Z900" s="29"/>
    </row>
    <row r="901">
      <c r="B901" s="14"/>
      <c r="D901" s="14"/>
      <c r="N901" s="147"/>
      <c r="O901" s="147"/>
      <c r="Z901" s="29"/>
    </row>
    <row r="902">
      <c r="B902" s="14"/>
      <c r="D902" s="14"/>
      <c r="N902" s="147"/>
      <c r="O902" s="147"/>
      <c r="Z902" s="29"/>
    </row>
    <row r="903">
      <c r="B903" s="14"/>
      <c r="D903" s="14"/>
      <c r="N903" s="147"/>
      <c r="O903" s="147"/>
      <c r="Z903" s="29"/>
    </row>
    <row r="904">
      <c r="B904" s="14"/>
      <c r="D904" s="14"/>
      <c r="N904" s="147"/>
      <c r="O904" s="147"/>
      <c r="Z904" s="29"/>
    </row>
    <row r="905">
      <c r="B905" s="14"/>
      <c r="D905" s="14"/>
      <c r="N905" s="147"/>
      <c r="O905" s="147"/>
      <c r="Z905" s="29"/>
    </row>
    <row r="906">
      <c r="B906" s="14"/>
      <c r="D906" s="14"/>
      <c r="N906" s="147"/>
      <c r="O906" s="147"/>
      <c r="Z906" s="29"/>
    </row>
    <row r="907">
      <c r="B907" s="14"/>
      <c r="D907" s="14"/>
      <c r="N907" s="147"/>
      <c r="O907" s="147"/>
      <c r="Z907" s="29"/>
    </row>
    <row r="908">
      <c r="B908" s="14"/>
      <c r="D908" s="14"/>
      <c r="N908" s="147"/>
      <c r="O908" s="147"/>
      <c r="Z908" s="29"/>
    </row>
    <row r="909">
      <c r="B909" s="14"/>
      <c r="D909" s="14"/>
      <c r="N909" s="147"/>
      <c r="O909" s="147"/>
      <c r="Z909" s="29"/>
    </row>
    <row r="910">
      <c r="B910" s="14"/>
      <c r="D910" s="14"/>
      <c r="N910" s="147"/>
      <c r="O910" s="147"/>
      <c r="Z910" s="29"/>
    </row>
    <row r="911">
      <c r="B911" s="14"/>
      <c r="D911" s="14"/>
      <c r="N911" s="147"/>
      <c r="O911" s="147"/>
      <c r="Z911" s="29"/>
    </row>
    <row r="912">
      <c r="B912" s="14"/>
      <c r="D912" s="14"/>
      <c r="N912" s="147"/>
      <c r="O912" s="147"/>
      <c r="Z912" s="29"/>
    </row>
    <row r="913">
      <c r="B913" s="14"/>
      <c r="D913" s="14"/>
      <c r="N913" s="147"/>
      <c r="O913" s="147"/>
      <c r="Z913" s="29"/>
    </row>
    <row r="914">
      <c r="B914" s="14"/>
      <c r="D914" s="14"/>
      <c r="N914" s="147"/>
      <c r="O914" s="147"/>
      <c r="Z914" s="29"/>
    </row>
    <row r="915">
      <c r="B915" s="14"/>
      <c r="D915" s="14"/>
      <c r="N915" s="147"/>
      <c r="O915" s="147"/>
      <c r="Z915" s="29"/>
    </row>
    <row r="916">
      <c r="B916" s="14"/>
      <c r="D916" s="14"/>
      <c r="N916" s="147"/>
      <c r="O916" s="147"/>
      <c r="Z916" s="29"/>
    </row>
    <row r="917">
      <c r="B917" s="14"/>
      <c r="D917" s="14"/>
      <c r="N917" s="147"/>
      <c r="O917" s="147"/>
      <c r="Z917" s="29"/>
    </row>
    <row r="918">
      <c r="B918" s="14"/>
      <c r="D918" s="14"/>
      <c r="N918" s="147"/>
      <c r="O918" s="147"/>
      <c r="Z918" s="29"/>
    </row>
    <row r="919">
      <c r="B919" s="14"/>
      <c r="D919" s="14"/>
      <c r="N919" s="147"/>
      <c r="O919" s="147"/>
      <c r="Z919" s="29"/>
    </row>
    <row r="920">
      <c r="B920" s="14"/>
      <c r="D920" s="14"/>
      <c r="N920" s="147"/>
      <c r="O920" s="147"/>
      <c r="Z920" s="29"/>
    </row>
    <row r="921">
      <c r="B921" s="14"/>
      <c r="D921" s="14"/>
      <c r="N921" s="147"/>
      <c r="O921" s="147"/>
      <c r="Z921" s="29"/>
    </row>
    <row r="922">
      <c r="B922" s="14"/>
      <c r="D922" s="14"/>
      <c r="N922" s="147"/>
      <c r="O922" s="147"/>
      <c r="Z922" s="29"/>
    </row>
    <row r="923">
      <c r="B923" s="14"/>
      <c r="D923" s="14"/>
      <c r="N923" s="147"/>
      <c r="O923" s="147"/>
      <c r="Z923" s="29"/>
    </row>
    <row r="924">
      <c r="B924" s="14"/>
      <c r="D924" s="14"/>
      <c r="N924" s="147"/>
      <c r="O924" s="147"/>
      <c r="Z924" s="29"/>
    </row>
    <row r="925">
      <c r="B925" s="14"/>
      <c r="D925" s="14"/>
      <c r="N925" s="147"/>
      <c r="O925" s="147"/>
      <c r="Z925" s="29"/>
    </row>
    <row r="926">
      <c r="B926" s="14"/>
      <c r="D926" s="14"/>
      <c r="N926" s="147"/>
      <c r="O926" s="147"/>
      <c r="Z926" s="29"/>
    </row>
    <row r="927">
      <c r="B927" s="14"/>
      <c r="D927" s="14"/>
      <c r="N927" s="147"/>
      <c r="O927" s="147"/>
      <c r="Z927" s="29"/>
    </row>
    <row r="928">
      <c r="B928" s="14"/>
      <c r="D928" s="14"/>
      <c r="N928" s="147"/>
      <c r="O928" s="147"/>
      <c r="Z928" s="29"/>
    </row>
    <row r="929">
      <c r="B929" s="14"/>
      <c r="D929" s="14"/>
      <c r="N929" s="147"/>
      <c r="O929" s="147"/>
      <c r="Z929" s="29"/>
    </row>
    <row r="930">
      <c r="B930" s="14"/>
      <c r="D930" s="14"/>
      <c r="N930" s="147"/>
      <c r="O930" s="147"/>
      <c r="Z930" s="29"/>
    </row>
    <row r="931">
      <c r="B931" s="14"/>
      <c r="D931" s="14"/>
      <c r="N931" s="147"/>
      <c r="O931" s="147"/>
      <c r="Z931" s="29"/>
    </row>
    <row r="932">
      <c r="B932" s="14"/>
      <c r="D932" s="14"/>
      <c r="N932" s="147"/>
      <c r="O932" s="147"/>
      <c r="Z932" s="29"/>
    </row>
    <row r="933">
      <c r="B933" s="14"/>
      <c r="D933" s="14"/>
      <c r="N933" s="147"/>
      <c r="O933" s="147"/>
      <c r="Z933" s="29"/>
    </row>
    <row r="934">
      <c r="B934" s="14"/>
      <c r="D934" s="14"/>
      <c r="N934" s="147"/>
      <c r="O934" s="147"/>
      <c r="Z934" s="29"/>
    </row>
    <row r="935">
      <c r="B935" s="14"/>
      <c r="D935" s="14"/>
      <c r="N935" s="147"/>
      <c r="O935" s="147"/>
      <c r="Z935" s="29"/>
    </row>
    <row r="936">
      <c r="B936" s="14"/>
      <c r="D936" s="14"/>
      <c r="N936" s="147"/>
      <c r="O936" s="147"/>
      <c r="Z936" s="29"/>
    </row>
    <row r="937">
      <c r="B937" s="14"/>
      <c r="D937" s="14"/>
      <c r="N937" s="147"/>
      <c r="O937" s="147"/>
      <c r="Z937" s="29"/>
    </row>
    <row r="938">
      <c r="B938" s="14"/>
      <c r="D938" s="14"/>
      <c r="N938" s="147"/>
      <c r="O938" s="147"/>
      <c r="Z938" s="29"/>
    </row>
    <row r="939">
      <c r="B939" s="14"/>
      <c r="D939" s="14"/>
      <c r="N939" s="147"/>
      <c r="O939" s="147"/>
      <c r="Z939" s="29"/>
    </row>
    <row r="940">
      <c r="B940" s="14"/>
      <c r="D940" s="14"/>
      <c r="N940" s="147"/>
      <c r="O940" s="147"/>
      <c r="Z940" s="29"/>
    </row>
    <row r="941">
      <c r="B941" s="14"/>
      <c r="D941" s="14"/>
      <c r="N941" s="147"/>
      <c r="O941" s="147"/>
      <c r="Z941" s="29"/>
    </row>
    <row r="942">
      <c r="B942" s="14"/>
      <c r="D942" s="14"/>
      <c r="N942" s="147"/>
      <c r="O942" s="147"/>
      <c r="Z942" s="29"/>
    </row>
    <row r="943">
      <c r="B943" s="14"/>
      <c r="D943" s="14"/>
      <c r="N943" s="147"/>
      <c r="O943" s="147"/>
      <c r="Z943" s="29"/>
    </row>
    <row r="944">
      <c r="B944" s="14"/>
      <c r="D944" s="14"/>
      <c r="N944" s="147"/>
      <c r="O944" s="147"/>
      <c r="Z944" s="29"/>
    </row>
    <row r="945">
      <c r="B945" s="14"/>
      <c r="D945" s="14"/>
      <c r="N945" s="147"/>
      <c r="O945" s="147"/>
      <c r="Z945" s="29"/>
    </row>
    <row r="946">
      <c r="B946" s="14"/>
      <c r="D946" s="14"/>
      <c r="N946" s="147"/>
      <c r="O946" s="147"/>
      <c r="Z946" s="29"/>
    </row>
    <row r="947">
      <c r="B947" s="14"/>
      <c r="D947" s="14"/>
      <c r="N947" s="147"/>
      <c r="O947" s="147"/>
      <c r="Z947" s="29"/>
    </row>
    <row r="948">
      <c r="B948" s="14"/>
      <c r="D948" s="14"/>
      <c r="N948" s="147"/>
      <c r="O948" s="147"/>
      <c r="Z948" s="29"/>
    </row>
    <row r="949">
      <c r="B949" s="14"/>
      <c r="D949" s="14"/>
      <c r="N949" s="147"/>
      <c r="O949" s="147"/>
      <c r="Z949" s="29"/>
    </row>
    <row r="950">
      <c r="B950" s="14"/>
      <c r="D950" s="14"/>
      <c r="N950" s="147"/>
      <c r="O950" s="147"/>
      <c r="Z950" s="29"/>
    </row>
    <row r="951">
      <c r="B951" s="14"/>
      <c r="D951" s="14"/>
      <c r="N951" s="147"/>
      <c r="O951" s="147"/>
      <c r="Z951" s="29"/>
    </row>
    <row r="952">
      <c r="B952" s="14"/>
      <c r="D952" s="14"/>
      <c r="N952" s="147"/>
      <c r="O952" s="147"/>
      <c r="Z952" s="29"/>
    </row>
    <row r="953">
      <c r="B953" s="14"/>
      <c r="D953" s="14"/>
      <c r="N953" s="147"/>
      <c r="O953" s="147"/>
      <c r="Z953" s="29"/>
    </row>
    <row r="954">
      <c r="B954" s="14"/>
      <c r="D954" s="14"/>
      <c r="N954" s="147"/>
      <c r="O954" s="147"/>
      <c r="Z954" s="29"/>
    </row>
    <row r="955">
      <c r="B955" s="14"/>
      <c r="D955" s="14"/>
      <c r="N955" s="147"/>
      <c r="O955" s="147"/>
      <c r="Z955" s="29"/>
    </row>
    <row r="956">
      <c r="B956" s="14"/>
      <c r="D956" s="14"/>
      <c r="N956" s="147"/>
      <c r="O956" s="147"/>
      <c r="Z956" s="29"/>
    </row>
    <row r="957">
      <c r="B957" s="14"/>
      <c r="D957" s="14"/>
      <c r="N957" s="147"/>
      <c r="O957" s="147"/>
      <c r="Z957" s="29"/>
    </row>
    <row r="958">
      <c r="B958" s="14"/>
      <c r="D958" s="14"/>
      <c r="N958" s="147"/>
      <c r="O958" s="147"/>
      <c r="Z958" s="29"/>
    </row>
    <row r="959">
      <c r="B959" s="14"/>
      <c r="D959" s="14"/>
      <c r="N959" s="147"/>
      <c r="O959" s="147"/>
      <c r="Z959" s="29"/>
    </row>
    <row r="960">
      <c r="B960" s="14"/>
      <c r="D960" s="14"/>
      <c r="N960" s="147"/>
      <c r="O960" s="147"/>
      <c r="Z960" s="29"/>
    </row>
    <row r="961">
      <c r="B961" s="14"/>
      <c r="D961" s="14"/>
      <c r="N961" s="147"/>
      <c r="O961" s="147"/>
      <c r="Z961" s="29"/>
    </row>
    <row r="962">
      <c r="B962" s="14"/>
      <c r="D962" s="14"/>
      <c r="N962" s="147"/>
      <c r="O962" s="147"/>
      <c r="Z962" s="29"/>
    </row>
    <row r="963">
      <c r="B963" s="14"/>
      <c r="D963" s="14"/>
      <c r="N963" s="147"/>
      <c r="O963" s="147"/>
      <c r="Z963" s="29"/>
    </row>
    <row r="964">
      <c r="B964" s="14"/>
      <c r="D964" s="14"/>
      <c r="N964" s="147"/>
      <c r="O964" s="147"/>
      <c r="Z964" s="29"/>
    </row>
    <row r="965">
      <c r="B965" s="14"/>
      <c r="D965" s="14"/>
      <c r="N965" s="147"/>
      <c r="O965" s="147"/>
      <c r="Z965" s="29"/>
    </row>
    <row r="966">
      <c r="B966" s="14"/>
      <c r="D966" s="14"/>
      <c r="N966" s="147"/>
      <c r="O966" s="147"/>
      <c r="Z966" s="29"/>
    </row>
    <row r="967">
      <c r="B967" s="14"/>
      <c r="D967" s="14"/>
      <c r="N967" s="147"/>
      <c r="O967" s="147"/>
      <c r="Z967" s="29"/>
    </row>
    <row r="968">
      <c r="B968" s="14"/>
      <c r="D968" s="14"/>
      <c r="N968" s="147"/>
      <c r="O968" s="147"/>
      <c r="Z968" s="29"/>
    </row>
    <row r="969">
      <c r="B969" s="14"/>
      <c r="D969" s="14"/>
      <c r="N969" s="147"/>
      <c r="O969" s="147"/>
      <c r="Z969" s="29"/>
    </row>
    <row r="970">
      <c r="B970" s="14"/>
      <c r="D970" s="14"/>
      <c r="N970" s="147"/>
      <c r="O970" s="147"/>
      <c r="Z970" s="29"/>
    </row>
    <row r="971">
      <c r="B971" s="14"/>
      <c r="D971" s="14"/>
      <c r="N971" s="147"/>
      <c r="O971" s="147"/>
      <c r="Z971" s="29"/>
    </row>
    <row r="972">
      <c r="B972" s="14"/>
      <c r="D972" s="14"/>
      <c r="N972" s="147"/>
      <c r="O972" s="147"/>
      <c r="Z972" s="29"/>
    </row>
    <row r="973">
      <c r="B973" s="14"/>
      <c r="D973" s="14"/>
      <c r="N973" s="147"/>
      <c r="O973" s="147"/>
      <c r="Z973" s="29"/>
    </row>
    <row r="974">
      <c r="B974" s="14"/>
      <c r="D974" s="14"/>
      <c r="N974" s="147"/>
      <c r="O974" s="147"/>
      <c r="Z974" s="29"/>
    </row>
    <row r="975">
      <c r="B975" s="14"/>
      <c r="D975" s="14"/>
      <c r="N975" s="147"/>
      <c r="O975" s="147"/>
      <c r="Z975" s="29"/>
    </row>
    <row r="976">
      <c r="B976" s="14"/>
      <c r="D976" s="14"/>
      <c r="N976" s="147"/>
      <c r="O976" s="147"/>
      <c r="Z976" s="29"/>
    </row>
    <row r="977">
      <c r="B977" s="14"/>
      <c r="D977" s="14"/>
      <c r="N977" s="147"/>
      <c r="O977" s="147"/>
      <c r="Z977" s="29"/>
    </row>
    <row r="978">
      <c r="B978" s="14"/>
      <c r="D978" s="14"/>
      <c r="N978" s="147"/>
      <c r="O978" s="147"/>
      <c r="Z978" s="29"/>
    </row>
    <row r="979">
      <c r="B979" s="14"/>
      <c r="D979" s="14"/>
      <c r="N979" s="147"/>
      <c r="O979" s="147"/>
      <c r="Z979" s="29"/>
    </row>
    <row r="980">
      <c r="B980" s="14"/>
      <c r="D980" s="14"/>
      <c r="N980" s="147"/>
      <c r="O980" s="147"/>
      <c r="Z980" s="29"/>
    </row>
    <row r="981">
      <c r="B981" s="14"/>
      <c r="D981" s="14"/>
      <c r="N981" s="147"/>
      <c r="O981" s="147"/>
      <c r="Z981" s="29"/>
    </row>
    <row r="982">
      <c r="B982" s="14"/>
      <c r="D982" s="14"/>
      <c r="N982" s="147"/>
      <c r="O982" s="147"/>
      <c r="Z982" s="29"/>
    </row>
    <row r="983">
      <c r="B983" s="14"/>
      <c r="D983" s="14"/>
      <c r="N983" s="147"/>
      <c r="O983" s="147"/>
      <c r="Z983" s="29"/>
    </row>
    <row r="984">
      <c r="B984" s="14"/>
      <c r="D984" s="14"/>
      <c r="N984" s="147"/>
      <c r="O984" s="147"/>
      <c r="Z984" s="29"/>
    </row>
    <row r="985">
      <c r="B985" s="14"/>
      <c r="D985" s="14"/>
      <c r="N985" s="147"/>
      <c r="O985" s="147"/>
      <c r="Z985" s="29"/>
    </row>
    <row r="986">
      <c r="B986" s="14"/>
      <c r="D986" s="14"/>
      <c r="N986" s="147"/>
      <c r="O986" s="147"/>
      <c r="Z986" s="29"/>
    </row>
    <row r="987">
      <c r="B987" s="14"/>
      <c r="D987" s="14"/>
      <c r="N987" s="147"/>
      <c r="O987" s="147"/>
      <c r="Z987" s="29"/>
    </row>
    <row r="988">
      <c r="B988" s="14"/>
      <c r="D988" s="14"/>
      <c r="N988" s="147"/>
      <c r="O988" s="147"/>
      <c r="Z988" s="29"/>
    </row>
    <row r="989">
      <c r="B989" s="14"/>
      <c r="D989" s="14"/>
      <c r="N989" s="147"/>
      <c r="O989" s="147"/>
      <c r="Z989" s="29"/>
    </row>
    <row r="990">
      <c r="B990" s="14"/>
      <c r="D990" s="14"/>
      <c r="N990" s="147"/>
      <c r="O990" s="147"/>
      <c r="Z990" s="29"/>
    </row>
    <row r="991">
      <c r="B991" s="14"/>
      <c r="D991" s="14"/>
      <c r="N991" s="147"/>
      <c r="O991" s="147"/>
      <c r="Z991" s="29"/>
    </row>
    <row r="992">
      <c r="B992" s="14"/>
      <c r="D992" s="14"/>
      <c r="N992" s="147"/>
      <c r="O992" s="147"/>
      <c r="Z992" s="29"/>
    </row>
    <row r="993">
      <c r="B993" s="14"/>
      <c r="D993" s="14"/>
      <c r="N993" s="147"/>
      <c r="O993" s="147"/>
      <c r="Z993" s="29"/>
    </row>
    <row r="994">
      <c r="B994" s="14"/>
      <c r="D994" s="14"/>
      <c r="N994" s="147"/>
      <c r="O994" s="147"/>
      <c r="Z994" s="29"/>
    </row>
    <row r="995">
      <c r="B995" s="14"/>
      <c r="D995" s="14"/>
      <c r="N995" s="147"/>
      <c r="O995" s="147"/>
      <c r="Z995" s="29"/>
    </row>
    <row r="996">
      <c r="B996" s="14"/>
      <c r="D996" s="14"/>
      <c r="N996" s="147"/>
      <c r="O996" s="147"/>
      <c r="Z996" s="29"/>
    </row>
    <row r="997">
      <c r="B997" s="14"/>
      <c r="D997" s="14"/>
      <c r="N997" s="147"/>
      <c r="O997" s="147"/>
      <c r="Z997" s="29"/>
    </row>
    <row r="998">
      <c r="B998" s="14"/>
      <c r="D998" s="14"/>
      <c r="N998" s="147"/>
      <c r="O998" s="147"/>
      <c r="Z998" s="29"/>
    </row>
    <row r="999">
      <c r="B999" s="14"/>
      <c r="D999" s="14"/>
      <c r="N999" s="147"/>
      <c r="O999" s="147"/>
      <c r="Z999" s="29"/>
    </row>
    <row r="1000">
      <c r="B1000" s="14"/>
      <c r="D1000" s="14"/>
      <c r="N1000" s="147"/>
      <c r="O1000" s="147"/>
      <c r="Z1000" s="29"/>
    </row>
    <row r="1001">
      <c r="B1001" s="14"/>
      <c r="D1001" s="14"/>
      <c r="M1001" s="4"/>
      <c r="N1001" s="147"/>
      <c r="O1001" s="147"/>
      <c r="Z1001" s="29"/>
    </row>
    <row r="1002">
      <c r="B1002" s="14"/>
      <c r="D1002" s="14"/>
      <c r="M1002" s="4"/>
      <c r="N1002" s="147"/>
      <c r="O1002" s="147"/>
      <c r="Z1002" s="29"/>
    </row>
    <row r="1003">
      <c r="B1003" s="14"/>
      <c r="D1003" s="14"/>
      <c r="M1003" s="4"/>
      <c r="N1003" s="147"/>
      <c r="O1003" s="147"/>
      <c r="Z1003" s="29"/>
    </row>
    <row r="1004">
      <c r="B1004" s="14"/>
      <c r="D1004" s="14"/>
      <c r="M1004" s="4"/>
      <c r="N1004" s="147"/>
      <c r="O1004" s="147"/>
      <c r="Z1004" s="29"/>
    </row>
    <row r="1005">
      <c r="B1005" s="14"/>
      <c r="D1005" s="14"/>
      <c r="M1005" s="4"/>
      <c r="N1005" s="147"/>
      <c r="O1005" s="147"/>
      <c r="Z1005" s="29"/>
    </row>
    <row r="1006">
      <c r="B1006" s="14"/>
      <c r="D1006" s="14"/>
      <c r="M1006" s="4"/>
      <c r="N1006" s="147"/>
      <c r="O1006" s="147"/>
      <c r="Z1006" s="29"/>
    </row>
    <row r="1007">
      <c r="B1007" s="14"/>
      <c r="D1007" s="14"/>
      <c r="M1007" s="4"/>
      <c r="N1007" s="147"/>
      <c r="O1007" s="147"/>
      <c r="Z1007" s="29"/>
    </row>
    <row r="1008">
      <c r="B1008" s="14"/>
      <c r="D1008" s="14"/>
      <c r="M1008" s="4"/>
      <c r="N1008" s="147"/>
      <c r="O1008" s="147"/>
      <c r="Z1008" s="29"/>
    </row>
    <row r="1009">
      <c r="B1009" s="14"/>
      <c r="D1009" s="14"/>
      <c r="M1009" s="4"/>
      <c r="N1009" s="147"/>
      <c r="O1009" s="147"/>
      <c r="Z1009" s="29"/>
    </row>
    <row r="1010">
      <c r="B1010" s="14"/>
      <c r="D1010" s="14"/>
      <c r="M1010" s="4"/>
      <c r="N1010" s="147"/>
      <c r="O1010" s="147"/>
      <c r="Z1010" s="29"/>
    </row>
    <row r="1011">
      <c r="B1011" s="14"/>
      <c r="D1011" s="14"/>
      <c r="M1011" s="4"/>
      <c r="N1011" s="147"/>
      <c r="O1011" s="147"/>
      <c r="Z1011" s="29"/>
    </row>
    <row r="1012">
      <c r="B1012" s="14"/>
      <c r="D1012" s="14"/>
      <c r="M1012" s="4"/>
      <c r="N1012" s="147"/>
      <c r="O1012" s="147"/>
      <c r="Z1012" s="29"/>
    </row>
    <row r="1013">
      <c r="B1013" s="14"/>
      <c r="D1013" s="14"/>
      <c r="M1013" s="4"/>
      <c r="N1013" s="147"/>
      <c r="O1013" s="147"/>
      <c r="Z1013" s="29"/>
    </row>
    <row r="1014">
      <c r="B1014" s="14"/>
      <c r="D1014" s="14"/>
      <c r="M1014" s="4"/>
      <c r="N1014" s="147"/>
      <c r="O1014" s="147"/>
      <c r="Z1014" s="29"/>
    </row>
    <row r="1015">
      <c r="B1015" s="14"/>
      <c r="D1015" s="14"/>
      <c r="M1015" s="4"/>
      <c r="N1015" s="147"/>
      <c r="O1015" s="147"/>
      <c r="Z1015" s="29"/>
    </row>
    <row r="1016">
      <c r="B1016" s="14"/>
      <c r="D1016" s="14"/>
      <c r="M1016" s="4"/>
      <c r="N1016" s="147"/>
      <c r="O1016" s="147"/>
      <c r="Z1016" s="29"/>
    </row>
    <row r="1017">
      <c r="B1017" s="14"/>
      <c r="D1017" s="14"/>
      <c r="M1017" s="4"/>
      <c r="N1017" s="147"/>
      <c r="O1017" s="147"/>
      <c r="Z1017" s="29"/>
    </row>
    <row r="1018">
      <c r="B1018" s="14"/>
      <c r="D1018" s="14"/>
      <c r="M1018" s="4"/>
      <c r="N1018" s="147"/>
      <c r="O1018" s="147"/>
      <c r="Z1018" s="29"/>
    </row>
    <row r="1019">
      <c r="B1019" s="14"/>
      <c r="D1019" s="14"/>
      <c r="M1019" s="4"/>
      <c r="N1019" s="147"/>
      <c r="O1019" s="147"/>
      <c r="Z1019" s="29"/>
    </row>
    <row r="1020">
      <c r="B1020" s="14"/>
      <c r="D1020" s="14"/>
      <c r="M1020" s="4"/>
      <c r="N1020" s="147"/>
      <c r="O1020" s="147"/>
      <c r="Z1020" s="29"/>
    </row>
    <row r="1021">
      <c r="B1021" s="14"/>
      <c r="D1021" s="14"/>
      <c r="M1021" s="4"/>
      <c r="N1021" s="147"/>
      <c r="O1021" s="147"/>
      <c r="Z1021" s="29"/>
    </row>
    <row r="1022">
      <c r="B1022" s="14"/>
      <c r="D1022" s="14"/>
      <c r="M1022" s="4"/>
      <c r="N1022" s="147"/>
      <c r="O1022" s="147"/>
      <c r="Z1022" s="29"/>
    </row>
    <row r="1023">
      <c r="B1023" s="14"/>
      <c r="D1023" s="14"/>
      <c r="M1023" s="4"/>
      <c r="N1023" s="147"/>
      <c r="O1023" s="147"/>
      <c r="Z1023" s="29"/>
    </row>
    <row r="1024">
      <c r="B1024" s="14"/>
      <c r="D1024" s="14"/>
      <c r="M1024" s="4"/>
      <c r="N1024" s="147"/>
      <c r="O1024" s="147"/>
      <c r="Z1024" s="29"/>
    </row>
    <row r="1025">
      <c r="B1025" s="14"/>
      <c r="D1025" s="14"/>
      <c r="M1025" s="4"/>
      <c r="N1025" s="147"/>
      <c r="O1025" s="147"/>
      <c r="Z1025" s="29"/>
    </row>
    <row r="1026">
      <c r="B1026" s="14"/>
      <c r="D1026" s="14"/>
      <c r="M1026" s="4"/>
      <c r="N1026" s="147"/>
      <c r="O1026" s="147"/>
      <c r="Z1026" s="29"/>
    </row>
    <row r="1027">
      <c r="B1027" s="14"/>
      <c r="D1027" s="14"/>
      <c r="M1027" s="4"/>
      <c r="N1027" s="147"/>
      <c r="O1027" s="147"/>
      <c r="Z1027" s="29"/>
    </row>
    <row r="1028">
      <c r="B1028" s="14"/>
      <c r="D1028" s="14"/>
      <c r="M1028" s="4"/>
      <c r="N1028" s="147"/>
      <c r="O1028" s="147"/>
      <c r="Z1028" s="29"/>
    </row>
    <row r="1029">
      <c r="B1029" s="14"/>
      <c r="D1029" s="14"/>
      <c r="M1029" s="4"/>
      <c r="N1029" s="147"/>
      <c r="O1029" s="147"/>
      <c r="Z1029" s="29"/>
    </row>
    <row r="1030">
      <c r="B1030" s="14"/>
      <c r="D1030" s="14"/>
      <c r="M1030" s="4"/>
      <c r="N1030" s="147"/>
      <c r="O1030" s="147"/>
      <c r="Z1030" s="29"/>
    </row>
    <row r="1031">
      <c r="B1031" s="14"/>
      <c r="D1031" s="14"/>
      <c r="M1031" s="4"/>
      <c r="N1031" s="147"/>
      <c r="O1031" s="147"/>
      <c r="Z1031" s="29"/>
    </row>
    <row r="1032">
      <c r="B1032" s="14"/>
      <c r="D1032" s="14"/>
      <c r="M1032" s="4"/>
      <c r="N1032" s="147"/>
      <c r="O1032" s="147"/>
      <c r="Z1032" s="29"/>
    </row>
    <row r="1033">
      <c r="B1033" s="14"/>
      <c r="D1033" s="14"/>
      <c r="M1033" s="4"/>
      <c r="N1033" s="147"/>
      <c r="O1033" s="147"/>
      <c r="Z1033" s="29"/>
    </row>
    <row r="1034">
      <c r="B1034" s="14"/>
      <c r="D1034" s="14"/>
      <c r="M1034" s="4"/>
      <c r="N1034" s="147"/>
      <c r="O1034" s="147"/>
      <c r="Z1034" s="29"/>
    </row>
    <row r="1035">
      <c r="B1035" s="14"/>
      <c r="D1035" s="14"/>
      <c r="M1035" s="4"/>
      <c r="N1035" s="147"/>
      <c r="O1035" s="147"/>
      <c r="Z1035" s="29"/>
    </row>
    <row r="1036">
      <c r="B1036" s="14"/>
      <c r="D1036" s="14"/>
      <c r="M1036" s="4"/>
      <c r="N1036" s="147"/>
      <c r="O1036" s="147"/>
      <c r="Z1036" s="29"/>
    </row>
    <row r="1037">
      <c r="B1037" s="14"/>
      <c r="D1037" s="14"/>
      <c r="M1037" s="4"/>
      <c r="N1037" s="147"/>
      <c r="O1037" s="147"/>
      <c r="Z1037" s="29"/>
    </row>
    <row r="1038">
      <c r="B1038" s="14"/>
      <c r="D1038" s="14"/>
      <c r="M1038" s="4"/>
      <c r="N1038" s="147"/>
      <c r="O1038" s="147"/>
      <c r="Z1038" s="29"/>
    </row>
    <row r="1039">
      <c r="B1039" s="14"/>
      <c r="D1039" s="14"/>
      <c r="M1039" s="4"/>
      <c r="N1039" s="147"/>
      <c r="O1039" s="147"/>
      <c r="Z1039" s="29"/>
    </row>
    <row r="1040">
      <c r="B1040" s="14"/>
      <c r="D1040" s="14"/>
      <c r="M1040" s="4"/>
      <c r="N1040" s="147"/>
      <c r="O1040" s="147"/>
      <c r="Z1040" s="29"/>
    </row>
    <row r="1041">
      <c r="B1041" s="14"/>
      <c r="D1041" s="14"/>
      <c r="M1041" s="4"/>
      <c r="N1041" s="147"/>
      <c r="O1041" s="147"/>
      <c r="Z1041" s="29"/>
    </row>
    <row r="1042">
      <c r="B1042" s="14"/>
      <c r="D1042" s="14"/>
      <c r="M1042" s="4"/>
      <c r="N1042" s="147"/>
      <c r="O1042" s="147"/>
      <c r="Z1042" s="29"/>
    </row>
    <row r="1043">
      <c r="B1043" s="14"/>
      <c r="D1043" s="14"/>
      <c r="M1043" s="4"/>
      <c r="N1043" s="147"/>
      <c r="O1043" s="147"/>
      <c r="Z1043" s="29"/>
    </row>
    <row r="1044">
      <c r="B1044" s="14"/>
      <c r="D1044" s="14"/>
      <c r="M1044" s="4"/>
      <c r="N1044" s="147"/>
      <c r="O1044" s="147"/>
      <c r="Z1044" s="29"/>
    </row>
    <row r="1045">
      <c r="B1045" s="14"/>
      <c r="D1045" s="14"/>
      <c r="M1045" s="4"/>
      <c r="N1045" s="147"/>
      <c r="O1045" s="147"/>
      <c r="Z1045" s="29"/>
    </row>
    <row r="1046">
      <c r="B1046" s="14"/>
      <c r="D1046" s="14"/>
      <c r="M1046" s="4"/>
      <c r="N1046" s="147"/>
      <c r="O1046" s="147"/>
      <c r="Z1046" s="29"/>
    </row>
    <row r="1047">
      <c r="B1047" s="14"/>
      <c r="D1047" s="14"/>
      <c r="M1047" s="4"/>
      <c r="N1047" s="147"/>
      <c r="O1047" s="147"/>
      <c r="Z1047" s="29"/>
    </row>
    <row r="1048">
      <c r="B1048" s="14"/>
      <c r="D1048" s="14"/>
      <c r="M1048" s="4"/>
      <c r="N1048" s="147"/>
      <c r="O1048" s="147"/>
      <c r="Z1048" s="29"/>
    </row>
    <row r="1049">
      <c r="B1049" s="14"/>
      <c r="D1049" s="14"/>
      <c r="M1049" s="4"/>
      <c r="N1049" s="147"/>
      <c r="O1049" s="147"/>
      <c r="Z1049" s="29"/>
    </row>
    <row r="1050">
      <c r="B1050" s="14"/>
      <c r="D1050" s="14"/>
      <c r="M1050" s="4"/>
      <c r="N1050" s="147"/>
      <c r="O1050" s="147"/>
      <c r="Z1050" s="29"/>
    </row>
    <row r="1051">
      <c r="B1051" s="14"/>
      <c r="D1051" s="14"/>
      <c r="M1051" s="4"/>
      <c r="N1051" s="147"/>
      <c r="O1051" s="147"/>
      <c r="Z1051" s="29"/>
    </row>
    <row r="1052">
      <c r="B1052" s="14"/>
      <c r="D1052" s="14"/>
      <c r="M1052" s="4"/>
      <c r="N1052" s="147"/>
      <c r="O1052" s="147"/>
      <c r="Z1052" s="29"/>
    </row>
    <row r="1053">
      <c r="B1053" s="14"/>
      <c r="D1053" s="14"/>
      <c r="M1053" s="4"/>
      <c r="N1053" s="147"/>
      <c r="O1053" s="147"/>
      <c r="Z1053" s="29"/>
    </row>
    <row r="1054">
      <c r="B1054" s="14"/>
      <c r="D1054" s="14"/>
      <c r="M1054" s="4"/>
      <c r="N1054" s="147"/>
      <c r="O1054" s="147"/>
      <c r="Z1054" s="29"/>
    </row>
    <row r="1055">
      <c r="B1055" s="14"/>
      <c r="D1055" s="14"/>
      <c r="M1055" s="4"/>
      <c r="N1055" s="147"/>
      <c r="O1055" s="147"/>
      <c r="Z1055" s="29"/>
    </row>
    <row r="1056">
      <c r="B1056" s="14"/>
      <c r="D1056" s="14"/>
      <c r="M1056" s="4"/>
      <c r="N1056" s="147"/>
      <c r="O1056" s="147"/>
      <c r="Z1056" s="29"/>
    </row>
    <row r="1057">
      <c r="B1057" s="14"/>
      <c r="D1057" s="14"/>
      <c r="M1057" s="4"/>
      <c r="N1057" s="147"/>
      <c r="O1057" s="147"/>
      <c r="Z1057" s="29"/>
    </row>
    <row r="1058">
      <c r="B1058" s="14"/>
      <c r="D1058" s="14"/>
      <c r="M1058" s="4"/>
      <c r="N1058" s="147"/>
      <c r="O1058" s="147"/>
      <c r="Z1058" s="29"/>
    </row>
    <row r="1059">
      <c r="B1059" s="14"/>
      <c r="D1059" s="14"/>
      <c r="M1059" s="4"/>
      <c r="N1059" s="147"/>
      <c r="O1059" s="147"/>
      <c r="Z1059" s="29"/>
    </row>
    <row r="1060">
      <c r="B1060" s="14"/>
      <c r="D1060" s="14"/>
      <c r="M1060" s="4"/>
      <c r="N1060" s="147"/>
      <c r="O1060" s="147"/>
      <c r="Z1060" s="29"/>
    </row>
    <row r="1061">
      <c r="B1061" s="14"/>
      <c r="D1061" s="14"/>
      <c r="M1061" s="4"/>
      <c r="N1061" s="147"/>
      <c r="O1061" s="147"/>
      <c r="Z1061" s="29"/>
    </row>
    <row r="1062">
      <c r="B1062" s="14"/>
      <c r="D1062" s="14"/>
      <c r="M1062" s="4"/>
      <c r="N1062" s="147"/>
      <c r="O1062" s="147"/>
      <c r="Z1062" s="29"/>
    </row>
    <row r="1063">
      <c r="B1063" s="14"/>
      <c r="D1063" s="14"/>
      <c r="M1063" s="4"/>
      <c r="N1063" s="147"/>
      <c r="O1063" s="147"/>
      <c r="Z1063" s="29"/>
    </row>
    <row r="1064">
      <c r="B1064" s="14"/>
      <c r="D1064" s="14"/>
      <c r="M1064" s="4"/>
      <c r="N1064" s="147"/>
      <c r="O1064" s="147"/>
      <c r="Z1064" s="29"/>
    </row>
    <row r="1065">
      <c r="B1065" s="14"/>
      <c r="D1065" s="14"/>
      <c r="M1065" s="4"/>
      <c r="N1065" s="147"/>
      <c r="O1065" s="147"/>
      <c r="Z1065" s="29"/>
    </row>
    <row r="1066">
      <c r="B1066" s="14"/>
      <c r="D1066" s="14"/>
      <c r="M1066" s="4"/>
      <c r="N1066" s="147"/>
      <c r="O1066" s="147"/>
      <c r="Z1066" s="29"/>
    </row>
    <row r="1067">
      <c r="B1067" s="14"/>
      <c r="D1067" s="14"/>
      <c r="M1067" s="4"/>
      <c r="N1067" s="147"/>
      <c r="O1067" s="147"/>
      <c r="Z1067" s="29"/>
    </row>
    <row r="1068">
      <c r="B1068" s="14"/>
      <c r="D1068" s="14"/>
      <c r="M1068" s="4"/>
      <c r="N1068" s="147"/>
      <c r="O1068" s="147"/>
      <c r="Z1068" s="29"/>
    </row>
    <row r="1069">
      <c r="B1069" s="14"/>
      <c r="D1069" s="14"/>
      <c r="M1069" s="4"/>
      <c r="N1069" s="147"/>
      <c r="O1069" s="147"/>
      <c r="Z1069" s="29"/>
    </row>
    <row r="1070">
      <c r="B1070" s="14"/>
      <c r="D1070" s="14"/>
      <c r="M1070" s="4"/>
      <c r="N1070" s="147"/>
      <c r="O1070" s="147"/>
      <c r="Z1070" s="29"/>
    </row>
    <row r="1071">
      <c r="B1071" s="14"/>
      <c r="D1071" s="14"/>
      <c r="M1071" s="4"/>
      <c r="N1071" s="147"/>
      <c r="O1071" s="147"/>
      <c r="Z1071" s="29"/>
    </row>
    <row r="1072">
      <c r="B1072" s="14"/>
      <c r="D1072" s="14"/>
      <c r="M1072" s="4"/>
      <c r="N1072" s="147"/>
      <c r="O1072" s="147"/>
      <c r="Z1072" s="29"/>
    </row>
    <row r="1073">
      <c r="B1073" s="14"/>
      <c r="D1073" s="14"/>
      <c r="M1073" s="4"/>
      <c r="N1073" s="147"/>
      <c r="O1073" s="147"/>
      <c r="Z1073" s="29"/>
    </row>
    <row r="1074">
      <c r="B1074" s="14"/>
      <c r="D1074" s="14"/>
      <c r="M1074" s="4"/>
      <c r="N1074" s="147"/>
      <c r="O1074" s="147"/>
      <c r="Z1074" s="29"/>
    </row>
    <row r="1075">
      <c r="B1075" s="14"/>
      <c r="D1075" s="14"/>
      <c r="M1075" s="4"/>
      <c r="N1075" s="147"/>
      <c r="O1075" s="147"/>
      <c r="Z1075" s="29"/>
    </row>
    <row r="1076">
      <c r="B1076" s="14"/>
      <c r="D1076" s="14"/>
      <c r="M1076" s="4"/>
      <c r="N1076" s="147"/>
      <c r="O1076" s="147"/>
      <c r="Z1076" s="29"/>
    </row>
    <row r="1077">
      <c r="B1077" s="14"/>
      <c r="D1077" s="14"/>
      <c r="M1077" s="4"/>
      <c r="N1077" s="147"/>
      <c r="O1077" s="147"/>
      <c r="Z1077" s="29"/>
    </row>
    <row r="1078">
      <c r="B1078" s="14"/>
      <c r="D1078" s="14"/>
      <c r="M1078" s="4"/>
      <c r="N1078" s="147"/>
      <c r="O1078" s="147"/>
      <c r="Z1078" s="29"/>
    </row>
    <row r="1079">
      <c r="B1079" s="14"/>
      <c r="D1079" s="14"/>
      <c r="M1079" s="4"/>
      <c r="N1079" s="147"/>
      <c r="O1079" s="147"/>
      <c r="Z1079" s="29"/>
    </row>
    <row r="1080">
      <c r="B1080" s="14"/>
      <c r="D1080" s="14"/>
      <c r="M1080" s="4"/>
      <c r="N1080" s="147"/>
      <c r="O1080" s="147"/>
      <c r="Z1080" s="29"/>
    </row>
    <row r="1081">
      <c r="B1081" s="14"/>
      <c r="D1081" s="14"/>
      <c r="M1081" s="4"/>
      <c r="N1081" s="147"/>
      <c r="O1081" s="147"/>
      <c r="Z1081" s="29"/>
    </row>
    <row r="1082">
      <c r="B1082" s="14"/>
      <c r="D1082" s="14"/>
      <c r="M1082" s="4"/>
      <c r="N1082" s="147"/>
      <c r="O1082" s="147"/>
      <c r="Z1082" s="29"/>
    </row>
    <row r="1083">
      <c r="B1083" s="14"/>
      <c r="D1083" s="14"/>
      <c r="M1083" s="4"/>
      <c r="N1083" s="147"/>
      <c r="O1083" s="147"/>
      <c r="Z1083" s="29"/>
    </row>
    <row r="1084">
      <c r="B1084" s="14"/>
      <c r="D1084" s="14"/>
      <c r="M1084" s="4"/>
      <c r="N1084" s="147"/>
      <c r="O1084" s="147"/>
      <c r="Z1084" s="29"/>
    </row>
    <row r="1085">
      <c r="B1085" s="14"/>
      <c r="D1085" s="14"/>
      <c r="M1085" s="4"/>
      <c r="N1085" s="147"/>
      <c r="O1085" s="147"/>
      <c r="Z1085" s="29"/>
    </row>
    <row r="1086">
      <c r="B1086" s="14"/>
      <c r="D1086" s="14"/>
      <c r="M1086" s="4"/>
      <c r="N1086" s="147"/>
      <c r="O1086" s="147"/>
      <c r="Z1086" s="29"/>
    </row>
    <row r="1087">
      <c r="B1087" s="14"/>
      <c r="D1087" s="14"/>
      <c r="M1087" s="4"/>
      <c r="N1087" s="147"/>
      <c r="O1087" s="147"/>
      <c r="Z1087" s="29"/>
    </row>
    <row r="1088">
      <c r="B1088" s="14"/>
      <c r="D1088" s="14"/>
      <c r="M1088" s="4"/>
      <c r="N1088" s="147"/>
      <c r="O1088" s="147"/>
      <c r="Z1088" s="29"/>
    </row>
    <row r="1089">
      <c r="B1089" s="14"/>
      <c r="D1089" s="14"/>
      <c r="M1089" s="4"/>
      <c r="N1089" s="147"/>
      <c r="O1089" s="147"/>
      <c r="Z1089" s="29"/>
    </row>
    <row r="1090">
      <c r="B1090" s="14"/>
      <c r="D1090" s="14"/>
      <c r="M1090" s="4"/>
      <c r="N1090" s="147"/>
      <c r="O1090" s="147"/>
      <c r="Z1090" s="29"/>
    </row>
    <row r="1091">
      <c r="B1091" s="14"/>
      <c r="D1091" s="14"/>
      <c r="M1091" s="4"/>
      <c r="N1091" s="147"/>
      <c r="O1091" s="147"/>
      <c r="Z1091" s="29"/>
    </row>
    <row r="1092">
      <c r="B1092" s="14"/>
      <c r="D1092" s="14"/>
      <c r="M1092" s="4"/>
      <c r="N1092" s="147"/>
      <c r="O1092" s="147"/>
      <c r="Z1092" s="29"/>
    </row>
    <row r="1093">
      <c r="B1093" s="14"/>
      <c r="D1093" s="14"/>
      <c r="M1093" s="4"/>
      <c r="N1093" s="147"/>
      <c r="O1093" s="147"/>
      <c r="Z1093" s="29"/>
    </row>
    <row r="1094">
      <c r="B1094" s="14"/>
      <c r="D1094" s="14"/>
      <c r="M1094" s="4"/>
      <c r="N1094" s="147"/>
      <c r="O1094" s="147"/>
      <c r="Z1094" s="29"/>
    </row>
    <row r="1095">
      <c r="B1095" s="14"/>
      <c r="D1095" s="14"/>
      <c r="M1095" s="4"/>
      <c r="N1095" s="147"/>
      <c r="O1095" s="147"/>
      <c r="Z1095" s="29"/>
    </row>
    <row r="1096">
      <c r="B1096" s="14"/>
      <c r="D1096" s="14"/>
      <c r="M1096" s="4"/>
      <c r="N1096" s="147"/>
      <c r="O1096" s="147"/>
      <c r="Z1096" s="29"/>
    </row>
    <row r="1097">
      <c r="B1097" s="14"/>
      <c r="D1097" s="14"/>
      <c r="M1097" s="4"/>
      <c r="N1097" s="147"/>
      <c r="O1097" s="147"/>
      <c r="Z1097" s="29"/>
    </row>
    <row r="1098">
      <c r="B1098" s="14"/>
      <c r="D1098" s="14"/>
      <c r="M1098" s="4"/>
      <c r="N1098" s="147"/>
      <c r="O1098" s="147"/>
      <c r="Z1098" s="29"/>
    </row>
    <row r="1099">
      <c r="B1099" s="14"/>
      <c r="D1099" s="14"/>
      <c r="M1099" s="4"/>
      <c r="N1099" s="147"/>
      <c r="O1099" s="147"/>
      <c r="Z1099" s="29"/>
    </row>
    <row r="1100">
      <c r="B1100" s="14"/>
      <c r="D1100" s="14"/>
      <c r="M1100" s="4"/>
      <c r="N1100" s="147"/>
      <c r="O1100" s="147"/>
      <c r="Z1100" s="29"/>
    </row>
    <row r="1101">
      <c r="B1101" s="14"/>
      <c r="D1101" s="14"/>
      <c r="M1101" s="4"/>
      <c r="N1101" s="147"/>
      <c r="O1101" s="147"/>
      <c r="Z1101" s="29"/>
    </row>
    <row r="1102">
      <c r="B1102" s="14"/>
      <c r="D1102" s="14"/>
      <c r="M1102" s="4"/>
      <c r="N1102" s="147"/>
      <c r="O1102" s="147"/>
      <c r="Z1102" s="29"/>
    </row>
    <row r="1103">
      <c r="B1103" s="14"/>
      <c r="D1103" s="14"/>
      <c r="M1103" s="4"/>
      <c r="N1103" s="147"/>
      <c r="O1103" s="147"/>
      <c r="Z1103" s="29"/>
    </row>
    <row r="1104">
      <c r="B1104" s="14"/>
      <c r="D1104" s="14"/>
      <c r="M1104" s="4"/>
      <c r="N1104" s="147"/>
      <c r="O1104" s="147"/>
      <c r="Z1104" s="29"/>
    </row>
    <row r="1105">
      <c r="B1105" s="14"/>
      <c r="D1105" s="14"/>
      <c r="M1105" s="4"/>
      <c r="N1105" s="147"/>
      <c r="O1105" s="147"/>
      <c r="Z1105" s="29"/>
    </row>
    <row r="1106">
      <c r="B1106" s="14"/>
      <c r="D1106" s="14"/>
      <c r="M1106" s="4"/>
      <c r="N1106" s="147"/>
      <c r="O1106" s="147"/>
      <c r="Z1106" s="29"/>
    </row>
    <row r="1107">
      <c r="B1107" s="14"/>
      <c r="D1107" s="14"/>
      <c r="M1107" s="4"/>
      <c r="N1107" s="147"/>
      <c r="O1107" s="147"/>
      <c r="Z1107" s="29"/>
    </row>
    <row r="1108">
      <c r="B1108" s="14"/>
      <c r="D1108" s="14"/>
      <c r="M1108" s="4"/>
      <c r="N1108" s="147"/>
      <c r="O1108" s="147"/>
      <c r="Z1108" s="29"/>
    </row>
    <row r="1109">
      <c r="B1109" s="14"/>
      <c r="D1109" s="14"/>
      <c r="M1109" s="4"/>
      <c r="N1109" s="147"/>
      <c r="O1109" s="147"/>
      <c r="Z1109" s="29"/>
    </row>
    <row r="1110">
      <c r="B1110" s="14"/>
      <c r="D1110" s="14"/>
      <c r="M1110" s="4"/>
      <c r="N1110" s="147"/>
      <c r="O1110" s="147"/>
      <c r="Z1110" s="29"/>
    </row>
    <row r="1111">
      <c r="B1111" s="14"/>
      <c r="D1111" s="14"/>
      <c r="M1111" s="4"/>
      <c r="N1111" s="147"/>
      <c r="O1111" s="147"/>
      <c r="Z1111" s="29"/>
    </row>
    <row r="1112">
      <c r="B1112" s="14"/>
      <c r="D1112" s="14"/>
      <c r="M1112" s="4"/>
      <c r="N1112" s="147"/>
      <c r="O1112" s="147"/>
      <c r="Z1112" s="29"/>
    </row>
    <row r="1113">
      <c r="B1113" s="14"/>
      <c r="D1113" s="14"/>
      <c r="M1113" s="4"/>
      <c r="N1113" s="147"/>
      <c r="O1113" s="147"/>
      <c r="Z1113" s="29"/>
    </row>
    <row r="1114">
      <c r="B1114" s="14"/>
      <c r="D1114" s="14"/>
      <c r="M1114" s="4"/>
      <c r="N1114" s="147"/>
      <c r="O1114" s="147"/>
      <c r="Z1114" s="29"/>
    </row>
    <row r="1115">
      <c r="B1115" s="14"/>
      <c r="D1115" s="14"/>
      <c r="M1115" s="4"/>
      <c r="N1115" s="147"/>
      <c r="O1115" s="147"/>
      <c r="Z1115" s="29"/>
    </row>
    <row r="1116">
      <c r="B1116" s="14"/>
      <c r="D1116" s="14"/>
      <c r="M1116" s="4"/>
      <c r="N1116" s="147"/>
      <c r="O1116" s="147"/>
      <c r="Z1116" s="29"/>
    </row>
    <row r="1117">
      <c r="B1117" s="14"/>
      <c r="D1117" s="14"/>
      <c r="M1117" s="4"/>
      <c r="N1117" s="147"/>
      <c r="O1117" s="147"/>
      <c r="Z1117" s="29"/>
    </row>
    <row r="1118">
      <c r="B1118" s="14"/>
      <c r="D1118" s="14"/>
      <c r="M1118" s="4"/>
      <c r="N1118" s="147"/>
      <c r="O1118" s="147"/>
      <c r="Z1118" s="29"/>
    </row>
    <row r="1119">
      <c r="B1119" s="14"/>
      <c r="D1119" s="14"/>
      <c r="M1119" s="4"/>
      <c r="N1119" s="147"/>
      <c r="O1119" s="147"/>
      <c r="Z1119" s="29"/>
    </row>
    <row r="1120">
      <c r="B1120" s="14"/>
      <c r="D1120" s="14"/>
      <c r="M1120" s="4"/>
      <c r="N1120" s="147"/>
      <c r="O1120" s="147"/>
      <c r="Z1120" s="29"/>
    </row>
    <row r="1121">
      <c r="B1121" s="14"/>
      <c r="D1121" s="14"/>
      <c r="M1121" s="4"/>
      <c r="N1121" s="147"/>
      <c r="O1121" s="147"/>
      <c r="Z1121" s="29"/>
    </row>
    <row r="1122">
      <c r="B1122" s="14"/>
      <c r="D1122" s="14"/>
      <c r="M1122" s="4"/>
      <c r="N1122" s="147"/>
      <c r="O1122" s="147"/>
      <c r="Z1122" s="29"/>
    </row>
    <row r="1123">
      <c r="B1123" s="14"/>
      <c r="D1123" s="14"/>
      <c r="M1123" s="4"/>
      <c r="N1123" s="147"/>
      <c r="O1123" s="147"/>
      <c r="Z1123" s="29"/>
    </row>
    <row r="1124">
      <c r="B1124" s="14"/>
      <c r="D1124" s="14"/>
      <c r="M1124" s="4"/>
      <c r="N1124" s="147"/>
      <c r="O1124" s="147"/>
      <c r="Z1124" s="29"/>
    </row>
    <row r="1125">
      <c r="B1125" s="14"/>
      <c r="D1125" s="14"/>
      <c r="M1125" s="4"/>
      <c r="N1125" s="147"/>
      <c r="O1125" s="147"/>
      <c r="Z1125" s="29"/>
    </row>
    <row r="1126">
      <c r="B1126" s="14"/>
      <c r="D1126" s="14"/>
      <c r="M1126" s="4"/>
      <c r="N1126" s="147"/>
      <c r="O1126" s="147"/>
      <c r="Z1126" s="29"/>
    </row>
    <row r="1127">
      <c r="B1127" s="14"/>
      <c r="D1127" s="14"/>
      <c r="M1127" s="4"/>
      <c r="N1127" s="147"/>
      <c r="O1127" s="147"/>
      <c r="Z1127" s="29"/>
    </row>
    <row r="1128">
      <c r="B1128" s="14"/>
      <c r="D1128" s="14"/>
      <c r="M1128" s="4"/>
      <c r="N1128" s="147"/>
      <c r="O1128" s="147"/>
      <c r="Z1128" s="29"/>
    </row>
    <row r="1129">
      <c r="B1129" s="14"/>
      <c r="D1129" s="14"/>
      <c r="M1129" s="4"/>
      <c r="N1129" s="147"/>
      <c r="O1129" s="147"/>
      <c r="Z1129" s="29"/>
    </row>
    <row r="1130">
      <c r="B1130" s="14"/>
      <c r="D1130" s="14"/>
      <c r="M1130" s="4"/>
      <c r="N1130" s="147"/>
      <c r="O1130" s="147"/>
      <c r="Z1130" s="29"/>
    </row>
    <row r="1131">
      <c r="B1131" s="14"/>
      <c r="D1131" s="14"/>
      <c r="M1131" s="4"/>
      <c r="N1131" s="147"/>
      <c r="O1131" s="147"/>
      <c r="Z1131" s="29"/>
    </row>
    <row r="1132">
      <c r="B1132" s="14"/>
      <c r="D1132" s="14"/>
      <c r="M1132" s="4"/>
      <c r="N1132" s="147"/>
      <c r="O1132" s="147"/>
      <c r="Z1132" s="29"/>
    </row>
    <row r="1133">
      <c r="B1133" s="14"/>
      <c r="D1133" s="14"/>
      <c r="M1133" s="4"/>
      <c r="N1133" s="147"/>
      <c r="O1133" s="147"/>
      <c r="Z1133" s="29"/>
    </row>
    <row r="1134">
      <c r="B1134" s="14"/>
      <c r="D1134" s="14"/>
      <c r="M1134" s="4"/>
      <c r="N1134" s="147"/>
      <c r="O1134" s="147"/>
      <c r="Z1134" s="29"/>
    </row>
    <row r="1135">
      <c r="B1135" s="14"/>
      <c r="D1135" s="14"/>
      <c r="M1135" s="4"/>
      <c r="N1135" s="147"/>
      <c r="O1135" s="147"/>
      <c r="Z1135" s="29"/>
    </row>
    <row r="1136">
      <c r="B1136" s="14"/>
      <c r="D1136" s="14"/>
      <c r="M1136" s="4"/>
      <c r="N1136" s="147"/>
      <c r="O1136" s="147"/>
      <c r="Z1136" s="29"/>
    </row>
    <row r="1137">
      <c r="B1137" s="14"/>
      <c r="D1137" s="14"/>
      <c r="M1137" s="4"/>
      <c r="N1137" s="147"/>
      <c r="O1137" s="147"/>
      <c r="Z1137" s="29"/>
    </row>
    <row r="1138">
      <c r="B1138" s="14"/>
      <c r="D1138" s="14"/>
      <c r="M1138" s="4"/>
      <c r="N1138" s="147"/>
      <c r="O1138" s="147"/>
      <c r="Z1138" s="29"/>
    </row>
    <row r="1139">
      <c r="B1139" s="14"/>
      <c r="D1139" s="14"/>
      <c r="M1139" s="4"/>
      <c r="N1139" s="147"/>
      <c r="O1139" s="147"/>
      <c r="Z1139" s="29"/>
    </row>
    <row r="1140">
      <c r="B1140" s="14"/>
      <c r="D1140" s="14"/>
      <c r="M1140" s="4"/>
      <c r="N1140" s="147"/>
      <c r="O1140" s="147"/>
      <c r="Z1140" s="29"/>
    </row>
    <row r="1141">
      <c r="B1141" s="14"/>
      <c r="D1141" s="14"/>
      <c r="M1141" s="4"/>
      <c r="N1141" s="147"/>
      <c r="O1141" s="147"/>
      <c r="Z1141" s="29"/>
    </row>
    <row r="1142">
      <c r="B1142" s="14"/>
      <c r="D1142" s="14"/>
      <c r="M1142" s="4"/>
      <c r="N1142" s="147"/>
      <c r="O1142" s="147"/>
      <c r="Z1142" s="29"/>
    </row>
    <row r="1143">
      <c r="B1143" s="14"/>
      <c r="D1143" s="14"/>
      <c r="M1143" s="4"/>
      <c r="N1143" s="147"/>
      <c r="O1143" s="147"/>
      <c r="Z1143" s="29"/>
    </row>
    <row r="1144">
      <c r="B1144" s="14"/>
      <c r="D1144" s="14"/>
      <c r="M1144" s="4"/>
      <c r="N1144" s="147"/>
      <c r="O1144" s="147"/>
      <c r="Z1144" s="29"/>
    </row>
    <row r="1145">
      <c r="B1145" s="14"/>
      <c r="D1145" s="14"/>
      <c r="M1145" s="4"/>
      <c r="N1145" s="147"/>
      <c r="O1145" s="147"/>
      <c r="Z1145" s="29"/>
    </row>
    <row r="1146">
      <c r="B1146" s="14"/>
      <c r="D1146" s="14"/>
      <c r="M1146" s="4"/>
      <c r="N1146" s="147"/>
      <c r="O1146" s="147"/>
      <c r="Z1146" s="29"/>
    </row>
    <row r="1147">
      <c r="B1147" s="14"/>
      <c r="D1147" s="14"/>
      <c r="M1147" s="4"/>
      <c r="N1147" s="147"/>
      <c r="O1147" s="147"/>
      <c r="Z1147" s="29"/>
    </row>
    <row r="1148">
      <c r="B1148" s="14"/>
      <c r="D1148" s="14"/>
      <c r="M1148" s="4"/>
      <c r="N1148" s="147"/>
      <c r="O1148" s="147"/>
      <c r="Z1148" s="29"/>
    </row>
    <row r="1149">
      <c r="B1149" s="14"/>
      <c r="D1149" s="14"/>
      <c r="M1149" s="4"/>
      <c r="N1149" s="147"/>
      <c r="O1149" s="147"/>
      <c r="Z1149" s="29"/>
    </row>
    <row r="1150">
      <c r="B1150" s="14"/>
      <c r="D1150" s="14"/>
      <c r="M1150" s="4"/>
      <c r="N1150" s="147"/>
      <c r="O1150" s="147"/>
      <c r="Z1150" s="29"/>
    </row>
    <row r="1151">
      <c r="B1151" s="14"/>
      <c r="D1151" s="14"/>
      <c r="M1151" s="4"/>
      <c r="N1151" s="147"/>
      <c r="O1151" s="147"/>
      <c r="Z1151" s="29"/>
    </row>
    <row r="1152">
      <c r="B1152" s="14"/>
      <c r="D1152" s="14"/>
      <c r="M1152" s="4"/>
      <c r="N1152" s="147"/>
      <c r="O1152" s="147"/>
      <c r="Z1152" s="29"/>
    </row>
    <row r="1153">
      <c r="B1153" s="14"/>
      <c r="D1153" s="14"/>
      <c r="M1153" s="4"/>
      <c r="N1153" s="147"/>
      <c r="O1153" s="147"/>
      <c r="Z1153" s="29"/>
    </row>
    <row r="1154">
      <c r="B1154" s="14"/>
      <c r="D1154" s="14"/>
      <c r="M1154" s="4"/>
      <c r="N1154" s="147"/>
      <c r="O1154" s="147"/>
      <c r="Z1154" s="29"/>
    </row>
    <row r="1155">
      <c r="B1155" s="14"/>
      <c r="D1155" s="14"/>
      <c r="M1155" s="4"/>
      <c r="N1155" s="147"/>
      <c r="O1155" s="147"/>
      <c r="Z1155" s="29"/>
    </row>
    <row r="1156">
      <c r="B1156" s="14"/>
      <c r="D1156" s="14"/>
      <c r="M1156" s="4"/>
      <c r="N1156" s="147"/>
      <c r="O1156" s="147"/>
      <c r="Z1156" s="29"/>
    </row>
    <row r="1157">
      <c r="B1157" s="14"/>
      <c r="D1157" s="14"/>
      <c r="M1157" s="4"/>
      <c r="N1157" s="147"/>
      <c r="O1157" s="147"/>
      <c r="Z1157" s="29"/>
    </row>
    <row r="1158">
      <c r="B1158" s="14"/>
      <c r="D1158" s="14"/>
      <c r="M1158" s="4"/>
      <c r="N1158" s="147"/>
      <c r="O1158" s="147"/>
      <c r="Z1158" s="29"/>
    </row>
    <row r="1159">
      <c r="B1159" s="14"/>
      <c r="D1159" s="14"/>
      <c r="M1159" s="4"/>
      <c r="N1159" s="147"/>
      <c r="O1159" s="147"/>
      <c r="Z1159" s="29"/>
    </row>
    <row r="1160">
      <c r="B1160" s="14"/>
      <c r="D1160" s="14"/>
      <c r="M1160" s="4"/>
      <c r="N1160" s="147"/>
      <c r="O1160" s="147"/>
      <c r="Z1160" s="29"/>
    </row>
    <row r="1161">
      <c r="B1161" s="14"/>
      <c r="D1161" s="14"/>
      <c r="M1161" s="4"/>
      <c r="N1161" s="147"/>
      <c r="O1161" s="147"/>
      <c r="Z1161" s="29"/>
    </row>
    <row r="1162">
      <c r="B1162" s="14"/>
      <c r="D1162" s="14"/>
      <c r="M1162" s="4"/>
      <c r="N1162" s="147"/>
      <c r="O1162" s="147"/>
      <c r="Z1162" s="29"/>
    </row>
    <row r="1163">
      <c r="B1163" s="14"/>
      <c r="D1163" s="14"/>
      <c r="M1163" s="4"/>
      <c r="N1163" s="147"/>
      <c r="O1163" s="147"/>
      <c r="Z1163" s="29"/>
    </row>
    <row r="1164">
      <c r="B1164" s="14"/>
      <c r="D1164" s="14"/>
      <c r="M1164" s="4"/>
      <c r="N1164" s="147"/>
      <c r="O1164" s="147"/>
      <c r="Z1164" s="29"/>
    </row>
    <row r="1165">
      <c r="B1165" s="14"/>
      <c r="D1165" s="14"/>
      <c r="M1165" s="4"/>
      <c r="N1165" s="147"/>
      <c r="O1165" s="147"/>
      <c r="Z1165" s="29"/>
    </row>
    <row r="1166">
      <c r="B1166" s="14"/>
      <c r="D1166" s="14"/>
      <c r="M1166" s="4"/>
      <c r="N1166" s="147"/>
      <c r="O1166" s="147"/>
      <c r="Z1166" s="29"/>
    </row>
    <row r="1167">
      <c r="B1167" s="14"/>
      <c r="D1167" s="14"/>
      <c r="M1167" s="4"/>
      <c r="N1167" s="147"/>
      <c r="O1167" s="147"/>
      <c r="Z1167" s="29"/>
    </row>
    <row r="1168">
      <c r="B1168" s="14"/>
      <c r="D1168" s="14"/>
      <c r="M1168" s="4"/>
      <c r="N1168" s="147"/>
      <c r="O1168" s="147"/>
      <c r="Z1168" s="29"/>
    </row>
    <row r="1169">
      <c r="B1169" s="14"/>
      <c r="D1169" s="14"/>
      <c r="M1169" s="4"/>
      <c r="N1169" s="147"/>
      <c r="O1169" s="147"/>
      <c r="Z1169" s="29"/>
    </row>
    <row r="1170">
      <c r="B1170" s="14"/>
      <c r="D1170" s="14"/>
      <c r="M1170" s="4"/>
      <c r="N1170" s="147"/>
      <c r="O1170" s="147"/>
      <c r="Z1170" s="29"/>
    </row>
    <row r="1171">
      <c r="B1171" s="14"/>
      <c r="D1171" s="14"/>
      <c r="M1171" s="4"/>
      <c r="N1171" s="147"/>
      <c r="O1171" s="147"/>
      <c r="Z1171" s="29"/>
    </row>
    <row r="1172">
      <c r="B1172" s="14"/>
      <c r="D1172" s="14"/>
      <c r="M1172" s="4"/>
      <c r="N1172" s="147"/>
      <c r="O1172" s="147"/>
      <c r="Z1172" s="29"/>
    </row>
    <row r="1173">
      <c r="B1173" s="14"/>
      <c r="D1173" s="14"/>
      <c r="M1173" s="4"/>
      <c r="N1173" s="147"/>
      <c r="O1173" s="147"/>
      <c r="Z1173" s="29"/>
    </row>
    <row r="1174">
      <c r="B1174" s="14"/>
      <c r="D1174" s="14"/>
      <c r="M1174" s="4"/>
      <c r="N1174" s="147"/>
      <c r="O1174" s="147"/>
      <c r="Z1174" s="29"/>
    </row>
    <row r="1175">
      <c r="B1175" s="14"/>
      <c r="D1175" s="14"/>
      <c r="M1175" s="4"/>
      <c r="N1175" s="147"/>
      <c r="O1175" s="147"/>
      <c r="Z1175" s="29"/>
    </row>
    <row r="1176">
      <c r="B1176" s="14"/>
      <c r="D1176" s="14"/>
      <c r="M1176" s="4"/>
      <c r="N1176" s="147"/>
      <c r="O1176" s="147"/>
      <c r="Z1176" s="29"/>
    </row>
    <row r="1177">
      <c r="B1177" s="14"/>
      <c r="D1177" s="14"/>
      <c r="M1177" s="4"/>
      <c r="N1177" s="147"/>
      <c r="O1177" s="147"/>
      <c r="Z1177" s="29"/>
    </row>
    <row r="1178">
      <c r="B1178" s="14"/>
      <c r="D1178" s="14"/>
      <c r="M1178" s="4"/>
      <c r="N1178" s="147"/>
      <c r="O1178" s="147"/>
      <c r="Z1178" s="29"/>
    </row>
    <row r="1179">
      <c r="B1179" s="14"/>
      <c r="D1179" s="14"/>
      <c r="M1179" s="4"/>
      <c r="N1179" s="147"/>
      <c r="O1179" s="147"/>
      <c r="Z1179" s="29"/>
    </row>
    <row r="1180">
      <c r="B1180" s="14"/>
      <c r="D1180" s="14"/>
      <c r="M1180" s="4"/>
      <c r="N1180" s="147"/>
      <c r="O1180" s="147"/>
      <c r="Z1180" s="29"/>
    </row>
    <row r="1181">
      <c r="B1181" s="14"/>
      <c r="D1181" s="14"/>
      <c r="M1181" s="4"/>
      <c r="N1181" s="147"/>
      <c r="O1181" s="147"/>
      <c r="Z1181" s="29"/>
    </row>
    <row r="1182">
      <c r="B1182" s="14"/>
      <c r="D1182" s="14"/>
      <c r="M1182" s="4"/>
      <c r="N1182" s="147"/>
      <c r="O1182" s="147"/>
      <c r="Z1182" s="29"/>
    </row>
    <row r="1183">
      <c r="B1183" s="14"/>
      <c r="D1183" s="14"/>
      <c r="M1183" s="4"/>
      <c r="N1183" s="147"/>
      <c r="O1183" s="147"/>
      <c r="Z1183" s="29"/>
    </row>
    <row r="1184">
      <c r="B1184" s="14"/>
      <c r="D1184" s="14"/>
      <c r="M1184" s="4"/>
      <c r="N1184" s="147"/>
      <c r="O1184" s="147"/>
      <c r="Z1184" s="29"/>
    </row>
    <row r="1185">
      <c r="B1185" s="14"/>
      <c r="D1185" s="14"/>
      <c r="M1185" s="4"/>
      <c r="N1185" s="147"/>
      <c r="O1185" s="147"/>
      <c r="Z1185" s="29"/>
    </row>
    <row r="1186">
      <c r="B1186" s="14"/>
      <c r="D1186" s="14"/>
      <c r="M1186" s="4"/>
      <c r="N1186" s="147"/>
      <c r="O1186" s="147"/>
      <c r="Z1186" s="29"/>
    </row>
    <row r="1187">
      <c r="B1187" s="14"/>
      <c r="D1187" s="14"/>
      <c r="M1187" s="4"/>
      <c r="N1187" s="147"/>
      <c r="O1187" s="147"/>
      <c r="Z1187" s="29"/>
    </row>
    <row r="1188">
      <c r="B1188" s="14"/>
      <c r="D1188" s="14"/>
      <c r="M1188" s="4"/>
      <c r="N1188" s="147"/>
      <c r="O1188" s="147"/>
      <c r="Z1188" s="29"/>
    </row>
    <row r="1189">
      <c r="B1189" s="14"/>
      <c r="D1189" s="14"/>
      <c r="M1189" s="4"/>
      <c r="N1189" s="147"/>
      <c r="O1189" s="147"/>
      <c r="Z1189" s="29"/>
    </row>
    <row r="1190">
      <c r="B1190" s="14"/>
      <c r="D1190" s="14"/>
      <c r="M1190" s="4"/>
      <c r="N1190" s="147"/>
      <c r="O1190" s="147"/>
      <c r="Z1190" s="29"/>
    </row>
    <row r="1191">
      <c r="B1191" s="14"/>
      <c r="D1191" s="14"/>
      <c r="M1191" s="4"/>
      <c r="N1191" s="147"/>
      <c r="O1191" s="147"/>
      <c r="Z1191" s="29"/>
    </row>
    <row r="1192">
      <c r="B1192" s="14"/>
      <c r="D1192" s="14"/>
      <c r="M1192" s="4"/>
      <c r="N1192" s="147"/>
      <c r="O1192" s="147"/>
      <c r="Z1192" s="29"/>
    </row>
    <row r="1193">
      <c r="B1193" s="14"/>
      <c r="D1193" s="14"/>
      <c r="M1193" s="4"/>
      <c r="N1193" s="147"/>
      <c r="O1193" s="147"/>
      <c r="Z1193" s="29"/>
    </row>
    <row r="1194">
      <c r="B1194" s="14"/>
      <c r="D1194" s="14"/>
      <c r="M1194" s="4"/>
      <c r="N1194" s="147"/>
      <c r="O1194" s="147"/>
      <c r="Z1194" s="29"/>
    </row>
    <row r="1195">
      <c r="B1195" s="14"/>
      <c r="D1195" s="14"/>
      <c r="M1195" s="4"/>
      <c r="N1195" s="147"/>
      <c r="O1195" s="147"/>
      <c r="Z1195" s="29"/>
    </row>
    <row r="1196">
      <c r="B1196" s="14"/>
      <c r="D1196" s="14"/>
      <c r="M1196" s="4"/>
      <c r="N1196" s="147"/>
      <c r="O1196" s="147"/>
      <c r="Z1196" s="29"/>
    </row>
    <row r="1197">
      <c r="B1197" s="14"/>
      <c r="D1197" s="14"/>
      <c r="M1197" s="4"/>
      <c r="N1197" s="147"/>
      <c r="O1197" s="147"/>
      <c r="Z1197" s="29"/>
    </row>
    <row r="1198">
      <c r="B1198" s="14"/>
      <c r="D1198" s="14"/>
      <c r="M1198" s="4"/>
      <c r="N1198" s="147"/>
      <c r="O1198" s="147"/>
      <c r="Z1198" s="29"/>
    </row>
    <row r="1199">
      <c r="B1199" s="14"/>
      <c r="D1199" s="14"/>
      <c r="M1199" s="4"/>
      <c r="N1199" s="147"/>
      <c r="O1199" s="147"/>
      <c r="Z1199" s="29"/>
    </row>
    <row r="1200">
      <c r="B1200" s="14"/>
      <c r="D1200" s="14"/>
      <c r="M1200" s="4"/>
      <c r="N1200" s="147"/>
      <c r="O1200" s="147"/>
      <c r="Z1200" s="29"/>
    </row>
    <row r="1201">
      <c r="B1201" s="14"/>
      <c r="D1201" s="14"/>
      <c r="M1201" s="4"/>
      <c r="N1201" s="147"/>
      <c r="O1201" s="147"/>
      <c r="Z1201" s="29"/>
    </row>
    <row r="1202">
      <c r="B1202" s="14"/>
      <c r="D1202" s="14"/>
      <c r="M1202" s="4"/>
      <c r="N1202" s="147"/>
      <c r="O1202" s="147"/>
      <c r="Z1202" s="29"/>
    </row>
    <row r="1203">
      <c r="B1203" s="14"/>
      <c r="D1203" s="14"/>
      <c r="M1203" s="4"/>
      <c r="N1203" s="147"/>
      <c r="O1203" s="147"/>
      <c r="Z1203" s="29"/>
    </row>
    <row r="1204">
      <c r="B1204" s="14"/>
      <c r="D1204" s="14"/>
      <c r="M1204" s="4"/>
      <c r="N1204" s="147"/>
      <c r="O1204" s="147"/>
      <c r="Z1204" s="29"/>
    </row>
    <row r="1205">
      <c r="B1205" s="14"/>
      <c r="D1205" s="14"/>
      <c r="M1205" s="4"/>
      <c r="N1205" s="147"/>
      <c r="O1205" s="147"/>
      <c r="Z1205" s="29"/>
    </row>
    <row r="1206">
      <c r="B1206" s="14"/>
      <c r="D1206" s="14"/>
      <c r="M1206" s="4"/>
      <c r="N1206" s="147"/>
      <c r="O1206" s="147"/>
      <c r="Z1206" s="29"/>
    </row>
    <row r="1207">
      <c r="B1207" s="14"/>
      <c r="D1207" s="14"/>
      <c r="M1207" s="4"/>
      <c r="N1207" s="147"/>
      <c r="O1207" s="147"/>
      <c r="Z1207" s="29"/>
    </row>
    <row r="1208">
      <c r="B1208" s="14"/>
      <c r="D1208" s="14"/>
      <c r="M1208" s="4"/>
      <c r="N1208" s="147"/>
      <c r="O1208" s="147"/>
      <c r="Z1208" s="29"/>
    </row>
    <row r="1209">
      <c r="B1209" s="14"/>
      <c r="D1209" s="14"/>
      <c r="M1209" s="4"/>
      <c r="N1209" s="147"/>
      <c r="O1209" s="147"/>
      <c r="Z1209" s="29"/>
    </row>
    <row r="1210">
      <c r="B1210" s="14"/>
      <c r="D1210" s="14"/>
      <c r="M1210" s="4"/>
      <c r="N1210" s="147"/>
      <c r="O1210" s="147"/>
      <c r="Z1210" s="29"/>
    </row>
    <row r="1211">
      <c r="B1211" s="14"/>
      <c r="D1211" s="14"/>
      <c r="M1211" s="4"/>
      <c r="N1211" s="147"/>
      <c r="O1211" s="147"/>
      <c r="Z1211" s="29"/>
    </row>
    <row r="1212">
      <c r="B1212" s="14"/>
      <c r="D1212" s="14"/>
      <c r="M1212" s="4"/>
      <c r="N1212" s="147"/>
      <c r="O1212" s="147"/>
      <c r="Z1212" s="29"/>
    </row>
    <row r="1213">
      <c r="B1213" s="14"/>
      <c r="D1213" s="14"/>
      <c r="M1213" s="4"/>
      <c r="N1213" s="147"/>
      <c r="O1213" s="147"/>
      <c r="Z1213" s="29"/>
    </row>
    <row r="1214">
      <c r="B1214" s="14"/>
      <c r="D1214" s="14"/>
      <c r="M1214" s="4"/>
      <c r="N1214" s="147"/>
      <c r="O1214" s="147"/>
      <c r="Z1214" s="29"/>
    </row>
    <row r="1215">
      <c r="B1215" s="14"/>
      <c r="D1215" s="14"/>
      <c r="M1215" s="4"/>
      <c r="N1215" s="147"/>
      <c r="O1215" s="147"/>
      <c r="Z1215" s="29"/>
    </row>
    <row r="1216">
      <c r="B1216" s="14"/>
      <c r="D1216" s="14"/>
      <c r="M1216" s="4"/>
      <c r="N1216" s="147"/>
      <c r="O1216" s="147"/>
      <c r="Z1216" s="29"/>
    </row>
    <row r="1217">
      <c r="B1217" s="14"/>
      <c r="D1217" s="14"/>
      <c r="M1217" s="4"/>
      <c r="N1217" s="147"/>
      <c r="O1217" s="147"/>
      <c r="Z1217" s="29"/>
    </row>
    <row r="1218">
      <c r="B1218" s="14"/>
      <c r="D1218" s="14"/>
      <c r="M1218" s="4"/>
      <c r="N1218" s="147"/>
      <c r="O1218" s="147"/>
      <c r="Z1218" s="29"/>
    </row>
    <row r="1219">
      <c r="B1219" s="14"/>
      <c r="D1219" s="14"/>
      <c r="M1219" s="4"/>
      <c r="N1219" s="147"/>
      <c r="O1219" s="147"/>
      <c r="Z1219" s="29"/>
    </row>
    <row r="1220">
      <c r="B1220" s="14"/>
      <c r="D1220" s="14"/>
      <c r="M1220" s="4"/>
      <c r="N1220" s="147"/>
      <c r="O1220" s="147"/>
      <c r="Z1220" s="29"/>
    </row>
    <row r="1221">
      <c r="B1221" s="14"/>
      <c r="D1221" s="14"/>
      <c r="M1221" s="4"/>
      <c r="N1221" s="147"/>
      <c r="O1221" s="147"/>
      <c r="Z1221" s="29"/>
    </row>
    <row r="1222">
      <c r="B1222" s="14"/>
      <c r="D1222" s="14"/>
      <c r="M1222" s="4"/>
      <c r="N1222" s="147"/>
      <c r="O1222" s="147"/>
      <c r="Z1222" s="29"/>
    </row>
  </sheetData>
  <mergeCells count="1">
    <mergeCell ref="A1:E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8.71"/>
    <col customWidth="1" min="2" max="2" width="53.0"/>
  </cols>
  <sheetData>
    <row r="1">
      <c r="A1" s="1" t="s">
        <v>0</v>
      </c>
      <c r="B1" s="1" t="s">
        <v>60</v>
      </c>
    </row>
    <row r="2">
      <c r="A2" s="4" t="s">
        <v>61</v>
      </c>
      <c r="B2" s="4" t="s">
        <v>62</v>
      </c>
    </row>
    <row r="3">
      <c r="A3" s="4" t="s">
        <v>63</v>
      </c>
      <c r="B3" s="4" t="s">
        <v>65</v>
      </c>
    </row>
    <row r="4">
      <c r="A4" s="4" t="s">
        <v>67</v>
      </c>
      <c r="B4" s="4" t="s">
        <v>69</v>
      </c>
    </row>
    <row r="5">
      <c r="A5" s="4"/>
      <c r="B5" s="4"/>
    </row>
    <row r="6">
      <c r="A6" s="4"/>
      <c r="B6" s="4"/>
    </row>
    <row r="7">
      <c r="A7" s="4"/>
      <c r="B7" s="4"/>
    </row>
    <row r="8">
      <c r="A8" s="4"/>
      <c r="B8"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8.71"/>
    <col customWidth="1" min="2" max="2" width="13.14"/>
    <col customWidth="1" min="3" max="3" width="5.57"/>
    <col customWidth="1" min="4" max="5" width="5.71"/>
    <col customWidth="1" min="6" max="6" width="11.57"/>
    <col customWidth="1" min="7" max="7" width="15.14"/>
    <col customWidth="1" hidden="1" min="8" max="8" width="35.29"/>
  </cols>
  <sheetData>
    <row r="1">
      <c r="A1" s="1" t="s">
        <v>0</v>
      </c>
      <c r="B1" s="2" t="s">
        <v>84</v>
      </c>
      <c r="C1" s="2" t="s">
        <v>85</v>
      </c>
      <c r="D1" s="2" t="s">
        <v>2</v>
      </c>
      <c r="E1" s="2" t="s">
        <v>3</v>
      </c>
      <c r="F1" s="3" t="s">
        <v>86</v>
      </c>
      <c r="G1" s="1" t="s">
        <v>1</v>
      </c>
      <c r="H1" s="2" t="s">
        <v>87</v>
      </c>
    </row>
    <row r="2">
      <c r="A2" s="4" t="s">
        <v>88</v>
      </c>
      <c r="B2" s="20">
        <v>42675.0</v>
      </c>
      <c r="C2" s="11" t="s">
        <v>94</v>
      </c>
      <c r="D2" s="11" t="s">
        <v>49</v>
      </c>
      <c r="E2" s="11" t="s">
        <v>82</v>
      </c>
      <c r="H2" s="11"/>
    </row>
    <row r="3">
      <c r="A3" s="4" t="s">
        <v>67</v>
      </c>
      <c r="B3" s="20">
        <v>42640.0</v>
      </c>
      <c r="C3" s="11" t="s">
        <v>94</v>
      </c>
      <c r="D3" s="11" t="s">
        <v>96</v>
      </c>
      <c r="E3" s="11" t="s">
        <v>51</v>
      </c>
      <c r="H3" s="11" t="s">
        <v>98</v>
      </c>
    </row>
    <row r="4">
      <c r="A4" s="4" t="s">
        <v>44</v>
      </c>
      <c r="B4" s="20">
        <v>42600.0</v>
      </c>
      <c r="C4" s="11"/>
      <c r="D4" s="11" t="s">
        <v>49</v>
      </c>
      <c r="E4" s="11" t="s">
        <v>51</v>
      </c>
      <c r="H4" s="11" t="s">
        <v>101</v>
      </c>
    </row>
    <row r="5">
      <c r="A5" s="4" t="s">
        <v>63</v>
      </c>
      <c r="B5" s="20">
        <v>42599.0</v>
      </c>
      <c r="C5" s="11"/>
      <c r="D5" s="11" t="s">
        <v>103</v>
      </c>
      <c r="E5" s="11" t="s">
        <v>51</v>
      </c>
      <c r="H5" s="11" t="s">
        <v>104</v>
      </c>
    </row>
    <row r="6">
      <c r="A6" s="4" t="s">
        <v>61</v>
      </c>
      <c r="B6" s="20">
        <v>42522.0</v>
      </c>
      <c r="C6" s="11"/>
      <c r="D6" s="11" t="s">
        <v>49</v>
      </c>
      <c r="E6" s="11" t="s">
        <v>51</v>
      </c>
      <c r="H6" s="11" t="s">
        <v>105</v>
      </c>
    </row>
    <row r="7">
      <c r="A7" s="4" t="s">
        <v>106</v>
      </c>
      <c r="B7" s="20">
        <v>42506.0</v>
      </c>
      <c r="C7" s="11" t="s">
        <v>94</v>
      </c>
      <c r="D7" s="11" t="s">
        <v>108</v>
      </c>
      <c r="E7" s="11" t="s">
        <v>51</v>
      </c>
      <c r="F7" s="4"/>
      <c r="H7" s="11" t="s">
        <v>101</v>
      </c>
    </row>
    <row r="8">
      <c r="A8" s="4" t="s">
        <v>111</v>
      </c>
      <c r="B8" s="20">
        <v>42491.0</v>
      </c>
      <c r="C8" s="11"/>
      <c r="D8" s="11" t="s">
        <v>114</v>
      </c>
      <c r="E8" s="11" t="s">
        <v>51</v>
      </c>
      <c r="G8" s="20">
        <v>42583.0</v>
      </c>
      <c r="H8" s="11" t="s">
        <v>101</v>
      </c>
    </row>
    <row r="9">
      <c r="A9" s="4" t="s">
        <v>116</v>
      </c>
      <c r="B9" s="20">
        <v>42491.0</v>
      </c>
      <c r="C9" s="11" t="s">
        <v>94</v>
      </c>
      <c r="D9" s="11" t="s">
        <v>108</v>
      </c>
      <c r="E9" s="11" t="s">
        <v>51</v>
      </c>
      <c r="G9" s="20">
        <v>42552.0</v>
      </c>
      <c r="H9" s="11" t="s">
        <v>117</v>
      </c>
    </row>
    <row r="10">
      <c r="A10" s="4" t="s">
        <v>118</v>
      </c>
      <c r="B10" s="20">
        <v>42461.0</v>
      </c>
      <c r="C10" s="11"/>
      <c r="D10" s="11" t="s">
        <v>119</v>
      </c>
      <c r="E10" s="11" t="s">
        <v>51</v>
      </c>
      <c r="F10" s="20">
        <v>42545.0</v>
      </c>
      <c r="H10" s="11" t="s">
        <v>121</v>
      </c>
    </row>
    <row r="11">
      <c r="A11" s="4" t="s">
        <v>122</v>
      </c>
      <c r="B11" s="20">
        <v>42211.0</v>
      </c>
      <c r="C11" s="11"/>
      <c r="D11" s="11" t="s">
        <v>125</v>
      </c>
      <c r="E11" s="11" t="s">
        <v>75</v>
      </c>
      <c r="F11" s="20"/>
      <c r="G11" s="20">
        <v>42278.0</v>
      </c>
      <c r="H11" s="11" t="s">
        <v>127</v>
      </c>
    </row>
    <row r="12">
      <c r="A12" s="4" t="s">
        <v>129</v>
      </c>
      <c r="B12" s="20">
        <v>42130.0</v>
      </c>
      <c r="C12" s="11"/>
      <c r="D12" s="11" t="s">
        <v>130</v>
      </c>
      <c r="E12" s="11" t="s">
        <v>51</v>
      </c>
      <c r="F12" s="20"/>
      <c r="G12" s="10">
        <v>42138.0</v>
      </c>
      <c r="H12" s="11" t="s">
        <v>101</v>
      </c>
    </row>
    <row r="13">
      <c r="A13" s="4" t="s">
        <v>132</v>
      </c>
      <c r="B13" s="20">
        <v>42109.0</v>
      </c>
      <c r="C13" s="11"/>
      <c r="D13" s="11" t="s">
        <v>133</v>
      </c>
      <c r="E13" s="11" t="s">
        <v>51</v>
      </c>
      <c r="F13" s="20"/>
      <c r="G13" s="10">
        <v>42170.0</v>
      </c>
      <c r="H13" s="11" t="s">
        <v>101</v>
      </c>
    </row>
    <row r="14">
      <c r="A14" s="4" t="s">
        <v>134</v>
      </c>
      <c r="B14" s="20">
        <v>41852.0</v>
      </c>
      <c r="C14" s="11"/>
      <c r="D14" s="11" t="s">
        <v>114</v>
      </c>
      <c r="E14" s="11" t="s">
        <v>51</v>
      </c>
      <c r="F14" s="20">
        <v>42101.0</v>
      </c>
      <c r="H14" s="11" t="s">
        <v>136</v>
      </c>
    </row>
    <row r="15">
      <c r="A15" s="4" t="s">
        <v>137</v>
      </c>
      <c r="B15" s="20">
        <v>41834.0</v>
      </c>
      <c r="C15" s="11"/>
      <c r="D15" s="11" t="s">
        <v>138</v>
      </c>
      <c r="E15" s="11" t="s">
        <v>51</v>
      </c>
      <c r="F15" s="20">
        <v>41903.0</v>
      </c>
      <c r="H15" s="11" t="s">
        <v>140</v>
      </c>
    </row>
    <row r="16">
      <c r="A16" s="4" t="s">
        <v>141</v>
      </c>
      <c r="B16" s="20">
        <v>41791.0</v>
      </c>
      <c r="C16" s="11"/>
      <c r="D16" s="11" t="s">
        <v>142</v>
      </c>
      <c r="E16" s="11" t="s">
        <v>51</v>
      </c>
      <c r="F16" s="20"/>
      <c r="G16" s="10">
        <v>41899.0</v>
      </c>
      <c r="H16" s="11" t="s">
        <v>143</v>
      </c>
    </row>
    <row r="17">
      <c r="A17" s="4" t="s">
        <v>144</v>
      </c>
      <c r="B17" s="20">
        <v>41153.0</v>
      </c>
      <c r="C17" s="11"/>
      <c r="D17" s="11" t="s">
        <v>81</v>
      </c>
      <c r="E17" s="11" t="s">
        <v>51</v>
      </c>
      <c r="F17" s="20">
        <v>41374.0</v>
      </c>
      <c r="G17" s="10">
        <v>41388.0</v>
      </c>
      <c r="H17" s="11" t="s">
        <v>101</v>
      </c>
    </row>
    <row r="18">
      <c r="A18" s="4" t="s">
        <v>145</v>
      </c>
      <c r="B18" s="20">
        <v>41000.0</v>
      </c>
      <c r="C18" s="11"/>
      <c r="D18" s="11" t="s">
        <v>133</v>
      </c>
      <c r="E18" s="11" t="s">
        <v>51</v>
      </c>
      <c r="F18" s="20">
        <v>41106.0</v>
      </c>
      <c r="G18" s="10">
        <v>41144.0</v>
      </c>
      <c r="H18" s="11" t="s">
        <v>101</v>
      </c>
    </row>
    <row r="19">
      <c r="A19" s="4" t="s">
        <v>150</v>
      </c>
      <c r="B19" s="20">
        <v>39630.0</v>
      </c>
      <c r="C19" s="11"/>
      <c r="D19" s="11" t="s">
        <v>81</v>
      </c>
      <c r="E19" s="11" t="s">
        <v>51</v>
      </c>
      <c r="F19" s="20">
        <v>39706.0</v>
      </c>
      <c r="H19" s="11" t="s">
        <v>152</v>
      </c>
    </row>
    <row r="20">
      <c r="C20" s="14"/>
      <c r="D20" s="14"/>
      <c r="E20" s="14"/>
      <c r="H20" s="14"/>
    </row>
    <row r="21">
      <c r="C21" s="14"/>
      <c r="D21" s="14"/>
      <c r="E21" s="14"/>
      <c r="H21" s="14"/>
    </row>
    <row r="22">
      <c r="C22" s="14"/>
      <c r="D22" s="14"/>
      <c r="E22" s="14"/>
      <c r="H22" s="14"/>
    </row>
    <row r="23">
      <c r="C23" s="14"/>
      <c r="D23" s="14"/>
      <c r="E23" s="14"/>
      <c r="H23" s="14"/>
    </row>
    <row r="24">
      <c r="C24" s="14"/>
      <c r="D24" s="14"/>
      <c r="E24" s="14"/>
      <c r="H24" s="14"/>
    </row>
    <row r="25">
      <c r="C25" s="14"/>
      <c r="D25" s="14"/>
      <c r="E25" s="14"/>
      <c r="H25" s="14"/>
    </row>
    <row r="26">
      <c r="C26" s="14"/>
      <c r="D26" s="14"/>
      <c r="E26" s="14"/>
      <c r="H26" s="14"/>
    </row>
    <row r="27">
      <c r="C27" s="14"/>
      <c r="D27" s="14"/>
      <c r="E27" s="14"/>
      <c r="H27" s="14"/>
    </row>
    <row r="28">
      <c r="C28" s="14"/>
      <c r="D28" s="14"/>
      <c r="E28" s="14"/>
      <c r="H28" s="1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7.29"/>
    <col customWidth="1" min="2" max="2" width="15.29"/>
    <col customWidth="1" min="3" max="3" width="16.0"/>
    <col customWidth="1" hidden="1" min="5" max="5" width="19.43"/>
  </cols>
  <sheetData>
    <row r="1">
      <c r="A1" s="1" t="s">
        <v>0</v>
      </c>
      <c r="B1" s="1" t="s">
        <v>1</v>
      </c>
      <c r="C1" s="2" t="s">
        <v>166</v>
      </c>
      <c r="D1" s="23" t="s">
        <v>167</v>
      </c>
      <c r="E1" s="24" t="s">
        <v>171</v>
      </c>
    </row>
    <row r="2">
      <c r="A2" s="4" t="s">
        <v>173</v>
      </c>
      <c r="B2" s="10">
        <v>40544.0</v>
      </c>
      <c r="C2" s="11" t="s">
        <v>174</v>
      </c>
      <c r="D2" s="25">
        <f>MAX((B2-B3)/365, 1)</f>
        <v>1</v>
      </c>
      <c r="E2" s="26"/>
    </row>
    <row r="3">
      <c r="A3" s="4" t="s">
        <v>173</v>
      </c>
      <c r="B3" s="10">
        <v>40280.0</v>
      </c>
      <c r="C3" s="11"/>
      <c r="D3" s="25"/>
      <c r="E3" s="27" t="s">
        <v>182</v>
      </c>
    </row>
    <row r="4">
      <c r="A4" s="4" t="s">
        <v>184</v>
      </c>
      <c r="B4" s="10">
        <v>42544.0</v>
      </c>
      <c r="C4" s="11" t="s">
        <v>185</v>
      </c>
      <c r="D4" s="25">
        <f>MAX((B4-B5)/365, 1)</f>
        <v>4.479452055</v>
      </c>
      <c r="E4" s="26"/>
    </row>
    <row r="5">
      <c r="A5" s="4" t="s">
        <v>184</v>
      </c>
      <c r="B5" s="10">
        <v>40909.0</v>
      </c>
      <c r="C5" s="11"/>
      <c r="D5" s="25"/>
      <c r="E5" s="27" t="s">
        <v>182</v>
      </c>
    </row>
    <row r="6">
      <c r="A6" s="4" t="s">
        <v>190</v>
      </c>
      <c r="B6" s="10">
        <v>38643.0</v>
      </c>
      <c r="C6" s="11" t="s">
        <v>174</v>
      </c>
      <c r="D6" s="25">
        <f>MAX((B6-B7)/365, 1)</f>
        <v>10.22191781</v>
      </c>
      <c r="E6" s="26"/>
    </row>
    <row r="7">
      <c r="A7" s="4" t="s">
        <v>190</v>
      </c>
      <c r="B7" s="10">
        <v>34912.0</v>
      </c>
      <c r="C7" s="14"/>
      <c r="D7" s="25"/>
      <c r="E7" s="27" t="s">
        <v>182</v>
      </c>
    </row>
    <row r="8">
      <c r="A8" s="4" t="s">
        <v>194</v>
      </c>
      <c r="B8" s="10">
        <v>41451.0</v>
      </c>
      <c r="C8" s="11" t="s">
        <v>174</v>
      </c>
      <c r="D8" s="25">
        <f>MAX((B8-B9)/365, 1)</f>
        <v>1.131506849</v>
      </c>
      <c r="E8" s="28"/>
    </row>
    <row r="9">
      <c r="A9" s="4" t="s">
        <v>194</v>
      </c>
      <c r="B9" s="10">
        <v>41038.0</v>
      </c>
      <c r="C9" s="14"/>
      <c r="D9" s="25"/>
      <c r="E9" s="27" t="s">
        <v>182</v>
      </c>
    </row>
    <row r="10">
      <c r="A10" s="4" t="s">
        <v>199</v>
      </c>
      <c r="B10" s="10">
        <v>42580.0</v>
      </c>
      <c r="C10" s="11" t="s">
        <v>185</v>
      </c>
      <c r="D10" s="25">
        <f>MAX((B10-B11)/365, 1)</f>
        <v>4.578082192</v>
      </c>
      <c r="E10" s="28"/>
    </row>
    <row r="11">
      <c r="A11" s="4" t="s">
        <v>199</v>
      </c>
      <c r="B11" s="10">
        <v>40909.0</v>
      </c>
      <c r="C11" s="11"/>
      <c r="D11" s="25"/>
      <c r="E11" s="27" t="s">
        <v>182</v>
      </c>
    </row>
    <row r="12">
      <c r="A12" s="4" t="s">
        <v>203</v>
      </c>
      <c r="B12" s="10">
        <v>42439.0</v>
      </c>
      <c r="C12" s="11" t="s">
        <v>185</v>
      </c>
      <c r="D12" s="25">
        <f>MAX((B12-B13)/365, 1)</f>
        <v>3.660273973</v>
      </c>
      <c r="E12" s="28"/>
    </row>
    <row r="13">
      <c r="A13" s="4" t="s">
        <v>203</v>
      </c>
      <c r="B13" s="10">
        <v>41103.0</v>
      </c>
      <c r="C13" s="11"/>
      <c r="D13" s="25"/>
      <c r="E13" s="27" t="s">
        <v>206</v>
      </c>
    </row>
    <row r="14">
      <c r="A14" s="4" t="s">
        <v>207</v>
      </c>
      <c r="B14" s="10">
        <v>41275.0</v>
      </c>
      <c r="C14" s="11" t="s">
        <v>174</v>
      </c>
      <c r="D14" s="25">
        <f>MAX((B14-B15)/365, 1)</f>
        <v>1.002739726</v>
      </c>
      <c r="E14" s="28"/>
    </row>
    <row r="15">
      <c r="A15" s="4" t="s">
        <v>207</v>
      </c>
      <c r="B15" s="10">
        <v>40909.0</v>
      </c>
      <c r="C15" s="11"/>
      <c r="D15" s="25"/>
      <c r="E15" s="27" t="s">
        <v>182</v>
      </c>
    </row>
    <row r="16">
      <c r="A16" s="4" t="s">
        <v>212</v>
      </c>
      <c r="B16" s="10">
        <v>41719.0</v>
      </c>
      <c r="C16" s="11" t="s">
        <v>174</v>
      </c>
      <c r="D16" s="25">
        <f>MAX((B16-B17)/365, 1)</f>
        <v>1.747945205</v>
      </c>
      <c r="E16" s="28"/>
    </row>
    <row r="17">
      <c r="A17" s="4" t="s">
        <v>212</v>
      </c>
      <c r="B17" s="10">
        <v>41081.0</v>
      </c>
      <c r="C17" s="14"/>
      <c r="D17" s="25"/>
      <c r="E17" s="28" t="str">
        <f t="array" ref="E17">INDEX('TJ List'!O:O,MATCH(A17&amp;B17,'TJ List'!A:A&amp;'TJ List'!B:B,0))
</f>
        <v>Dr. James Andrews</v>
      </c>
    </row>
    <row r="18">
      <c r="A18" s="4" t="s">
        <v>236</v>
      </c>
      <c r="B18" s="10">
        <v>38718.0</v>
      </c>
      <c r="C18" s="11" t="s">
        <v>237</v>
      </c>
      <c r="D18" s="25">
        <f>MAX((B18-B19)/365, 1)</f>
        <v>1</v>
      </c>
      <c r="E18" s="28"/>
    </row>
    <row r="19">
      <c r="A19" s="4" t="s">
        <v>236</v>
      </c>
      <c r="B19" s="10">
        <v>38554.0</v>
      </c>
      <c r="C19" s="14"/>
      <c r="D19" s="25"/>
      <c r="E19" s="28" t="str">
        <f t="array" ref="E19">INDEX('TJ List'!O:O,MATCH(A19&amp;B19,'TJ List'!A:A&amp;'TJ List'!B:B,0))
</f>
        <v>Dr. Timothy Kremchek</v>
      </c>
    </row>
    <row r="20">
      <c r="A20" s="4" t="s">
        <v>257</v>
      </c>
      <c r="B20" s="10">
        <v>41018.0</v>
      </c>
      <c r="C20" s="11" t="s">
        <v>174</v>
      </c>
      <c r="D20" s="25">
        <f>MAX((B20-B21)/365, 1)</f>
        <v>9.304109589</v>
      </c>
      <c r="E20" s="28"/>
    </row>
    <row r="21">
      <c r="A21" s="4" t="s">
        <v>257</v>
      </c>
      <c r="B21" s="10">
        <v>37622.0</v>
      </c>
      <c r="C21" s="14"/>
      <c r="D21" s="25"/>
      <c r="E21" s="27" t="s">
        <v>182</v>
      </c>
    </row>
    <row r="22">
      <c r="A22" s="4" t="s">
        <v>262</v>
      </c>
      <c r="B22" s="10">
        <v>38899.0</v>
      </c>
      <c r="C22" s="11" t="s">
        <v>237</v>
      </c>
      <c r="D22" s="25">
        <f>MAX((B22-B23)/365, 1)</f>
        <v>1.139726027</v>
      </c>
      <c r="E22" s="28"/>
    </row>
    <row r="23">
      <c r="A23" s="4" t="s">
        <v>262</v>
      </c>
      <c r="B23" s="10">
        <v>38483.0</v>
      </c>
      <c r="C23" s="14"/>
      <c r="D23" s="25"/>
      <c r="E23" s="28" t="str">
        <f t="array" ref="E23">INDEX('TJ List'!O:O,MATCH(A23&amp;B23,'TJ List'!A:A&amp;'TJ List'!B:B,0))
</f>
        <v>Dr. Lewis Yocum</v>
      </c>
    </row>
    <row r="24">
      <c r="A24" s="4" t="s">
        <v>284</v>
      </c>
      <c r="B24" s="10">
        <v>36368.0</v>
      </c>
      <c r="C24" s="11" t="s">
        <v>174</v>
      </c>
      <c r="D24" s="25">
        <f>MAX((B24-B25)/365, 1)</f>
        <v>3.071232877</v>
      </c>
      <c r="E24" s="28"/>
    </row>
    <row r="25">
      <c r="A25" s="4" t="s">
        <v>284</v>
      </c>
      <c r="B25" s="10">
        <v>35247.0</v>
      </c>
      <c r="C25" s="14"/>
      <c r="D25" s="25"/>
      <c r="E25" s="28" t="str">
        <f t="array" ref="E25">INDEX('TJ List'!O:O,MATCH(A25&amp;B25,'TJ List'!A:A&amp;'TJ List'!B:B,0))
</f>
        <v>Dr. James Andrews</v>
      </c>
    </row>
    <row r="26">
      <c r="A26" s="4" t="s">
        <v>303</v>
      </c>
      <c r="B26" s="10">
        <v>41091.0</v>
      </c>
      <c r="C26" s="11" t="s">
        <v>174</v>
      </c>
      <c r="D26" s="25">
        <f>MAX((B26-B27)/365, 1)</f>
        <v>7.501369863</v>
      </c>
      <c r="E26" s="28"/>
    </row>
    <row r="27">
      <c r="A27" s="4" t="s">
        <v>303</v>
      </c>
      <c r="B27" s="10">
        <v>38353.0</v>
      </c>
      <c r="C27" s="11"/>
      <c r="D27" s="25"/>
      <c r="E27" s="31" t="s">
        <v>182</v>
      </c>
    </row>
    <row r="28">
      <c r="A28" s="4" t="s">
        <v>310</v>
      </c>
      <c r="B28" s="10">
        <v>39583.0</v>
      </c>
      <c r="C28" s="11" t="s">
        <v>174</v>
      </c>
      <c r="D28" s="25">
        <f>MAX((B28-B29)/365, 1)</f>
        <v>6</v>
      </c>
      <c r="E28" s="28"/>
    </row>
    <row r="29">
      <c r="A29" s="4" t="s">
        <v>310</v>
      </c>
      <c r="B29" s="10">
        <v>37393.0</v>
      </c>
      <c r="C29" s="14"/>
      <c r="D29" s="25"/>
      <c r="E29" s="28" t="str">
        <f t="array" ref="E29">INDEX('TJ List'!O:O,MATCH(A29&amp;B29,'TJ List'!A:A&amp;'TJ List'!B:B,0))
</f>
        <v>Dr. James Andrews</v>
      </c>
    </row>
    <row r="30">
      <c r="A30" s="4" t="s">
        <v>335</v>
      </c>
      <c r="B30" s="10">
        <v>40288.0</v>
      </c>
      <c r="C30" s="11" t="s">
        <v>174</v>
      </c>
      <c r="D30" s="25">
        <f>MAX((B30-B31)/365, 1)</f>
        <v>4.301369863</v>
      </c>
      <c r="E30" s="28"/>
    </row>
    <row r="31">
      <c r="A31" s="4" t="s">
        <v>335</v>
      </c>
      <c r="B31" s="10">
        <v>38718.0</v>
      </c>
      <c r="C31" s="14"/>
      <c r="D31" s="25"/>
      <c r="E31" s="27" t="s">
        <v>182</v>
      </c>
    </row>
    <row r="32">
      <c r="A32" s="4" t="s">
        <v>338</v>
      </c>
      <c r="B32" s="10">
        <v>42005.0</v>
      </c>
      <c r="C32" s="11" t="s">
        <v>174</v>
      </c>
      <c r="D32" s="25">
        <f>MAX((B32-B33)/365, 1)</f>
        <v>3.756164384</v>
      </c>
      <c r="E32" s="28"/>
    </row>
    <row r="33">
      <c r="A33" s="4" t="s">
        <v>338</v>
      </c>
      <c r="B33" s="10">
        <v>40634.0</v>
      </c>
      <c r="C33" s="11"/>
      <c r="D33" s="25"/>
      <c r="E33" s="27" t="s">
        <v>182</v>
      </c>
    </row>
    <row r="34">
      <c r="A34" s="4" t="s">
        <v>340</v>
      </c>
      <c r="B34" s="10">
        <v>41688.0</v>
      </c>
      <c r="C34" s="11" t="s">
        <v>174</v>
      </c>
      <c r="D34" s="25">
        <f>MAX((B34-B35)/365, 1)</f>
        <v>1.742465753</v>
      </c>
      <c r="E34" s="28"/>
    </row>
    <row r="35">
      <c r="A35" s="4" t="s">
        <v>340</v>
      </c>
      <c r="B35" s="10">
        <v>41052.0</v>
      </c>
      <c r="C35" s="14"/>
      <c r="D35" s="25"/>
      <c r="E35" s="28" t="str">
        <f t="array" ref="E35">INDEX('TJ List'!O:O,MATCH(A35&amp;B35,'TJ List'!A:A&amp;'TJ List'!B:B,0))
</f>
        <v>Dr. Lewis Yocum</v>
      </c>
    </row>
    <row r="36">
      <c r="A36" s="4" t="s">
        <v>360</v>
      </c>
      <c r="B36" s="10">
        <v>41443.0</v>
      </c>
      <c r="C36" s="11" t="s">
        <v>174</v>
      </c>
      <c r="D36" s="25">
        <f>MAX((B36-B37)/365, 1)</f>
        <v>1</v>
      </c>
      <c r="E36" s="28"/>
    </row>
    <row r="37">
      <c r="A37" s="4" t="s">
        <v>360</v>
      </c>
      <c r="B37" s="10">
        <v>41099.0</v>
      </c>
      <c r="C37" s="14"/>
      <c r="D37" s="25"/>
      <c r="E37" s="28" t="str">
        <f t="array" ref="E37">INDEX('TJ List'!O:O,MATCH(A37&amp;B37,'TJ List'!A:A&amp;'TJ List'!B:B,0))
</f>
        <v>Dr. Lewis Yocum</v>
      </c>
    </row>
    <row r="38">
      <c r="A38" s="4" t="s">
        <v>377</v>
      </c>
      <c r="B38" s="10">
        <v>37081.0</v>
      </c>
      <c r="C38" s="11" t="s">
        <v>174</v>
      </c>
      <c r="D38" s="25">
        <f>MAX((B38-B39)/365, 1)</f>
        <v>6.326027397</v>
      </c>
      <c r="E38" s="28"/>
    </row>
    <row r="39">
      <c r="A39" s="4" t="s">
        <v>377</v>
      </c>
      <c r="B39" s="10">
        <v>34772.0</v>
      </c>
      <c r="C39" s="14"/>
      <c r="D39" s="25"/>
      <c r="E39" s="28" t="str">
        <f t="array" ref="E39">INDEX('TJ List'!O:O,MATCH(A39&amp;B39,'TJ List'!A:A&amp;'TJ List'!B:B,0))
</f>
        <v>Dr. Frank Jobe</v>
      </c>
    </row>
    <row r="40">
      <c r="A40" s="4" t="s">
        <v>395</v>
      </c>
      <c r="B40" s="10">
        <v>37370.0</v>
      </c>
      <c r="C40" s="11" t="s">
        <v>237</v>
      </c>
      <c r="D40" s="25">
        <f>MAX((B40-B41)/365, 1)</f>
        <v>1</v>
      </c>
      <c r="E40" s="28"/>
    </row>
    <row r="41">
      <c r="A41" s="4" t="s">
        <v>395</v>
      </c>
      <c r="B41" s="10">
        <v>37012.0</v>
      </c>
      <c r="C41" s="14"/>
      <c r="D41" s="25"/>
      <c r="E41" s="28" t="str">
        <f t="array" ref="E41">INDEX('TJ List'!O:O,MATCH(A41&amp;B41,'TJ List'!A:A&amp;'TJ List'!B:B,0))
</f>
        <v>Dr. James Andrews</v>
      </c>
    </row>
    <row r="42">
      <c r="A42" s="4" t="s">
        <v>418</v>
      </c>
      <c r="B42" s="10">
        <v>39083.0</v>
      </c>
      <c r="C42" s="11" t="s">
        <v>174</v>
      </c>
      <c r="D42" s="25">
        <f>MAX((B42-B43)/365, 1)</f>
        <v>1</v>
      </c>
      <c r="E42" s="28"/>
    </row>
    <row r="43">
      <c r="A43" s="4" t="s">
        <v>418</v>
      </c>
      <c r="B43" s="10">
        <v>38718.0</v>
      </c>
      <c r="C43" s="14"/>
      <c r="D43" s="25"/>
      <c r="E43" s="27" t="s">
        <v>182</v>
      </c>
    </row>
    <row r="44">
      <c r="A44" s="4" t="s">
        <v>421</v>
      </c>
      <c r="B44" s="10">
        <v>38534.0</v>
      </c>
      <c r="C44" s="11" t="s">
        <v>237</v>
      </c>
      <c r="D44" s="25">
        <f>MAX((B44-B45)/365, 1)</f>
        <v>2.326027397</v>
      </c>
      <c r="E44" s="28"/>
    </row>
    <row r="45">
      <c r="A45" s="4" t="s">
        <v>421</v>
      </c>
      <c r="B45" s="10">
        <v>37685.0</v>
      </c>
      <c r="C45" s="14"/>
      <c r="D45" s="25"/>
      <c r="E45" s="27" t="s">
        <v>182</v>
      </c>
    </row>
    <row r="46">
      <c r="A46" s="4" t="s">
        <v>424</v>
      </c>
      <c r="B46" s="10">
        <v>37500.0</v>
      </c>
      <c r="C46" s="11" t="s">
        <v>174</v>
      </c>
      <c r="D46" s="25">
        <f>MAX((B46-B47)/365, 1)</f>
        <v>1.347945205</v>
      </c>
      <c r="E46" s="28"/>
    </row>
    <row r="47">
      <c r="A47" s="4" t="s">
        <v>424</v>
      </c>
      <c r="B47" s="10">
        <v>37008.0</v>
      </c>
      <c r="C47" s="14"/>
      <c r="D47" s="25"/>
      <c r="E47" s="28" t="str">
        <f t="array" ref="E47">INDEX('TJ List'!O:O,MATCH(A47&amp;B47,'TJ List'!A:A&amp;'TJ List'!B:B,0))
</f>
        <v>Dr. Thomas Mehlhoff</v>
      </c>
    </row>
    <row r="48">
      <c r="A48" s="4" t="s">
        <v>443</v>
      </c>
      <c r="B48" s="10">
        <v>41640.0</v>
      </c>
      <c r="C48" s="11" t="s">
        <v>185</v>
      </c>
      <c r="D48" s="25">
        <f>MAX((B48-B49)/365, 1)</f>
        <v>5.421917808</v>
      </c>
      <c r="E48" s="28"/>
    </row>
    <row r="49">
      <c r="A49" s="4" t="s">
        <v>443</v>
      </c>
      <c r="B49" s="10">
        <v>39661.0</v>
      </c>
      <c r="C49" s="11"/>
      <c r="D49" s="25"/>
      <c r="E49" s="27" t="s">
        <v>182</v>
      </c>
    </row>
    <row r="50">
      <c r="A50" s="4" t="s">
        <v>447</v>
      </c>
      <c r="B50" s="10">
        <v>41395.0</v>
      </c>
      <c r="C50" s="11" t="s">
        <v>174</v>
      </c>
      <c r="D50" s="25">
        <f>MAX((B50-B51)/365, 1)</f>
        <v>1.750684932</v>
      </c>
      <c r="E50" s="28"/>
    </row>
    <row r="51">
      <c r="A51" s="4" t="s">
        <v>447</v>
      </c>
      <c r="B51" s="10">
        <v>40756.0</v>
      </c>
      <c r="C51" s="14"/>
      <c r="D51" s="25"/>
      <c r="E51" s="27" t="s">
        <v>182</v>
      </c>
    </row>
    <row r="52">
      <c r="A52" s="4" t="s">
        <v>452</v>
      </c>
      <c r="B52" s="10">
        <v>34191.0</v>
      </c>
      <c r="C52" s="11" t="s">
        <v>174</v>
      </c>
      <c r="D52" s="25">
        <f>MAX((B52-B53)/365, 1)</f>
        <v>2.608219178</v>
      </c>
      <c r="E52" s="28"/>
    </row>
    <row r="53">
      <c r="A53" s="4" t="s">
        <v>452</v>
      </c>
      <c r="B53" s="10">
        <v>33239.0</v>
      </c>
      <c r="C53" s="11"/>
      <c r="D53" s="25"/>
      <c r="E53" s="27" t="s">
        <v>182</v>
      </c>
    </row>
    <row r="54">
      <c r="A54" s="4" t="s">
        <v>454</v>
      </c>
      <c r="B54" s="10">
        <v>37622.0</v>
      </c>
      <c r="C54" s="11" t="s">
        <v>174</v>
      </c>
      <c r="D54" s="25">
        <f>MAX((B54-B55)/365, 1)</f>
        <v>3.002739726</v>
      </c>
      <c r="E54" s="28"/>
    </row>
    <row r="55">
      <c r="A55" s="4" t="s">
        <v>454</v>
      </c>
      <c r="B55" s="10">
        <v>36526.0</v>
      </c>
      <c r="C55" s="14"/>
      <c r="D55" s="25"/>
      <c r="E55" s="27" t="s">
        <v>182</v>
      </c>
    </row>
    <row r="56">
      <c r="A56" s="4" t="s">
        <v>457</v>
      </c>
      <c r="B56" s="10">
        <v>42173.0</v>
      </c>
      <c r="C56" s="11" t="s">
        <v>185</v>
      </c>
      <c r="D56" s="25">
        <f>MAX((B56-B57)/365, 1)</f>
        <v>3.046575342</v>
      </c>
      <c r="E56" s="28"/>
    </row>
    <row r="57">
      <c r="A57" s="4" t="s">
        <v>457</v>
      </c>
      <c r="B57" s="10">
        <v>41061.0</v>
      </c>
      <c r="C57" s="11"/>
      <c r="D57" s="25"/>
      <c r="E57" s="27" t="s">
        <v>182</v>
      </c>
    </row>
    <row r="58">
      <c r="A58" s="4" t="s">
        <v>460</v>
      </c>
      <c r="B58" s="10">
        <v>41722.0</v>
      </c>
      <c r="C58" s="11" t="s">
        <v>185</v>
      </c>
      <c r="D58" s="25">
        <f>MAX((B58-B59)/365, 1)</f>
        <v>4.405479452</v>
      </c>
      <c r="E58" s="28"/>
    </row>
    <row r="59">
      <c r="A59" s="4" t="s">
        <v>460</v>
      </c>
      <c r="B59" s="10">
        <v>40114.0</v>
      </c>
      <c r="C59" s="14"/>
      <c r="D59" s="25"/>
      <c r="E59" s="28" t="str">
        <f t="array" ref="E59">INDEX('TJ List'!O:O,MATCH(A59&amp;B59,'TJ List'!A:A&amp;'TJ List'!B:B,0))
</f>
        <v>Dr. James Andrews</v>
      </c>
    </row>
    <row r="60">
      <c r="A60" s="4" t="s">
        <v>472</v>
      </c>
      <c r="B60" s="10">
        <v>36892.0</v>
      </c>
      <c r="C60" s="11" t="s">
        <v>174</v>
      </c>
      <c r="D60" s="25">
        <f>MAX((B60-B61)/365, 1)</f>
        <v>3.002739726</v>
      </c>
      <c r="E60" s="28"/>
    </row>
    <row r="61">
      <c r="A61" s="4" t="s">
        <v>472</v>
      </c>
      <c r="B61" s="10">
        <v>35796.0</v>
      </c>
      <c r="C61" s="14"/>
      <c r="D61" s="25"/>
      <c r="E61" s="27" t="s">
        <v>182</v>
      </c>
    </row>
    <row r="62">
      <c r="A62" s="4" t="s">
        <v>473</v>
      </c>
      <c r="B62" s="10">
        <v>39980.0</v>
      </c>
      <c r="C62" s="11" t="s">
        <v>174</v>
      </c>
      <c r="D62" s="25">
        <f>MAX((B62-B63)/365, 1)</f>
        <v>11.43013699</v>
      </c>
      <c r="E62" s="28"/>
    </row>
    <row r="63">
      <c r="A63" s="4" t="s">
        <v>473</v>
      </c>
      <c r="B63" s="10">
        <v>35808.0</v>
      </c>
      <c r="C63" s="14"/>
      <c r="D63" s="25"/>
      <c r="E63" s="28" t="str">
        <f t="array" ref="E63">INDEX('TJ List'!O:O,MATCH(A63&amp;B63,'TJ List'!A:A&amp;'TJ List'!B:B,0))
</f>
        <v>Dr. David Altchek</v>
      </c>
    </row>
    <row r="64">
      <c r="A64" s="4" t="s">
        <v>489</v>
      </c>
      <c r="B64" s="10">
        <v>41640.0</v>
      </c>
      <c r="C64" s="11" t="s">
        <v>185</v>
      </c>
      <c r="D64" s="25">
        <f>MAX((B64-B65)/365, 1)</f>
        <v>8.005479452</v>
      </c>
      <c r="E64" s="28"/>
    </row>
    <row r="65">
      <c r="A65" s="4" t="s">
        <v>489</v>
      </c>
      <c r="B65" s="10">
        <v>38718.0</v>
      </c>
      <c r="C65" s="11"/>
      <c r="D65" s="25"/>
      <c r="E65" s="27" t="s">
        <v>182</v>
      </c>
    </row>
    <row r="66">
      <c r="A66" s="4" t="s">
        <v>493</v>
      </c>
      <c r="B66" s="10">
        <v>41921.0</v>
      </c>
      <c r="C66" s="11" t="s">
        <v>185</v>
      </c>
      <c r="D66" s="25">
        <f>MAX((B66-B67)/365, 1)</f>
        <v>1.115068493</v>
      </c>
      <c r="E66" s="28"/>
    </row>
    <row r="67">
      <c r="A67" s="4" t="s">
        <v>493</v>
      </c>
      <c r="B67" s="10">
        <v>41514.0</v>
      </c>
      <c r="C67" s="11"/>
      <c r="D67" s="25"/>
      <c r="E67" s="28" t="str">
        <f t="array" ref="E67">INDEX('TJ List'!O:O,MATCH(A67&amp;B67,'TJ List'!A:A&amp;'TJ List'!B:B,0))
</f>
        <v>Dr. David Altchek</v>
      </c>
    </row>
    <row r="68">
      <c r="A68" s="4" t="s">
        <v>508</v>
      </c>
      <c r="B68" s="10">
        <v>41001.0</v>
      </c>
      <c r="C68" s="11" t="s">
        <v>174</v>
      </c>
      <c r="D68" s="25">
        <f>MAX((B68-B69)/365, 1)</f>
        <v>9.257534247</v>
      </c>
      <c r="E68" s="28"/>
    </row>
    <row r="69">
      <c r="A69" s="4" t="s">
        <v>508</v>
      </c>
      <c r="B69" s="10">
        <v>37622.0</v>
      </c>
      <c r="C69" s="14"/>
      <c r="D69" s="25"/>
      <c r="E69" s="28" t="str">
        <f t="array" ref="E69">INDEX('TJ List'!O:O,MATCH(A69&amp;B69,'TJ List'!A:A&amp;'TJ List'!B:B,0))
</f>
        <v>Dr. Frank Jobe</v>
      </c>
    </row>
    <row r="70">
      <c r="A70" s="4" t="s">
        <v>526</v>
      </c>
      <c r="B70" s="10">
        <v>42123.0</v>
      </c>
      <c r="C70" s="11" t="s">
        <v>174</v>
      </c>
      <c r="D70" s="25">
        <f>MAX((B70-B71)/365, 1)</f>
        <v>5.095890411</v>
      </c>
      <c r="E70" s="28"/>
    </row>
    <row r="71">
      <c r="A71" s="4" t="s">
        <v>526</v>
      </c>
      <c r="B71" s="10">
        <v>40263.0</v>
      </c>
      <c r="C71" s="11"/>
      <c r="D71" s="25"/>
      <c r="E71" s="28" t="str">
        <f t="array" ref="E71">INDEX('TJ List'!O:O,MATCH(A71&amp;B71,'TJ List'!A:A&amp;'TJ List'!B:B,0))
</f>
        <v>Dr. David Altchek</v>
      </c>
    </row>
    <row r="72">
      <c r="A72" s="4" t="s">
        <v>538</v>
      </c>
      <c r="B72" s="10">
        <v>42081.0</v>
      </c>
      <c r="C72" s="11" t="s">
        <v>237</v>
      </c>
      <c r="D72" s="25">
        <f>MAX((B72-B73)/365, 1)</f>
        <v>1.838356164</v>
      </c>
      <c r="E72" s="28"/>
    </row>
    <row r="73">
      <c r="A73" s="4" t="s">
        <v>538</v>
      </c>
      <c r="B73" s="10">
        <v>41410.0</v>
      </c>
      <c r="C73" s="11"/>
      <c r="D73" s="25"/>
      <c r="E73" s="28" t="str">
        <f t="array" ref="E73">INDEX('TJ List'!O:O,MATCH(A73&amp;B73,'TJ List'!A:A&amp;'TJ List'!B:B,0))
</f>
        <v>Dr. James Andrews</v>
      </c>
    </row>
    <row r="74">
      <c r="A74" s="4" t="s">
        <v>559</v>
      </c>
      <c r="B74" s="10">
        <v>41009.0</v>
      </c>
      <c r="C74" s="11" t="s">
        <v>185</v>
      </c>
      <c r="D74" s="25">
        <f>MAX((B74-B75)/365, 1)</f>
        <v>2.97260274</v>
      </c>
      <c r="E74" s="28"/>
    </row>
    <row r="75">
      <c r="A75" s="4" t="s">
        <v>559</v>
      </c>
      <c r="B75" s="10">
        <v>39924.0</v>
      </c>
      <c r="C75" s="14"/>
      <c r="D75" s="25"/>
      <c r="E75" s="28" t="str">
        <f t="array" ref="E75">INDEX('TJ List'!O:O,MATCH(A75&amp;B75,'TJ List'!A:A&amp;'TJ List'!B:B,0))
</f>
        <v>Dr. James Andrews</v>
      </c>
    </row>
    <row r="76">
      <c r="A76" s="4" t="s">
        <v>570</v>
      </c>
      <c r="B76" s="10">
        <v>40736.0</v>
      </c>
      <c r="C76" s="11" t="s">
        <v>174</v>
      </c>
      <c r="D76" s="25">
        <f>MAX((B76-B77)/365, 1)</f>
        <v>1.364383562</v>
      </c>
      <c r="E76" s="28"/>
    </row>
    <row r="77">
      <c r="A77" s="4" t="s">
        <v>570</v>
      </c>
      <c r="B77" s="10">
        <v>40238.0</v>
      </c>
      <c r="C77" s="14"/>
      <c r="D77" s="25"/>
      <c r="E77" s="27" t="s">
        <v>182</v>
      </c>
    </row>
    <row r="78">
      <c r="A78" s="4" t="s">
        <v>141</v>
      </c>
      <c r="B78" s="10">
        <v>41899.0</v>
      </c>
      <c r="C78" s="11" t="s">
        <v>185</v>
      </c>
      <c r="D78" s="25">
        <f t="shared" ref="D78:D79" si="1">MAX((B78-B79)/365, 1)</f>
        <v>1.339726027</v>
      </c>
      <c r="E78" s="28"/>
    </row>
    <row r="79">
      <c r="A79" s="4" t="s">
        <v>141</v>
      </c>
      <c r="B79" s="10">
        <v>41410.0</v>
      </c>
      <c r="C79" s="11" t="s">
        <v>237</v>
      </c>
      <c r="D79" s="25">
        <f t="shared" si="1"/>
        <v>8.375342466</v>
      </c>
      <c r="E79" s="28" t="str">
        <f t="array" ref="E79">INDEX('TJ List'!O:O,MATCH(A79&amp;B79,'TJ List'!A:A&amp;'TJ List'!B:B,0))
</f>
        <v>Dr. James Andrews</v>
      </c>
    </row>
    <row r="80">
      <c r="A80" s="4" t="s">
        <v>141</v>
      </c>
      <c r="B80" s="10">
        <v>38353.0</v>
      </c>
      <c r="C80" s="14"/>
      <c r="D80" s="25"/>
      <c r="E80" s="27" t="s">
        <v>182</v>
      </c>
    </row>
    <row r="81">
      <c r="A81" s="4" t="s">
        <v>589</v>
      </c>
      <c r="B81" s="10">
        <v>41030.0</v>
      </c>
      <c r="C81" s="11" t="s">
        <v>185</v>
      </c>
      <c r="D81" s="25">
        <f>MAX((B81-B82)/365, 1)</f>
        <v>10.3369863</v>
      </c>
      <c r="E81" s="28"/>
    </row>
    <row r="82">
      <c r="A82" s="4" t="s">
        <v>589</v>
      </c>
      <c r="B82" s="10">
        <v>37257.0</v>
      </c>
      <c r="C82" s="11"/>
      <c r="D82" s="25"/>
      <c r="E82" s="27" t="s">
        <v>182</v>
      </c>
    </row>
    <row r="83">
      <c r="A83" s="4" t="s">
        <v>592</v>
      </c>
      <c r="B83" s="10">
        <v>39814.0</v>
      </c>
      <c r="C83" s="11" t="s">
        <v>174</v>
      </c>
      <c r="D83" s="25">
        <f>MAX((B83-B84)/365, 1)</f>
        <v>1.002739726</v>
      </c>
      <c r="E83" s="28"/>
    </row>
    <row r="84">
      <c r="A84" s="4" t="s">
        <v>592</v>
      </c>
      <c r="B84" s="10">
        <v>39448.0</v>
      </c>
      <c r="C84" s="14"/>
      <c r="D84" s="25"/>
      <c r="E84" s="27" t="s">
        <v>182</v>
      </c>
    </row>
    <row r="85">
      <c r="A85" s="4" t="s">
        <v>595</v>
      </c>
      <c r="B85" s="10">
        <v>41753.0</v>
      </c>
      <c r="C85" s="11" t="s">
        <v>185</v>
      </c>
      <c r="D85" s="25">
        <f>MAX((B85-B86)/365, 1)</f>
        <v>6.728767123</v>
      </c>
      <c r="E85" s="28"/>
    </row>
    <row r="86">
      <c r="A86" s="4" t="s">
        <v>595</v>
      </c>
      <c r="B86" s="10">
        <v>39297.0</v>
      </c>
      <c r="C86" s="14"/>
      <c r="D86" s="25"/>
      <c r="E86" s="28" t="str">
        <f t="array" ref="E86">INDEX('TJ List'!O:O,MATCH(A86&amp;B86,'TJ List'!A:A&amp;'TJ List'!B:B,0))
</f>
        <v>Dr. James Andrews</v>
      </c>
    </row>
    <row r="87">
      <c r="A87" s="4" t="s">
        <v>612</v>
      </c>
      <c r="B87" s="10">
        <v>42123.0</v>
      </c>
      <c r="C87" s="11" t="s">
        <v>185</v>
      </c>
      <c r="D87" s="25">
        <f>MAX((B87-B88)/365, 1)</f>
        <v>4.326027397</v>
      </c>
      <c r="E87" s="28"/>
    </row>
    <row r="88">
      <c r="A88" s="4" t="s">
        <v>612</v>
      </c>
      <c r="B88" s="10">
        <v>40544.0</v>
      </c>
      <c r="C88" s="11"/>
      <c r="D88" s="25"/>
      <c r="E88" s="27" t="s">
        <v>182</v>
      </c>
    </row>
    <row r="89">
      <c r="A89" s="4" t="s">
        <v>615</v>
      </c>
      <c r="B89" s="10">
        <v>41716.0</v>
      </c>
      <c r="C89" s="11" t="s">
        <v>174</v>
      </c>
      <c r="D89" s="25">
        <f>MAX((B89-B90)/365, 1)</f>
        <v>3.583561644</v>
      </c>
      <c r="E89" s="28"/>
    </row>
    <row r="90">
      <c r="A90" s="4" t="s">
        <v>615</v>
      </c>
      <c r="B90" s="10">
        <v>40408.0</v>
      </c>
      <c r="C90" s="14"/>
      <c r="D90" s="25"/>
      <c r="E90" s="28" t="str">
        <f t="array" ref="E90">INDEX('TJ List'!O:O,MATCH(A90&amp;B90,'TJ List'!A:A&amp;'TJ List'!B:B,0))
</f>
        <v>Dr. James Andrews</v>
      </c>
    </row>
    <row r="91">
      <c r="A91" s="4" t="s">
        <v>627</v>
      </c>
      <c r="B91" s="10">
        <v>41079.0</v>
      </c>
      <c r="C91" s="11" t="s">
        <v>174</v>
      </c>
      <c r="D91" s="25">
        <f>MAX((B91-B92)/365, 1)</f>
        <v>4.906849315</v>
      </c>
      <c r="E91" s="28"/>
    </row>
    <row r="92">
      <c r="A92" s="4" t="s">
        <v>627</v>
      </c>
      <c r="B92" s="10">
        <v>39288.0</v>
      </c>
      <c r="C92" s="14"/>
      <c r="D92" s="25"/>
      <c r="E92" s="28" t="str">
        <f t="array" ref="E92">INDEX('TJ List'!O:O,MATCH(A92&amp;B92,'TJ List'!A:A&amp;'TJ List'!B:B,0))
</f>
        <v>Dr. David Altchek</v>
      </c>
    </row>
    <row r="93">
      <c r="A93" s="4" t="s">
        <v>642</v>
      </c>
      <c r="B93" s="10">
        <v>36526.0</v>
      </c>
      <c r="C93" s="11" t="s">
        <v>174</v>
      </c>
      <c r="D93" s="25">
        <f>MAX((B93-B94)/365, 1)</f>
        <v>4.002739726</v>
      </c>
      <c r="E93" s="28"/>
    </row>
    <row r="94">
      <c r="A94" s="4" t="s">
        <v>642</v>
      </c>
      <c r="B94" s="10">
        <v>35065.0</v>
      </c>
      <c r="C94" s="14"/>
      <c r="D94" s="25"/>
      <c r="E94" s="27" t="s">
        <v>182</v>
      </c>
    </row>
    <row r="95">
      <c r="A95" s="4" t="s">
        <v>647</v>
      </c>
      <c r="B95" s="10">
        <v>40179.0</v>
      </c>
      <c r="C95" s="11" t="s">
        <v>174</v>
      </c>
      <c r="D95" s="25">
        <f>MAX((B95-B96)/365, 1)</f>
        <v>4.002739726</v>
      </c>
      <c r="E95" s="28"/>
    </row>
    <row r="96">
      <c r="A96" s="4" t="s">
        <v>647</v>
      </c>
      <c r="B96" s="10">
        <v>38718.0</v>
      </c>
      <c r="C96" s="14"/>
      <c r="D96" s="25"/>
      <c r="E96" s="27" t="s">
        <v>182</v>
      </c>
    </row>
    <row r="97">
      <c r="A97" s="4" t="s">
        <v>405</v>
      </c>
      <c r="B97" s="10">
        <v>42298.0</v>
      </c>
      <c r="C97" s="11" t="s">
        <v>185</v>
      </c>
      <c r="D97" s="25">
        <f>MAX((B97-B98)/365, 1)</f>
        <v>1.556164384</v>
      </c>
      <c r="E97" s="28"/>
    </row>
    <row r="98">
      <c r="A98" s="4" t="s">
        <v>405</v>
      </c>
      <c r="B98" s="10">
        <v>41730.0</v>
      </c>
      <c r="C98" s="11"/>
      <c r="D98" s="25"/>
      <c r="E98" s="27" t="s">
        <v>182</v>
      </c>
    </row>
    <row r="99">
      <c r="A99" s="4" t="s">
        <v>651</v>
      </c>
      <c r="B99" s="10">
        <v>40696.0</v>
      </c>
      <c r="C99" s="11" t="s">
        <v>174</v>
      </c>
      <c r="D99" s="25">
        <f>MAX((B99-B100)/365, 1)</f>
        <v>2.090410959</v>
      </c>
      <c r="E99" s="28"/>
    </row>
    <row r="100">
      <c r="A100" s="4" t="s">
        <v>651</v>
      </c>
      <c r="B100" s="10">
        <v>39933.0</v>
      </c>
      <c r="C100" s="14"/>
      <c r="D100" s="25"/>
      <c r="E100" s="27" t="s">
        <v>182</v>
      </c>
    </row>
    <row r="101">
      <c r="A101" s="4" t="s">
        <v>653</v>
      </c>
      <c r="B101" s="10">
        <v>36424.0</v>
      </c>
      <c r="C101" s="11" t="s">
        <v>237</v>
      </c>
      <c r="D101" s="25">
        <f>MAX((B101-B102)/365, 1)</f>
        <v>1.02739726</v>
      </c>
      <c r="E101" s="28"/>
    </row>
    <row r="102">
      <c r="A102" s="4" t="s">
        <v>653</v>
      </c>
      <c r="B102" s="10">
        <v>36049.0</v>
      </c>
      <c r="C102" s="14"/>
      <c r="D102" s="25"/>
      <c r="E102" s="28" t="str">
        <f t="array" ref="E102">INDEX('TJ List'!O:O,MATCH(A102&amp;B102,'TJ List'!A:A&amp;'TJ List'!B:B,0))
</f>
        <v>Dr. Lewis Yocum</v>
      </c>
    </row>
    <row r="103">
      <c r="A103" s="4" t="s">
        <v>666</v>
      </c>
      <c r="B103" s="10">
        <v>38534.0</v>
      </c>
      <c r="C103" s="11" t="s">
        <v>237</v>
      </c>
      <c r="D103" s="25">
        <f>MAX((B103-B104)/365, 1)</f>
        <v>4.832876712</v>
      </c>
      <c r="E103" s="28"/>
    </row>
    <row r="104">
      <c r="A104" s="4" t="s">
        <v>666</v>
      </c>
      <c r="B104" s="10">
        <v>36770.0</v>
      </c>
      <c r="C104" s="14"/>
      <c r="D104" s="25"/>
      <c r="E104" s="27" t="s">
        <v>182</v>
      </c>
    </row>
    <row r="105">
      <c r="A105" s="4" t="s">
        <v>521</v>
      </c>
      <c r="B105" s="10">
        <v>42200.0</v>
      </c>
      <c r="C105" s="11" t="s">
        <v>185</v>
      </c>
      <c r="D105" s="25">
        <f>MAX((B105-B106)/365, 1)</f>
        <v>6.536986301</v>
      </c>
      <c r="E105" s="28"/>
    </row>
    <row r="106">
      <c r="A106" s="4" t="s">
        <v>521</v>
      </c>
      <c r="B106" s="10">
        <v>39814.0</v>
      </c>
      <c r="C106" s="11"/>
      <c r="D106" s="25"/>
      <c r="E106" s="27" t="s">
        <v>182</v>
      </c>
    </row>
    <row r="107">
      <c r="A107" s="4" t="s">
        <v>675</v>
      </c>
      <c r="B107" s="10">
        <v>38546.0</v>
      </c>
      <c r="C107" s="11" t="s">
        <v>174</v>
      </c>
      <c r="D107" s="25">
        <f>MAX((B107-B108)/365, 1)</f>
        <v>1</v>
      </c>
      <c r="E107" s="28"/>
    </row>
    <row r="108">
      <c r="A108" s="4" t="s">
        <v>675</v>
      </c>
      <c r="B108" s="10">
        <v>38181.0</v>
      </c>
      <c r="C108" s="14"/>
      <c r="D108" s="25"/>
      <c r="E108" s="28" t="str">
        <f t="array" ref="E108">INDEX('TJ List'!O:O,MATCH(A108&amp;B108,'TJ List'!A:A&amp;'TJ List'!B:B,0))
</f>
        <v>Dr. George Paletta</v>
      </c>
    </row>
    <row r="109">
      <c r="A109" s="4" t="s">
        <v>692</v>
      </c>
      <c r="B109" s="10">
        <v>36892.0</v>
      </c>
      <c r="C109" s="11" t="s">
        <v>174</v>
      </c>
      <c r="D109" s="25">
        <f>MAX((B109-B110)/365, 1)</f>
        <v>2.002739726</v>
      </c>
      <c r="E109" s="28"/>
    </row>
    <row r="110">
      <c r="A110" s="4" t="s">
        <v>692</v>
      </c>
      <c r="B110" s="10">
        <v>36161.0</v>
      </c>
      <c r="C110" s="14"/>
      <c r="D110" s="25"/>
      <c r="E110" s="27" t="s">
        <v>182</v>
      </c>
    </row>
    <row r="111">
      <c r="A111" s="4" t="s">
        <v>181</v>
      </c>
      <c r="B111" s="10">
        <v>42601.0</v>
      </c>
      <c r="C111" s="11" t="s">
        <v>185</v>
      </c>
      <c r="D111" s="25">
        <f>MAX((B111-B112)/365, 1)</f>
        <v>9.638356164</v>
      </c>
      <c r="E111" s="28"/>
    </row>
    <row r="112">
      <c r="A112" s="4" t="s">
        <v>181</v>
      </c>
      <c r="B112" s="10">
        <v>39083.0</v>
      </c>
      <c r="C112" s="11"/>
      <c r="D112" s="25"/>
      <c r="E112" s="27" t="s">
        <v>182</v>
      </c>
    </row>
    <row r="113">
      <c r="A113" s="4" t="s">
        <v>543</v>
      </c>
      <c r="B113" s="10">
        <v>42179.0</v>
      </c>
      <c r="C113" s="11" t="s">
        <v>185</v>
      </c>
      <c r="D113" s="25">
        <f>MAX((B113-B114)/365, 1)</f>
        <v>6.479452055</v>
      </c>
      <c r="E113" s="28"/>
    </row>
    <row r="114">
      <c r="A114" s="4" t="s">
        <v>543</v>
      </c>
      <c r="B114" s="10">
        <v>39814.0</v>
      </c>
      <c r="C114" s="11"/>
      <c r="D114" s="25"/>
      <c r="E114" s="31" t="s">
        <v>704</v>
      </c>
    </row>
    <row r="115">
      <c r="A115" s="4" t="s">
        <v>705</v>
      </c>
      <c r="B115" s="10">
        <v>41759.0</v>
      </c>
      <c r="C115" s="11" t="s">
        <v>185</v>
      </c>
      <c r="D115" s="25">
        <f>MAX((B115-B116)/365, 1)</f>
        <v>4.328767123</v>
      </c>
      <c r="E115" s="28"/>
    </row>
    <row r="116">
      <c r="A116" s="4" t="s">
        <v>705</v>
      </c>
      <c r="B116" s="10">
        <v>40179.0</v>
      </c>
      <c r="C116" s="14"/>
      <c r="D116" s="25"/>
      <c r="E116" s="27" t="s">
        <v>182</v>
      </c>
    </row>
    <row r="117">
      <c r="A117" s="4" t="s">
        <v>707</v>
      </c>
      <c r="B117" s="10">
        <v>41730.0</v>
      </c>
      <c r="C117" s="11" t="s">
        <v>174</v>
      </c>
      <c r="D117" s="25">
        <f>MAX((B117-B118)/365, 1)</f>
        <v>5.901369863</v>
      </c>
      <c r="E117" s="28"/>
    </row>
    <row r="118">
      <c r="A118" s="4" t="s">
        <v>707</v>
      </c>
      <c r="B118" s="10">
        <v>39576.0</v>
      </c>
      <c r="C118" s="14"/>
      <c r="D118" s="25"/>
      <c r="E118" s="28" t="str">
        <f t="array" ref="E118">INDEX('TJ List'!O:O,MATCH(A118&amp;B118,'TJ List'!A:A&amp;'TJ List'!B:B,0))
</f>
        <v>Dr. James Andrews</v>
      </c>
    </row>
    <row r="119">
      <c r="A119" s="4" t="s">
        <v>716</v>
      </c>
      <c r="B119" s="10">
        <v>41212.0</v>
      </c>
      <c r="C119" s="11" t="s">
        <v>174</v>
      </c>
      <c r="D119" s="25">
        <f>MAX((B119-B120)/365, 1)</f>
        <v>7.336986301</v>
      </c>
      <c r="E119" s="28"/>
    </row>
    <row r="120">
      <c r="A120" s="4" t="s">
        <v>716</v>
      </c>
      <c r="B120" s="10">
        <v>38534.0</v>
      </c>
      <c r="C120" s="14"/>
      <c r="D120" s="25"/>
      <c r="E120" s="28" t="str">
        <f t="array" ref="E120">INDEX('TJ List'!O:O,MATCH(A120&amp;B120,'TJ List'!A:A&amp;'TJ List'!B:B,0))
</f>
        <v>Dr. Lewis Yocum</v>
      </c>
    </row>
    <row r="121">
      <c r="A121" s="4" t="s">
        <v>733</v>
      </c>
      <c r="B121" s="10">
        <v>39569.0</v>
      </c>
      <c r="C121" s="11" t="s">
        <v>174</v>
      </c>
      <c r="D121" s="25">
        <f>MAX((B121-B122)/365, 1)</f>
        <v>1.589041096</v>
      </c>
      <c r="E121" s="28"/>
    </row>
    <row r="122">
      <c r="A122" s="4" t="s">
        <v>733</v>
      </c>
      <c r="B122" s="10">
        <v>38989.0</v>
      </c>
      <c r="C122" s="14"/>
      <c r="D122" s="25"/>
      <c r="E122" s="28" t="str">
        <f t="array" ref="E122">INDEX('TJ List'!O:O,MATCH(A122&amp;B122,'TJ List'!A:A&amp;'TJ List'!B:B,0))
</f>
        <v>Dr. Lewis Yocum</v>
      </c>
    </row>
    <row r="123">
      <c r="A123" s="4" t="s">
        <v>747</v>
      </c>
      <c r="B123" s="10">
        <v>38290.0</v>
      </c>
      <c r="C123" s="11" t="s">
        <v>174</v>
      </c>
      <c r="D123" s="25">
        <f>MAX((B123-B124)/365, 1)</f>
        <v>3.553424658</v>
      </c>
      <c r="E123" s="28"/>
    </row>
    <row r="124">
      <c r="A124" s="4" t="s">
        <v>747</v>
      </c>
      <c r="B124" s="10">
        <v>36993.0</v>
      </c>
      <c r="C124" s="14"/>
      <c r="D124" s="25"/>
      <c r="E124" s="28" t="str">
        <f t="array" ref="E124">INDEX('TJ List'!O:O,MATCH(A124&amp;B124,'TJ List'!A:A&amp;'TJ List'!B:B,0))
</f>
        <v>Dr. James Andrews</v>
      </c>
    </row>
    <row r="125">
      <c r="A125" s="4" t="s">
        <v>766</v>
      </c>
      <c r="B125" s="10">
        <v>41795.0</v>
      </c>
      <c r="C125" s="11" t="s">
        <v>174</v>
      </c>
      <c r="D125" s="25">
        <f>MAX((B125-B126)/365, 1)</f>
        <v>9.706849315</v>
      </c>
      <c r="E125" s="28"/>
    </row>
    <row r="126">
      <c r="A126" s="4" t="s">
        <v>766</v>
      </c>
      <c r="B126" s="10">
        <v>38252.0</v>
      </c>
      <c r="C126" s="14"/>
      <c r="D126" s="25"/>
      <c r="E126" s="27" t="s">
        <v>182</v>
      </c>
    </row>
    <row r="127">
      <c r="A127" s="4" t="s">
        <v>769</v>
      </c>
      <c r="B127" s="10">
        <v>41437.0</v>
      </c>
      <c r="C127" s="11" t="s">
        <v>174</v>
      </c>
      <c r="D127" s="25">
        <f>MAX((B127-B128)/365, 1)</f>
        <v>8.449315068</v>
      </c>
      <c r="E127" s="28"/>
    </row>
    <row r="128">
      <c r="A128" s="4" t="s">
        <v>769</v>
      </c>
      <c r="B128" s="10">
        <v>38353.0</v>
      </c>
      <c r="C128" s="14"/>
      <c r="D128" s="25"/>
      <c r="E128" s="27" t="s">
        <v>182</v>
      </c>
    </row>
    <row r="129">
      <c r="A129" s="4" t="s">
        <v>773</v>
      </c>
      <c r="B129" s="10">
        <v>39994.0</v>
      </c>
      <c r="C129" s="11" t="s">
        <v>174</v>
      </c>
      <c r="D129" s="25">
        <f>MAX((B129-B130)/365, 1)</f>
        <v>4.810958904</v>
      </c>
      <c r="E129" s="28"/>
    </row>
    <row r="130">
      <c r="A130" s="4" t="s">
        <v>773</v>
      </c>
      <c r="B130" s="10">
        <v>38238.0</v>
      </c>
      <c r="C130" s="14"/>
      <c r="D130" s="25"/>
      <c r="E130" s="28" t="str">
        <f t="array" ref="E130">INDEX('TJ List'!O:O,MATCH(A130&amp;B130,'TJ List'!A:A&amp;'TJ List'!B:B,0))
</f>
        <v>Dr. James Andrews</v>
      </c>
    </row>
    <row r="131">
      <c r="A131" s="4" t="s">
        <v>799</v>
      </c>
      <c r="B131" s="10">
        <v>40422.0</v>
      </c>
      <c r="C131" s="11" t="s">
        <v>174</v>
      </c>
      <c r="D131" s="25">
        <f>MAX((B131-B132)/365, 1)</f>
        <v>7.671232877</v>
      </c>
      <c r="E131" s="28"/>
    </row>
    <row r="132">
      <c r="A132" s="4" t="s">
        <v>799</v>
      </c>
      <c r="B132" s="10">
        <v>37622.0</v>
      </c>
      <c r="C132" s="14"/>
      <c r="D132" s="25"/>
      <c r="E132" s="27" t="s">
        <v>182</v>
      </c>
    </row>
    <row r="133">
      <c r="A133" s="4" t="s">
        <v>802</v>
      </c>
      <c r="B133" s="10">
        <v>35229.0</v>
      </c>
      <c r="C133" s="11" t="s">
        <v>174</v>
      </c>
      <c r="D133" s="25">
        <f>MAX((B133-B134)/365, 1)</f>
        <v>6.904109589</v>
      </c>
      <c r="E133" s="28"/>
    </row>
    <row r="134">
      <c r="A134" s="4" t="s">
        <v>802</v>
      </c>
      <c r="B134" s="10">
        <v>32709.0</v>
      </c>
      <c r="C134" s="14"/>
      <c r="D134" s="25"/>
      <c r="E134" s="28" t="str">
        <f t="array" ref="E134">INDEX('TJ List'!O:O,MATCH(A134&amp;B134,'TJ List'!A:A&amp;'TJ List'!B:B,0))
</f>
        <v>Dr. Frank Jobe</v>
      </c>
    </row>
    <row r="135">
      <c r="A135" s="4" t="s">
        <v>281</v>
      </c>
      <c r="B135" s="10">
        <v>42516.0</v>
      </c>
      <c r="C135" s="11" t="s">
        <v>185</v>
      </c>
      <c r="D135" s="25">
        <f>MAX((B135-B136)/365, 1)</f>
        <v>4.720547945</v>
      </c>
      <c r="E135" s="28"/>
    </row>
    <row r="136">
      <c r="A136" s="4" t="s">
        <v>281</v>
      </c>
      <c r="B136" s="10">
        <v>40793.0</v>
      </c>
      <c r="C136" s="11"/>
      <c r="D136" s="25"/>
      <c r="E136" s="27" t="s">
        <v>182</v>
      </c>
    </row>
    <row r="137">
      <c r="A137" s="4" t="s">
        <v>336</v>
      </c>
      <c r="B137" s="10">
        <v>42475.0</v>
      </c>
      <c r="C137" s="11" t="s">
        <v>185</v>
      </c>
      <c r="D137" s="25">
        <f>MAX((B137-B138)/365, 1)</f>
        <v>1.098630137</v>
      </c>
      <c r="E137" s="28"/>
    </row>
    <row r="138">
      <c r="A138" s="4" t="s">
        <v>336</v>
      </c>
      <c r="B138" s="10">
        <v>42074.0</v>
      </c>
      <c r="C138" s="11"/>
      <c r="D138" s="25"/>
      <c r="E138" s="28" t="str">
        <f t="array" ref="E138">INDEX('TJ List'!O:O,MATCH(A138&amp;B138,'TJ List'!A:A&amp;'TJ List'!B:B,0))
</f>
        <v>Dr. James Andrews</v>
      </c>
    </row>
    <row r="139">
      <c r="A139" s="4" t="s">
        <v>847</v>
      </c>
      <c r="B139" s="10">
        <v>38565.0</v>
      </c>
      <c r="C139" s="11" t="s">
        <v>237</v>
      </c>
      <c r="D139" s="25">
        <f>MAX((B139-B140)/365, 1)</f>
        <v>1.895890411</v>
      </c>
      <c r="E139" s="28"/>
    </row>
    <row r="140">
      <c r="A140" s="4" t="s">
        <v>847</v>
      </c>
      <c r="B140" s="10">
        <v>37873.0</v>
      </c>
      <c r="C140" s="14"/>
      <c r="D140" s="25"/>
      <c r="E140" s="28" t="str">
        <f t="array" ref="E140">INDEX('TJ List'!O:O,MATCH(A140&amp;B140,'TJ List'!A:A&amp;'TJ List'!B:B,0))
</f>
        <v>Dr. James Andrews</v>
      </c>
    </row>
    <row r="141">
      <c r="A141" s="4" t="s">
        <v>858</v>
      </c>
      <c r="B141" s="10">
        <v>41108.0</v>
      </c>
      <c r="C141" s="11" t="s">
        <v>185</v>
      </c>
      <c r="D141" s="25">
        <f>MAX((B141-B142)/365, 1)</f>
        <v>12.97260274</v>
      </c>
      <c r="E141" s="28"/>
    </row>
    <row r="142">
      <c r="A142" s="4" t="s">
        <v>858</v>
      </c>
      <c r="B142" s="10">
        <v>36373.0</v>
      </c>
      <c r="C142" s="14"/>
      <c r="D142" s="25"/>
      <c r="E142" s="27" t="s">
        <v>182</v>
      </c>
    </row>
    <row r="143">
      <c r="A143" s="4" t="s">
        <v>401</v>
      </c>
      <c r="B143" s="10">
        <v>42370.0</v>
      </c>
      <c r="C143" s="11" t="s">
        <v>185</v>
      </c>
      <c r="D143" s="25">
        <f>MAX((B143-B144)/365, 1)</f>
        <v>1</v>
      </c>
      <c r="E143" s="28"/>
    </row>
    <row r="144">
      <c r="A144" s="4" t="s">
        <v>401</v>
      </c>
      <c r="B144" s="10">
        <v>42094.0</v>
      </c>
      <c r="C144" s="11"/>
      <c r="D144" s="25"/>
      <c r="E144" s="28" t="str">
        <f t="array" ref="E144">INDEX('TJ List'!O:O,MATCH(A144&amp;B144,'TJ List'!A:A&amp;'TJ List'!B:B,0))
</f>
        <v>Dr. James Andrews</v>
      </c>
    </row>
    <row r="145">
      <c r="A145" s="4" t="s">
        <v>852</v>
      </c>
      <c r="B145" s="10">
        <v>41843.0</v>
      </c>
      <c r="C145" s="11" t="s">
        <v>174</v>
      </c>
      <c r="D145" s="25">
        <f>MAX((B145-B146)/365, 1)</f>
        <v>8.561643836</v>
      </c>
      <c r="E145" s="28"/>
    </row>
    <row r="146">
      <c r="A146" s="4" t="s">
        <v>852</v>
      </c>
      <c r="B146" s="10">
        <v>38718.0</v>
      </c>
      <c r="C146" s="14"/>
      <c r="D146" s="25"/>
      <c r="E146" s="27" t="s">
        <v>182</v>
      </c>
    </row>
    <row r="147">
      <c r="A147" s="4" t="s">
        <v>876</v>
      </c>
      <c r="B147" s="10">
        <v>40008.0</v>
      </c>
      <c r="C147" s="11" t="s">
        <v>237</v>
      </c>
      <c r="D147" s="25">
        <f>MAX((B147-B148)/365, 1)</f>
        <v>7.073972603</v>
      </c>
      <c r="E147" s="28"/>
    </row>
    <row r="148">
      <c r="A148" s="4" t="s">
        <v>876</v>
      </c>
      <c r="B148" s="10">
        <v>37426.0</v>
      </c>
      <c r="C148" s="14"/>
      <c r="D148" s="25"/>
      <c r="E148" s="27" t="s">
        <v>182</v>
      </c>
    </row>
    <row r="149">
      <c r="A149" s="4" t="s">
        <v>878</v>
      </c>
      <c r="B149" s="10">
        <v>39624.0</v>
      </c>
      <c r="C149" s="11" t="s">
        <v>237</v>
      </c>
      <c r="D149" s="25">
        <f>MAX((B149-B150)/365, 1)</f>
        <v>1.035616438</v>
      </c>
      <c r="E149" s="28"/>
    </row>
    <row r="150">
      <c r="A150" s="4" t="s">
        <v>878</v>
      </c>
      <c r="B150" s="10">
        <v>39246.0</v>
      </c>
      <c r="C150" s="14"/>
      <c r="D150" s="25"/>
      <c r="E150" s="28" t="str">
        <f t="array" ref="E150">INDEX('TJ List'!O:O,MATCH(A150&amp;B150,'TJ List'!A:A&amp;'TJ List'!B:B,0))
</f>
        <v>Dr. David Altchek</v>
      </c>
    </row>
    <row r="151">
      <c r="A151" s="4" t="s">
        <v>900</v>
      </c>
      <c r="B151" s="10">
        <v>38852.0</v>
      </c>
      <c r="C151" s="11" t="s">
        <v>174</v>
      </c>
      <c r="D151" s="25">
        <f>MAX((B151-B152)/365, 1)</f>
        <v>10.37534247</v>
      </c>
      <c r="E151" s="28"/>
    </row>
    <row r="152">
      <c r="A152" s="4" t="s">
        <v>900</v>
      </c>
      <c r="B152" s="10">
        <v>35065.0</v>
      </c>
      <c r="C152" s="14"/>
      <c r="D152" s="25"/>
      <c r="E152" s="27" t="s">
        <v>182</v>
      </c>
    </row>
    <row r="153">
      <c r="A153" s="4" t="s">
        <v>361</v>
      </c>
      <c r="B153" s="10">
        <v>42430.0</v>
      </c>
      <c r="C153" s="11" t="s">
        <v>185</v>
      </c>
      <c r="D153" s="25">
        <f>MAX((B153-B154)/365, 1)</f>
        <v>1</v>
      </c>
      <c r="E153" s="28"/>
    </row>
    <row r="154">
      <c r="A154" s="4" t="s">
        <v>361</v>
      </c>
      <c r="B154" s="10">
        <v>42088.0</v>
      </c>
      <c r="C154" s="11"/>
      <c r="D154" s="25"/>
      <c r="E154" s="27" t="s">
        <v>182</v>
      </c>
    </row>
    <row r="155">
      <c r="A155" s="4" t="s">
        <v>907</v>
      </c>
      <c r="B155" s="10">
        <v>39995.0</v>
      </c>
      <c r="C155" s="11" t="s">
        <v>174</v>
      </c>
      <c r="D155" s="25">
        <f>MAX((B155-B156)/365, 1)</f>
        <v>8.501369863</v>
      </c>
      <c r="E155" s="28"/>
    </row>
    <row r="156">
      <c r="A156" s="4" t="s">
        <v>907</v>
      </c>
      <c r="B156" s="10">
        <v>36892.0</v>
      </c>
      <c r="C156" s="14"/>
      <c r="D156" s="25"/>
      <c r="E156" s="28" t="str">
        <f t="array" ref="E156">INDEX('TJ List'!O:O,MATCH(A156&amp;B156,'TJ List'!A:A&amp;'TJ List'!B:B,0))
</f>
        <v>Dr. Lewis Yocum</v>
      </c>
    </row>
    <row r="157">
      <c r="C157" s="14"/>
      <c r="D157" s="25"/>
      <c r="E157" s="28"/>
    </row>
    <row r="158">
      <c r="C158" s="14"/>
      <c r="D158" s="25"/>
      <c r="E158" s="28"/>
    </row>
    <row r="159">
      <c r="C159" s="14"/>
      <c r="D159" s="25"/>
      <c r="E159" s="28"/>
    </row>
    <row r="160">
      <c r="C160" s="14"/>
      <c r="D160" s="25"/>
      <c r="E160" s="28"/>
    </row>
    <row r="161">
      <c r="C161" s="14"/>
      <c r="D161" s="25"/>
      <c r="E161" s="28"/>
    </row>
    <row r="162">
      <c r="C162" s="14"/>
      <c r="D162" s="25"/>
      <c r="E162" s="28"/>
    </row>
    <row r="163">
      <c r="C163" s="14"/>
      <c r="D163" s="25"/>
      <c r="E163" s="28"/>
    </row>
    <row r="164">
      <c r="C164" s="14"/>
      <c r="D164" s="25"/>
      <c r="E164" s="28"/>
    </row>
    <row r="165">
      <c r="C165" s="14"/>
      <c r="D165" s="25"/>
      <c r="E165" s="28"/>
    </row>
    <row r="166">
      <c r="C166" s="14"/>
      <c r="D166" s="25"/>
      <c r="E166" s="28"/>
    </row>
    <row r="167">
      <c r="C167" s="14"/>
      <c r="D167" s="25"/>
      <c r="E167" s="28"/>
    </row>
    <row r="168">
      <c r="C168" s="14"/>
      <c r="D168" s="25"/>
      <c r="E168" s="28"/>
    </row>
    <row r="169">
      <c r="C169" s="14"/>
      <c r="D169" s="25"/>
      <c r="E169" s="28"/>
    </row>
    <row r="170">
      <c r="C170" s="14"/>
      <c r="D170" s="25"/>
      <c r="E170" s="28"/>
    </row>
    <row r="171">
      <c r="C171" s="14"/>
      <c r="D171" s="25"/>
      <c r="E171" s="28"/>
    </row>
    <row r="172">
      <c r="C172" s="14"/>
      <c r="D172" s="25"/>
      <c r="E172" s="28"/>
    </row>
    <row r="173">
      <c r="C173" s="14"/>
      <c r="D173" s="25"/>
      <c r="E173" s="28"/>
    </row>
    <row r="174">
      <c r="C174" s="14"/>
      <c r="D174" s="25"/>
      <c r="E174" s="28"/>
    </row>
    <row r="175">
      <c r="C175" s="14"/>
      <c r="D175" s="25"/>
      <c r="E175" s="28"/>
    </row>
    <row r="176">
      <c r="C176" s="14"/>
      <c r="D176" s="25"/>
      <c r="E176" s="28"/>
    </row>
    <row r="177">
      <c r="C177" s="14"/>
      <c r="D177" s="25"/>
      <c r="E177" s="28"/>
    </row>
    <row r="178">
      <c r="C178" s="14"/>
      <c r="D178" s="25"/>
      <c r="E178" s="28"/>
    </row>
    <row r="179">
      <c r="C179" s="14"/>
      <c r="D179" s="25"/>
      <c r="E179" s="28"/>
    </row>
    <row r="180">
      <c r="C180" s="14"/>
      <c r="D180" s="25"/>
      <c r="E180" s="28"/>
    </row>
    <row r="181">
      <c r="C181" s="14"/>
      <c r="D181" s="25"/>
      <c r="E181" s="28"/>
    </row>
    <row r="182">
      <c r="C182" s="14"/>
      <c r="D182" s="25"/>
      <c r="E182" s="28"/>
    </row>
    <row r="183">
      <c r="C183" s="14"/>
      <c r="D183" s="25"/>
      <c r="E183" s="28"/>
    </row>
    <row r="184">
      <c r="C184" s="14"/>
      <c r="D184" s="25"/>
      <c r="E184" s="28"/>
    </row>
    <row r="185">
      <c r="C185" s="14"/>
      <c r="D185" s="25"/>
      <c r="E185" s="28"/>
    </row>
    <row r="186">
      <c r="C186" s="14"/>
      <c r="D186" s="25"/>
      <c r="E186" s="28"/>
    </row>
    <row r="187">
      <c r="C187" s="14"/>
      <c r="D187" s="25"/>
      <c r="E187" s="28"/>
    </row>
    <row r="188">
      <c r="C188" s="14"/>
      <c r="D188" s="25"/>
      <c r="E188" s="28"/>
    </row>
    <row r="189">
      <c r="C189" s="14"/>
      <c r="D189" s="25"/>
      <c r="E189" s="28"/>
    </row>
    <row r="190">
      <c r="C190" s="14"/>
      <c r="D190" s="25"/>
      <c r="E190" s="28"/>
    </row>
    <row r="191">
      <c r="C191" s="14"/>
      <c r="D191" s="25"/>
      <c r="E191" s="28"/>
    </row>
    <row r="192">
      <c r="C192" s="14"/>
      <c r="D192" s="25"/>
      <c r="E192" s="28"/>
    </row>
    <row r="193">
      <c r="C193" s="14"/>
      <c r="D193" s="25"/>
      <c r="E193" s="28"/>
    </row>
    <row r="194">
      <c r="C194" s="14"/>
      <c r="D194" s="25"/>
      <c r="E194" s="28"/>
    </row>
    <row r="195">
      <c r="C195" s="14"/>
      <c r="D195" s="25"/>
      <c r="E195" s="28"/>
    </row>
    <row r="196">
      <c r="C196" s="14"/>
      <c r="D196" s="25"/>
      <c r="E196" s="28"/>
    </row>
    <row r="197">
      <c r="C197" s="14"/>
      <c r="D197" s="25"/>
      <c r="E197" s="28"/>
    </row>
    <row r="198">
      <c r="C198" s="14"/>
      <c r="D198" s="25"/>
      <c r="E198" s="28"/>
    </row>
    <row r="199">
      <c r="C199" s="14"/>
      <c r="D199" s="25"/>
      <c r="E199" s="28"/>
    </row>
    <row r="200">
      <c r="C200" s="14"/>
      <c r="D200" s="25"/>
      <c r="E200" s="28"/>
    </row>
    <row r="201">
      <c r="C201" s="14"/>
      <c r="D201" s="25"/>
      <c r="E201" s="28"/>
    </row>
    <row r="202">
      <c r="C202" s="14"/>
      <c r="D202" s="25"/>
      <c r="E202" s="28"/>
    </row>
    <row r="203">
      <c r="C203" s="14"/>
      <c r="D203" s="25"/>
      <c r="E203" s="28"/>
    </row>
    <row r="204">
      <c r="C204" s="14"/>
      <c r="D204" s="25"/>
      <c r="E204" s="28"/>
    </row>
    <row r="205">
      <c r="C205" s="14"/>
      <c r="D205" s="25"/>
      <c r="E205" s="28"/>
    </row>
    <row r="206">
      <c r="C206" s="14"/>
      <c r="D206" s="25"/>
      <c r="E206" s="2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14"/>
    <col customWidth="1" min="2" max="2" width="15.29"/>
    <col customWidth="1" min="3" max="3" width="5.86"/>
    <col customWidth="1" min="4" max="4" width="8.29"/>
    <col customWidth="1" min="5" max="5" width="9.86"/>
    <col customWidth="1" min="6" max="6" width="13.14"/>
  </cols>
  <sheetData>
    <row r="1">
      <c r="A1" s="1" t="s">
        <v>0</v>
      </c>
      <c r="B1" s="1" t="s">
        <v>1</v>
      </c>
      <c r="C1" s="2" t="s">
        <v>2</v>
      </c>
      <c r="D1" s="2" t="s">
        <v>4</v>
      </c>
      <c r="E1" s="2" t="s">
        <v>937</v>
      </c>
      <c r="F1" s="2" t="s">
        <v>938</v>
      </c>
    </row>
    <row r="2">
      <c r="A2" s="4" t="s">
        <v>939</v>
      </c>
      <c r="B2" s="10">
        <v>42514.0</v>
      </c>
      <c r="C2" s="11" t="s">
        <v>350</v>
      </c>
      <c r="D2" s="11" t="s">
        <v>52</v>
      </c>
      <c r="E2" s="11">
        <v>2016.0</v>
      </c>
      <c r="F2" s="11">
        <v>674.0</v>
      </c>
    </row>
    <row r="3">
      <c r="A3" s="4" t="s">
        <v>941</v>
      </c>
      <c r="B3" s="10">
        <v>42430.0</v>
      </c>
      <c r="C3" s="11" t="s">
        <v>114</v>
      </c>
      <c r="D3" s="11" t="s">
        <v>52</v>
      </c>
      <c r="E3" s="11">
        <v>2016.0</v>
      </c>
      <c r="F3" s="11">
        <v>1191.0</v>
      </c>
    </row>
    <row r="4">
      <c r="A4" s="48" t="s">
        <v>942</v>
      </c>
      <c r="B4" s="10">
        <v>42178.0</v>
      </c>
      <c r="C4" s="11" t="s">
        <v>159</v>
      </c>
      <c r="D4" s="11" t="s">
        <v>52</v>
      </c>
      <c r="E4" s="11">
        <v>2016.0</v>
      </c>
      <c r="F4" s="11">
        <v>985.0</v>
      </c>
    </row>
    <row r="5">
      <c r="A5" s="4" t="s">
        <v>944</v>
      </c>
      <c r="B5" s="10">
        <v>42125.0</v>
      </c>
      <c r="C5" s="11" t="s">
        <v>259</v>
      </c>
      <c r="D5" s="11" t="s">
        <v>315</v>
      </c>
      <c r="E5" s="11">
        <v>2016.0</v>
      </c>
      <c r="F5" s="11">
        <v>1016.0</v>
      </c>
    </row>
    <row r="6">
      <c r="A6" s="4" t="s">
        <v>946</v>
      </c>
      <c r="B6" s="10">
        <v>42095.0</v>
      </c>
      <c r="C6" s="11" t="s">
        <v>169</v>
      </c>
      <c r="D6" s="11" t="s">
        <v>52</v>
      </c>
      <c r="E6" s="11">
        <v>2016.0</v>
      </c>
      <c r="F6" s="11">
        <v>632.0</v>
      </c>
    </row>
    <row r="7">
      <c r="A7" s="4" t="s">
        <v>947</v>
      </c>
      <c r="B7" s="10">
        <v>42064.0</v>
      </c>
      <c r="C7" s="11" t="s">
        <v>81</v>
      </c>
      <c r="D7" s="11" t="s">
        <v>52</v>
      </c>
      <c r="E7" s="11">
        <v>2016.0</v>
      </c>
      <c r="F7" s="11">
        <v>701.0</v>
      </c>
    </row>
    <row r="8">
      <c r="A8" s="4" t="s">
        <v>949</v>
      </c>
      <c r="B8" s="10">
        <v>41944.0</v>
      </c>
      <c r="C8" s="11" t="s">
        <v>74</v>
      </c>
      <c r="D8" s="11" t="s">
        <v>52</v>
      </c>
      <c r="E8" s="11">
        <v>2016.0</v>
      </c>
      <c r="F8" s="11">
        <v>1024.0</v>
      </c>
    </row>
    <row r="9">
      <c r="A9" s="4" t="s">
        <v>951</v>
      </c>
      <c r="B9" s="10">
        <v>41913.0</v>
      </c>
      <c r="C9" s="11" t="s">
        <v>96</v>
      </c>
      <c r="D9" s="11" t="s">
        <v>52</v>
      </c>
      <c r="E9" s="11">
        <v>2016.0</v>
      </c>
      <c r="F9" s="11">
        <v>1109.0</v>
      </c>
    </row>
    <row r="10">
      <c r="A10" s="48" t="s">
        <v>953</v>
      </c>
      <c r="B10" s="10">
        <v>41152.0</v>
      </c>
      <c r="C10" s="11" t="s">
        <v>119</v>
      </c>
      <c r="D10" s="11" t="s">
        <v>52</v>
      </c>
      <c r="E10" s="11">
        <v>2016.0</v>
      </c>
      <c r="F10" s="11">
        <v>498.0</v>
      </c>
    </row>
    <row r="11">
      <c r="A11" s="4" t="s">
        <v>955</v>
      </c>
      <c r="B11" s="10">
        <v>41082.0</v>
      </c>
      <c r="C11" s="11" t="s">
        <v>97</v>
      </c>
      <c r="D11" s="11" t="s">
        <v>52</v>
      </c>
      <c r="E11" s="11">
        <v>2016.0</v>
      </c>
      <c r="F11" s="11">
        <v>592.0</v>
      </c>
    </row>
    <row r="12">
      <c r="A12" s="48" t="s">
        <v>957</v>
      </c>
      <c r="B12" s="10">
        <v>42164.0</v>
      </c>
      <c r="C12" s="11" t="s">
        <v>119</v>
      </c>
      <c r="D12" s="11" t="s">
        <v>52</v>
      </c>
      <c r="E12" s="11">
        <v>2015.0</v>
      </c>
      <c r="F12" s="11">
        <v>1105.0</v>
      </c>
    </row>
    <row r="13">
      <c r="A13" s="48" t="s">
        <v>959</v>
      </c>
      <c r="B13" s="10">
        <v>42156.0</v>
      </c>
      <c r="C13" s="11" t="s">
        <v>96</v>
      </c>
      <c r="D13" s="11" t="s">
        <v>52</v>
      </c>
      <c r="E13" s="11">
        <v>2015.0</v>
      </c>
      <c r="F13" s="11">
        <v>946.0</v>
      </c>
    </row>
    <row r="14">
      <c r="A14" s="48" t="s">
        <v>960</v>
      </c>
      <c r="B14" s="10">
        <v>42151.0</v>
      </c>
      <c r="C14" s="11" t="s">
        <v>209</v>
      </c>
      <c r="D14" s="11" t="s">
        <v>52</v>
      </c>
      <c r="E14" s="11">
        <v>2015.0</v>
      </c>
      <c r="F14" s="11">
        <v>973.0</v>
      </c>
    </row>
    <row r="15">
      <c r="A15" s="4" t="s">
        <v>962</v>
      </c>
      <c r="B15" s="10">
        <v>41944.0</v>
      </c>
      <c r="C15" s="11" t="s">
        <v>81</v>
      </c>
      <c r="D15" s="11" t="s">
        <v>52</v>
      </c>
      <c r="E15" s="11">
        <v>2015.0</v>
      </c>
      <c r="F15" s="11">
        <v>882.0</v>
      </c>
    </row>
    <row r="16">
      <c r="A16" s="48" t="s">
        <v>963</v>
      </c>
      <c r="B16" s="10">
        <v>41640.0</v>
      </c>
      <c r="C16" s="11" t="s">
        <v>125</v>
      </c>
      <c r="D16" s="11" t="s">
        <v>834</v>
      </c>
      <c r="E16" s="11">
        <v>2015.0</v>
      </c>
      <c r="F16" s="11">
        <v>1027.0</v>
      </c>
    </row>
    <row r="17">
      <c r="A17" s="4" t="s">
        <v>964</v>
      </c>
      <c r="B17" s="10">
        <v>41807.0</v>
      </c>
      <c r="C17" s="11" t="s">
        <v>229</v>
      </c>
      <c r="D17" s="11" t="s">
        <v>392</v>
      </c>
      <c r="E17" s="11">
        <v>2014.0</v>
      </c>
      <c r="F17" s="11">
        <v>903.0</v>
      </c>
    </row>
    <row r="18">
      <c r="A18" s="4" t="s">
        <v>965</v>
      </c>
      <c r="B18" s="10">
        <v>41375.0</v>
      </c>
      <c r="C18" s="11" t="s">
        <v>259</v>
      </c>
      <c r="D18" s="11" t="s">
        <v>52</v>
      </c>
      <c r="E18" s="11">
        <v>2014.0</v>
      </c>
      <c r="F18" s="11">
        <v>408.0</v>
      </c>
    </row>
    <row r="19">
      <c r="A19" s="4" t="s">
        <v>966</v>
      </c>
      <c r="B19" s="10">
        <v>42370.0</v>
      </c>
      <c r="C19" s="11" t="s">
        <v>138</v>
      </c>
      <c r="D19" s="11" t="s">
        <v>52</v>
      </c>
      <c r="E19" s="11">
        <v>2013.0</v>
      </c>
      <c r="F19" s="11">
        <v>1124.0</v>
      </c>
    </row>
    <row r="20">
      <c r="A20" s="4" t="s">
        <v>966</v>
      </c>
      <c r="B20" s="10">
        <v>41703.0</v>
      </c>
      <c r="C20" s="11" t="s">
        <v>138</v>
      </c>
      <c r="D20" s="11" t="s">
        <v>52</v>
      </c>
      <c r="E20" s="11">
        <v>2013.0</v>
      </c>
      <c r="F20" s="11">
        <v>1124.0</v>
      </c>
    </row>
    <row r="21">
      <c r="A21" s="4" t="s">
        <v>968</v>
      </c>
      <c r="B21" s="10">
        <v>41275.0</v>
      </c>
      <c r="C21" s="11" t="s">
        <v>382</v>
      </c>
      <c r="D21" s="11" t="s">
        <v>52</v>
      </c>
      <c r="E21" s="11">
        <v>2012.0</v>
      </c>
      <c r="F21" s="11">
        <v>1188.0</v>
      </c>
    </row>
    <row r="22">
      <c r="A22" s="4" t="s">
        <v>969</v>
      </c>
      <c r="B22" s="10">
        <v>41821.0</v>
      </c>
      <c r="C22" s="11" t="s">
        <v>138</v>
      </c>
      <c r="D22" s="11" t="s">
        <v>52</v>
      </c>
      <c r="E22" s="11">
        <v>2010.0</v>
      </c>
      <c r="F22" s="11">
        <v>865.0</v>
      </c>
    </row>
    <row r="23">
      <c r="C23" s="14"/>
      <c r="D23" s="14"/>
      <c r="E23" s="14"/>
      <c r="F23" s="14"/>
    </row>
    <row r="24">
      <c r="C24" s="14"/>
      <c r="D24" s="14"/>
      <c r="E24" s="14"/>
      <c r="F24" s="14"/>
    </row>
    <row r="25">
      <c r="C25" s="14"/>
      <c r="D25" s="14"/>
      <c r="E25" s="14"/>
      <c r="F25" s="14"/>
    </row>
    <row r="26">
      <c r="C26" s="14"/>
      <c r="D26" s="14"/>
      <c r="E26" s="14"/>
      <c r="F26" s="14"/>
    </row>
    <row r="27">
      <c r="C27" s="14"/>
      <c r="D27" s="14"/>
      <c r="E27" s="14"/>
      <c r="F27" s="14"/>
    </row>
    <row r="28">
      <c r="C28" s="14"/>
      <c r="D28" s="14"/>
      <c r="E28" s="14"/>
      <c r="F28" s="14"/>
    </row>
    <row r="29">
      <c r="C29" s="14"/>
      <c r="D29" s="14"/>
      <c r="E29" s="14"/>
      <c r="F29" s="14"/>
    </row>
    <row r="30">
      <c r="C30" s="14"/>
      <c r="D30" s="14"/>
      <c r="E30" s="14"/>
      <c r="F30" s="14"/>
    </row>
    <row r="31">
      <c r="C31" s="14"/>
      <c r="D31" s="14"/>
      <c r="E31" s="14"/>
      <c r="F31" s="14"/>
    </row>
    <row r="32">
      <c r="C32" s="14"/>
      <c r="D32" s="14"/>
      <c r="E32" s="14"/>
      <c r="F32" s="14"/>
    </row>
    <row r="33">
      <c r="C33" s="14"/>
      <c r="D33" s="14"/>
      <c r="E33" s="14"/>
      <c r="F33" s="14"/>
    </row>
    <row r="34">
      <c r="C34" s="14"/>
      <c r="D34" s="14"/>
      <c r="E34" s="14"/>
      <c r="F34" s="14"/>
    </row>
    <row r="35">
      <c r="C35" s="14"/>
      <c r="D35" s="14"/>
      <c r="E35" s="14"/>
      <c r="F35" s="14"/>
    </row>
    <row r="36">
      <c r="C36" s="14"/>
      <c r="D36" s="14"/>
      <c r="E36" s="14"/>
      <c r="F36" s="14"/>
    </row>
    <row r="37">
      <c r="C37" s="14"/>
      <c r="D37" s="14"/>
      <c r="E37" s="14"/>
      <c r="F37" s="14"/>
    </row>
    <row r="38">
      <c r="C38" s="14"/>
      <c r="D38" s="14"/>
      <c r="E38" s="14"/>
      <c r="F38" s="14"/>
    </row>
    <row r="39">
      <c r="C39" s="14"/>
      <c r="D39" s="14"/>
      <c r="E39" s="14"/>
      <c r="F39" s="14"/>
    </row>
    <row r="40">
      <c r="C40" s="14"/>
      <c r="D40" s="14"/>
      <c r="E40" s="14"/>
      <c r="F40" s="14"/>
    </row>
    <row r="41">
      <c r="C41" s="14"/>
      <c r="D41" s="14"/>
      <c r="E41" s="14"/>
      <c r="F41" s="14"/>
    </row>
    <row r="42">
      <c r="C42" s="14"/>
      <c r="D42" s="14"/>
      <c r="E42" s="14"/>
      <c r="F42" s="14"/>
    </row>
    <row r="43">
      <c r="C43" s="14"/>
      <c r="D43" s="14"/>
      <c r="E43" s="14"/>
      <c r="F43" s="14"/>
    </row>
    <row r="44">
      <c r="C44" s="14"/>
      <c r="D44" s="14"/>
      <c r="E44" s="14"/>
      <c r="F44" s="14"/>
    </row>
    <row r="45">
      <c r="C45" s="14"/>
      <c r="D45" s="14"/>
      <c r="E45" s="14"/>
      <c r="F45" s="14"/>
    </row>
    <row r="46">
      <c r="C46" s="14"/>
      <c r="D46" s="14"/>
      <c r="E46" s="14"/>
      <c r="F46" s="14"/>
    </row>
    <row r="47">
      <c r="C47" s="14"/>
      <c r="D47" s="14"/>
      <c r="E47" s="14"/>
      <c r="F47" s="14"/>
    </row>
    <row r="48">
      <c r="C48" s="14"/>
      <c r="D48" s="14"/>
      <c r="E48" s="14"/>
      <c r="F48" s="14"/>
    </row>
    <row r="49">
      <c r="C49" s="14"/>
      <c r="D49" s="14"/>
      <c r="E49" s="14"/>
      <c r="F49" s="14"/>
    </row>
    <row r="50">
      <c r="C50" s="14"/>
      <c r="D50" s="14"/>
      <c r="E50" s="14"/>
      <c r="F50" s="14"/>
    </row>
    <row r="51">
      <c r="C51" s="14"/>
      <c r="D51" s="14"/>
      <c r="E51" s="14"/>
      <c r="F51" s="14"/>
    </row>
    <row r="52">
      <c r="C52" s="14"/>
      <c r="D52" s="14"/>
      <c r="E52" s="14"/>
      <c r="F52" s="14"/>
    </row>
    <row r="53">
      <c r="C53" s="14"/>
      <c r="D53" s="14"/>
      <c r="E53" s="14"/>
      <c r="F53" s="14"/>
    </row>
    <row r="54">
      <c r="C54" s="14"/>
      <c r="D54" s="14"/>
      <c r="E54" s="14"/>
      <c r="F54" s="14"/>
    </row>
    <row r="55">
      <c r="C55" s="14"/>
      <c r="D55" s="14"/>
      <c r="E55" s="14"/>
      <c r="F55" s="14"/>
    </row>
    <row r="56">
      <c r="C56" s="14"/>
      <c r="D56" s="14"/>
      <c r="E56" s="14"/>
      <c r="F56" s="14"/>
    </row>
    <row r="57">
      <c r="C57" s="14"/>
      <c r="D57" s="14"/>
      <c r="E57" s="14"/>
      <c r="F57" s="14"/>
    </row>
    <row r="58">
      <c r="C58" s="14"/>
      <c r="D58" s="14"/>
      <c r="E58" s="14"/>
      <c r="F58" s="14"/>
    </row>
    <row r="59">
      <c r="C59" s="14"/>
      <c r="D59" s="14"/>
      <c r="E59" s="14"/>
      <c r="F59" s="14"/>
    </row>
    <row r="60">
      <c r="C60" s="14"/>
      <c r="D60" s="14"/>
      <c r="E60" s="14"/>
      <c r="F60" s="14"/>
    </row>
    <row r="61">
      <c r="C61" s="14"/>
      <c r="D61" s="14"/>
      <c r="E61" s="14"/>
      <c r="F61" s="14"/>
    </row>
    <row r="62">
      <c r="C62" s="14"/>
      <c r="D62" s="14"/>
      <c r="E62" s="14"/>
      <c r="F62" s="14"/>
    </row>
    <row r="63">
      <c r="C63" s="14"/>
      <c r="D63" s="14"/>
      <c r="E63" s="14"/>
      <c r="F63" s="14"/>
    </row>
    <row r="64">
      <c r="C64" s="14"/>
      <c r="D64" s="14"/>
      <c r="E64" s="14"/>
      <c r="F64" s="14"/>
    </row>
    <row r="65">
      <c r="C65" s="14"/>
      <c r="D65" s="14"/>
      <c r="E65" s="14"/>
      <c r="F65" s="14"/>
    </row>
    <row r="66">
      <c r="C66" s="14"/>
      <c r="D66" s="14"/>
      <c r="E66" s="14"/>
      <c r="F66" s="14"/>
    </row>
    <row r="67">
      <c r="C67" s="14"/>
      <c r="D67" s="14"/>
      <c r="E67" s="14"/>
      <c r="F67" s="14"/>
    </row>
    <row r="68">
      <c r="C68" s="14"/>
      <c r="D68" s="14"/>
      <c r="E68" s="14"/>
      <c r="F68" s="14"/>
    </row>
    <row r="69">
      <c r="C69" s="14"/>
      <c r="D69" s="14"/>
      <c r="E69" s="14"/>
      <c r="F69" s="14"/>
    </row>
    <row r="70">
      <c r="C70" s="14"/>
      <c r="D70" s="14"/>
      <c r="E70" s="14"/>
      <c r="F70" s="14"/>
    </row>
    <row r="71">
      <c r="C71" s="14"/>
      <c r="D71" s="14"/>
      <c r="E71" s="14"/>
      <c r="F71" s="14"/>
    </row>
    <row r="72">
      <c r="C72" s="14"/>
      <c r="D72" s="14"/>
      <c r="E72" s="14"/>
      <c r="F72" s="14"/>
    </row>
    <row r="73">
      <c r="C73" s="14"/>
      <c r="D73" s="14"/>
      <c r="E73" s="14"/>
      <c r="F73" s="14"/>
    </row>
    <row r="74">
      <c r="C74" s="14"/>
      <c r="D74" s="14"/>
      <c r="E74" s="14"/>
      <c r="F74" s="14"/>
    </row>
    <row r="75">
      <c r="C75" s="14"/>
      <c r="D75" s="14"/>
      <c r="E75" s="14"/>
      <c r="F75" s="14"/>
    </row>
    <row r="76">
      <c r="C76" s="14"/>
      <c r="D76" s="14"/>
      <c r="E76" s="14"/>
      <c r="F76" s="14"/>
    </row>
    <row r="77">
      <c r="C77" s="14"/>
      <c r="D77" s="14"/>
      <c r="E77" s="14"/>
      <c r="F77" s="14"/>
    </row>
    <row r="78">
      <c r="C78" s="14"/>
      <c r="D78" s="14"/>
      <c r="E78" s="14"/>
      <c r="F78" s="14"/>
    </row>
    <row r="79">
      <c r="C79" s="14"/>
      <c r="D79" s="14"/>
      <c r="E79" s="14"/>
      <c r="F79" s="14"/>
    </row>
    <row r="80">
      <c r="C80" s="14"/>
      <c r="D80" s="14"/>
      <c r="E80" s="14"/>
      <c r="F80" s="14"/>
    </row>
    <row r="81">
      <c r="C81" s="14"/>
      <c r="D81" s="14"/>
      <c r="E81" s="14"/>
      <c r="F81" s="14"/>
    </row>
    <row r="82">
      <c r="C82" s="14"/>
      <c r="D82" s="14"/>
      <c r="E82" s="14"/>
      <c r="F82" s="14"/>
    </row>
    <row r="83">
      <c r="C83" s="14"/>
      <c r="D83" s="14"/>
      <c r="E83" s="14"/>
      <c r="F83" s="14"/>
    </row>
    <row r="84">
      <c r="C84" s="14"/>
      <c r="D84" s="14"/>
      <c r="E84" s="14"/>
      <c r="F84" s="14"/>
    </row>
    <row r="85">
      <c r="C85" s="14"/>
      <c r="D85" s="14"/>
      <c r="E85" s="14"/>
      <c r="F85" s="14"/>
    </row>
    <row r="86">
      <c r="C86" s="14"/>
      <c r="D86" s="14"/>
      <c r="E86" s="14"/>
      <c r="F86" s="14"/>
    </row>
    <row r="87">
      <c r="C87" s="14"/>
      <c r="D87" s="14"/>
      <c r="E87" s="14"/>
      <c r="F87" s="14"/>
    </row>
    <row r="88">
      <c r="C88" s="14"/>
      <c r="D88" s="14"/>
      <c r="E88" s="14"/>
      <c r="F88" s="14"/>
    </row>
    <row r="89">
      <c r="C89" s="14"/>
      <c r="D89" s="14"/>
      <c r="E89" s="14"/>
      <c r="F89" s="14"/>
    </row>
    <row r="90">
      <c r="C90" s="14"/>
      <c r="D90" s="14"/>
      <c r="E90" s="14"/>
      <c r="F90" s="14"/>
    </row>
    <row r="91">
      <c r="C91" s="14"/>
      <c r="D91" s="14"/>
      <c r="E91" s="14"/>
      <c r="F91" s="14"/>
    </row>
    <row r="92">
      <c r="C92" s="14"/>
      <c r="D92" s="14"/>
      <c r="E92" s="14"/>
      <c r="F92" s="14"/>
    </row>
    <row r="93">
      <c r="C93" s="14"/>
      <c r="D93" s="14"/>
      <c r="E93" s="14"/>
      <c r="F93" s="14"/>
    </row>
    <row r="94">
      <c r="C94" s="14"/>
      <c r="D94" s="14"/>
      <c r="E94" s="14"/>
      <c r="F94" s="14"/>
    </row>
    <row r="95">
      <c r="C95" s="14"/>
      <c r="D95" s="14"/>
      <c r="E95" s="14"/>
      <c r="F95" s="14"/>
    </row>
    <row r="96">
      <c r="C96" s="14"/>
      <c r="D96" s="14"/>
      <c r="E96" s="14"/>
      <c r="F96" s="14"/>
    </row>
    <row r="97">
      <c r="C97" s="14"/>
      <c r="D97" s="14"/>
      <c r="E97" s="14"/>
      <c r="F97" s="14"/>
    </row>
    <row r="98">
      <c r="C98" s="14"/>
      <c r="D98" s="14"/>
      <c r="E98" s="14"/>
      <c r="F98" s="14"/>
    </row>
    <row r="99">
      <c r="C99" s="14"/>
      <c r="D99" s="14"/>
      <c r="E99" s="14"/>
      <c r="F99" s="14"/>
    </row>
    <row r="100">
      <c r="C100" s="14"/>
      <c r="D100" s="14"/>
      <c r="E100" s="14"/>
      <c r="F100" s="14"/>
    </row>
    <row r="101">
      <c r="C101" s="14"/>
      <c r="D101" s="14"/>
      <c r="E101" s="14"/>
      <c r="F101" s="14"/>
    </row>
    <row r="102">
      <c r="C102" s="14"/>
      <c r="D102" s="14"/>
      <c r="E102" s="14"/>
      <c r="F102" s="14"/>
    </row>
    <row r="103">
      <c r="C103" s="14"/>
      <c r="D103" s="14"/>
      <c r="E103" s="14"/>
      <c r="F103" s="14"/>
    </row>
    <row r="104">
      <c r="C104" s="14"/>
      <c r="D104" s="14"/>
      <c r="E104" s="14"/>
      <c r="F104" s="14"/>
    </row>
    <row r="105">
      <c r="C105" s="14"/>
      <c r="D105" s="14"/>
      <c r="E105" s="14"/>
      <c r="F105" s="14"/>
    </row>
    <row r="106">
      <c r="C106" s="14"/>
      <c r="D106" s="14"/>
      <c r="E106" s="14"/>
      <c r="F106" s="14"/>
    </row>
    <row r="107">
      <c r="C107" s="14"/>
      <c r="D107" s="14"/>
      <c r="E107" s="14"/>
      <c r="F107" s="14"/>
    </row>
    <row r="108">
      <c r="C108" s="14"/>
      <c r="D108" s="14"/>
      <c r="E108" s="14"/>
      <c r="F108" s="14"/>
    </row>
    <row r="109">
      <c r="C109" s="14"/>
      <c r="D109" s="14"/>
      <c r="E109" s="14"/>
      <c r="F109" s="14"/>
    </row>
    <row r="110">
      <c r="C110" s="14"/>
      <c r="D110" s="14"/>
      <c r="E110" s="14"/>
      <c r="F110" s="14"/>
    </row>
    <row r="111">
      <c r="C111" s="14"/>
      <c r="D111" s="14"/>
      <c r="E111" s="14"/>
      <c r="F111" s="14"/>
    </row>
    <row r="112">
      <c r="C112" s="14"/>
      <c r="D112" s="14"/>
      <c r="E112" s="14"/>
      <c r="F112" s="14"/>
    </row>
    <row r="113">
      <c r="C113" s="14"/>
      <c r="D113" s="14"/>
      <c r="E113" s="14"/>
      <c r="F113" s="14"/>
    </row>
    <row r="114">
      <c r="C114" s="14"/>
      <c r="D114" s="14"/>
      <c r="E114" s="14"/>
      <c r="F114" s="14"/>
    </row>
    <row r="115">
      <c r="C115" s="14"/>
      <c r="D115" s="14"/>
      <c r="E115" s="14"/>
      <c r="F115" s="14"/>
    </row>
    <row r="116">
      <c r="C116" s="14"/>
      <c r="D116" s="14"/>
      <c r="E116" s="14"/>
      <c r="F116" s="14"/>
    </row>
    <row r="117">
      <c r="C117" s="14"/>
      <c r="D117" s="14"/>
      <c r="E117" s="14"/>
      <c r="F117" s="14"/>
    </row>
    <row r="118">
      <c r="C118" s="14"/>
      <c r="D118" s="14"/>
      <c r="E118" s="14"/>
      <c r="F118" s="14"/>
    </row>
    <row r="119">
      <c r="C119" s="14"/>
      <c r="D119" s="14"/>
      <c r="E119" s="14"/>
      <c r="F119" s="14"/>
    </row>
    <row r="120">
      <c r="C120" s="14"/>
      <c r="D120" s="14"/>
      <c r="E120" s="14"/>
      <c r="F120" s="14"/>
    </row>
    <row r="121">
      <c r="C121" s="14"/>
      <c r="D121" s="14"/>
      <c r="E121" s="14"/>
      <c r="F121" s="14"/>
    </row>
    <row r="122">
      <c r="C122" s="14"/>
      <c r="D122" s="14"/>
      <c r="E122" s="14"/>
      <c r="F122" s="14"/>
    </row>
    <row r="123">
      <c r="C123" s="14"/>
      <c r="D123" s="14"/>
      <c r="E123" s="14"/>
      <c r="F123" s="14"/>
    </row>
    <row r="124">
      <c r="C124" s="14"/>
      <c r="D124" s="14"/>
      <c r="E124" s="14"/>
      <c r="F124" s="14"/>
    </row>
    <row r="125">
      <c r="C125" s="14"/>
      <c r="D125" s="14"/>
      <c r="E125" s="14"/>
      <c r="F125" s="14"/>
    </row>
    <row r="126">
      <c r="C126" s="14"/>
      <c r="D126" s="14"/>
      <c r="E126" s="14"/>
      <c r="F126" s="14"/>
    </row>
    <row r="127">
      <c r="C127" s="14"/>
      <c r="D127" s="14"/>
      <c r="E127" s="14"/>
      <c r="F127" s="14"/>
    </row>
    <row r="128">
      <c r="C128" s="14"/>
      <c r="D128" s="14"/>
      <c r="E128" s="14"/>
      <c r="F128" s="14"/>
    </row>
    <row r="129">
      <c r="C129" s="14"/>
      <c r="D129" s="14"/>
      <c r="E129" s="14"/>
      <c r="F129" s="14"/>
    </row>
    <row r="130">
      <c r="C130" s="14"/>
      <c r="D130" s="14"/>
      <c r="E130" s="14"/>
      <c r="F130" s="14"/>
    </row>
    <row r="131">
      <c r="C131" s="14"/>
      <c r="D131" s="14"/>
      <c r="E131" s="14"/>
      <c r="F131" s="14"/>
    </row>
    <row r="132">
      <c r="C132" s="14"/>
      <c r="D132" s="14"/>
      <c r="E132" s="14"/>
      <c r="F132" s="14"/>
    </row>
    <row r="133">
      <c r="C133" s="14"/>
      <c r="D133" s="14"/>
      <c r="E133" s="14"/>
      <c r="F133" s="14"/>
    </row>
    <row r="134">
      <c r="C134" s="14"/>
      <c r="D134" s="14"/>
      <c r="E134" s="14"/>
      <c r="F134" s="14"/>
    </row>
    <row r="135">
      <c r="C135" s="14"/>
      <c r="D135" s="14"/>
      <c r="E135" s="14"/>
      <c r="F135" s="14"/>
    </row>
    <row r="136">
      <c r="C136" s="14"/>
      <c r="D136" s="14"/>
      <c r="E136" s="14"/>
      <c r="F136" s="14"/>
    </row>
    <row r="137">
      <c r="C137" s="14"/>
      <c r="D137" s="14"/>
      <c r="E137" s="14"/>
      <c r="F137" s="14"/>
    </row>
    <row r="138">
      <c r="C138" s="14"/>
      <c r="D138" s="14"/>
      <c r="E138" s="14"/>
      <c r="F138" s="14"/>
    </row>
    <row r="139">
      <c r="C139" s="14"/>
      <c r="D139" s="14"/>
      <c r="E139" s="14"/>
      <c r="F139" s="14"/>
    </row>
    <row r="140">
      <c r="C140" s="14"/>
      <c r="D140" s="14"/>
      <c r="E140" s="14"/>
      <c r="F140" s="14"/>
    </row>
    <row r="141">
      <c r="C141" s="14"/>
      <c r="D141" s="14"/>
      <c r="E141" s="14"/>
      <c r="F141" s="14"/>
    </row>
    <row r="142">
      <c r="C142" s="14"/>
      <c r="D142" s="14"/>
      <c r="E142" s="14"/>
      <c r="F142" s="14"/>
    </row>
    <row r="143">
      <c r="C143" s="14"/>
      <c r="D143" s="14"/>
      <c r="E143" s="14"/>
      <c r="F143" s="14"/>
    </row>
    <row r="144">
      <c r="C144" s="14"/>
      <c r="D144" s="14"/>
      <c r="E144" s="14"/>
      <c r="F144" s="14"/>
    </row>
    <row r="145">
      <c r="C145" s="14"/>
      <c r="D145" s="14"/>
      <c r="E145" s="14"/>
      <c r="F145" s="14"/>
    </row>
    <row r="146">
      <c r="C146" s="14"/>
      <c r="D146" s="14"/>
      <c r="E146" s="14"/>
      <c r="F146" s="14"/>
    </row>
    <row r="147">
      <c r="C147" s="14"/>
      <c r="D147" s="14"/>
      <c r="E147" s="14"/>
      <c r="F147" s="14"/>
    </row>
    <row r="148">
      <c r="C148" s="14"/>
      <c r="D148" s="14"/>
      <c r="E148" s="14"/>
      <c r="F148" s="14"/>
    </row>
    <row r="149">
      <c r="C149" s="14"/>
      <c r="D149" s="14"/>
      <c r="E149" s="14"/>
      <c r="F149" s="14"/>
    </row>
    <row r="150">
      <c r="C150" s="14"/>
      <c r="D150" s="14"/>
      <c r="E150" s="14"/>
      <c r="F150" s="14"/>
    </row>
    <row r="151">
      <c r="C151" s="14"/>
      <c r="D151" s="14"/>
      <c r="E151" s="14"/>
      <c r="F151" s="14"/>
    </row>
    <row r="152">
      <c r="C152" s="14"/>
      <c r="D152" s="14"/>
      <c r="E152" s="14"/>
      <c r="F152" s="14"/>
    </row>
    <row r="153">
      <c r="C153" s="14"/>
      <c r="D153" s="14"/>
      <c r="E153" s="14"/>
      <c r="F153" s="14"/>
    </row>
    <row r="154">
      <c r="C154" s="14"/>
      <c r="D154" s="14"/>
      <c r="E154" s="14"/>
      <c r="F154" s="14"/>
    </row>
    <row r="155">
      <c r="C155" s="14"/>
      <c r="D155" s="14"/>
      <c r="E155" s="14"/>
      <c r="F155" s="14"/>
    </row>
    <row r="156">
      <c r="C156" s="14"/>
      <c r="D156" s="14"/>
      <c r="E156" s="14"/>
      <c r="F156" s="14"/>
    </row>
    <row r="157">
      <c r="C157" s="14"/>
      <c r="D157" s="14"/>
      <c r="E157" s="14"/>
      <c r="F157" s="14"/>
    </row>
    <row r="158">
      <c r="C158" s="14"/>
      <c r="D158" s="14"/>
      <c r="E158" s="14"/>
      <c r="F158" s="14"/>
    </row>
    <row r="159">
      <c r="C159" s="14"/>
      <c r="D159" s="14"/>
      <c r="E159" s="14"/>
      <c r="F159" s="14"/>
    </row>
    <row r="160">
      <c r="C160" s="14"/>
      <c r="D160" s="14"/>
      <c r="E160" s="14"/>
      <c r="F160" s="14"/>
    </row>
    <row r="161">
      <c r="C161" s="14"/>
      <c r="D161" s="14"/>
      <c r="E161" s="14"/>
      <c r="F161" s="14"/>
    </row>
    <row r="162">
      <c r="C162" s="14"/>
      <c r="D162" s="14"/>
      <c r="E162" s="14"/>
      <c r="F162" s="14"/>
    </row>
    <row r="163">
      <c r="C163" s="14"/>
      <c r="D163" s="14"/>
      <c r="E163" s="14"/>
      <c r="F163" s="14"/>
    </row>
    <row r="164">
      <c r="C164" s="14"/>
      <c r="D164" s="14"/>
      <c r="E164" s="14"/>
      <c r="F164" s="14"/>
    </row>
    <row r="165">
      <c r="C165" s="14"/>
      <c r="D165" s="14"/>
      <c r="E165" s="14"/>
      <c r="F165" s="14"/>
    </row>
    <row r="166">
      <c r="C166" s="14"/>
      <c r="D166" s="14"/>
      <c r="E166" s="14"/>
      <c r="F166" s="14"/>
    </row>
    <row r="167">
      <c r="C167" s="14"/>
      <c r="D167" s="14"/>
      <c r="E167" s="14"/>
      <c r="F167" s="14"/>
    </row>
    <row r="168">
      <c r="C168" s="14"/>
      <c r="D168" s="14"/>
      <c r="E168" s="14"/>
      <c r="F168" s="14"/>
    </row>
    <row r="169">
      <c r="C169" s="14"/>
      <c r="D169" s="14"/>
      <c r="E169" s="14"/>
      <c r="F169" s="14"/>
    </row>
    <row r="170">
      <c r="C170" s="14"/>
      <c r="D170" s="14"/>
      <c r="E170" s="14"/>
      <c r="F170" s="14"/>
    </row>
    <row r="171">
      <c r="C171" s="14"/>
      <c r="D171" s="14"/>
      <c r="E171" s="14"/>
      <c r="F171" s="14"/>
    </row>
    <row r="172">
      <c r="C172" s="14"/>
      <c r="D172" s="14"/>
      <c r="E172" s="14"/>
      <c r="F172" s="14"/>
    </row>
    <row r="173">
      <c r="C173" s="14"/>
      <c r="D173" s="14"/>
      <c r="E173" s="14"/>
      <c r="F173" s="14"/>
    </row>
    <row r="174">
      <c r="C174" s="14"/>
      <c r="D174" s="14"/>
      <c r="E174" s="14"/>
      <c r="F174" s="14"/>
    </row>
    <row r="175">
      <c r="C175" s="14"/>
      <c r="D175" s="14"/>
      <c r="E175" s="14"/>
      <c r="F175" s="14"/>
    </row>
    <row r="176">
      <c r="C176" s="14"/>
      <c r="D176" s="14"/>
      <c r="E176" s="14"/>
      <c r="F176" s="14"/>
    </row>
    <row r="177">
      <c r="C177" s="14"/>
      <c r="D177" s="14"/>
      <c r="E177" s="14"/>
      <c r="F177" s="14"/>
    </row>
    <row r="178">
      <c r="C178" s="14"/>
      <c r="D178" s="14"/>
      <c r="E178" s="14"/>
      <c r="F178" s="14"/>
    </row>
    <row r="179">
      <c r="C179" s="14"/>
      <c r="D179" s="14"/>
      <c r="E179" s="14"/>
      <c r="F179" s="14"/>
    </row>
    <row r="180">
      <c r="C180" s="14"/>
      <c r="D180" s="14"/>
      <c r="E180" s="14"/>
      <c r="F180" s="14"/>
    </row>
    <row r="181">
      <c r="C181" s="14"/>
      <c r="D181" s="14"/>
      <c r="E181" s="14"/>
      <c r="F181" s="14"/>
    </row>
    <row r="182">
      <c r="C182" s="14"/>
      <c r="D182" s="14"/>
      <c r="E182" s="14"/>
      <c r="F182" s="14"/>
    </row>
    <row r="183">
      <c r="C183" s="14"/>
      <c r="D183" s="14"/>
      <c r="E183" s="14"/>
      <c r="F183" s="14"/>
    </row>
    <row r="184">
      <c r="C184" s="14"/>
      <c r="D184" s="14"/>
      <c r="E184" s="14"/>
      <c r="F184" s="14"/>
    </row>
    <row r="185">
      <c r="C185" s="14"/>
      <c r="D185" s="14"/>
      <c r="E185" s="14"/>
      <c r="F185" s="14"/>
    </row>
    <row r="186">
      <c r="C186" s="14"/>
      <c r="D186" s="14"/>
      <c r="E186" s="14"/>
      <c r="F186" s="1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8.0"/>
    <col customWidth="1" min="2" max="2" width="53.0"/>
  </cols>
  <sheetData>
    <row r="1">
      <c r="A1" s="1" t="s">
        <v>0</v>
      </c>
      <c r="B1" s="1" t="s">
        <v>60</v>
      </c>
      <c r="C1" s="1" t="s">
        <v>997</v>
      </c>
    </row>
    <row r="2">
      <c r="A2" s="4" t="s">
        <v>998</v>
      </c>
    </row>
    <row r="3">
      <c r="A3" s="4" t="s">
        <v>999</v>
      </c>
      <c r="B3" s="4" t="s">
        <v>1000</v>
      </c>
    </row>
    <row r="4">
      <c r="A4" s="4" t="s">
        <v>1001</v>
      </c>
      <c r="B4" s="4" t="s">
        <v>1003</v>
      </c>
    </row>
    <row r="5">
      <c r="A5" s="4" t="s">
        <v>1004</v>
      </c>
    </row>
    <row r="6">
      <c r="A6" s="4" t="s">
        <v>1005</v>
      </c>
    </row>
    <row r="7">
      <c r="A7" s="4" t="s">
        <v>262</v>
      </c>
    </row>
    <row r="8">
      <c r="A8" s="4" t="s">
        <v>1007</v>
      </c>
    </row>
    <row r="9">
      <c r="A9" s="4" t="s">
        <v>284</v>
      </c>
      <c r="B9" s="4" t="s">
        <v>1008</v>
      </c>
      <c r="C9" s="49" t="s">
        <v>1009</v>
      </c>
    </row>
    <row r="10">
      <c r="A10" s="4" t="s">
        <v>303</v>
      </c>
      <c r="B10" s="4" t="s">
        <v>1012</v>
      </c>
    </row>
    <row r="11">
      <c r="A11" s="4" t="s">
        <v>1013</v>
      </c>
      <c r="B11" s="4" t="s">
        <v>1014</v>
      </c>
    </row>
    <row r="12">
      <c r="A12" s="4" t="s">
        <v>1015</v>
      </c>
      <c r="B12" s="4" t="s">
        <v>1016</v>
      </c>
      <c r="C12" s="49" t="s">
        <v>1018</v>
      </c>
    </row>
    <row r="13">
      <c r="A13" s="4" t="s">
        <v>1019</v>
      </c>
      <c r="B13" s="4" t="s">
        <v>1020</v>
      </c>
    </row>
    <row r="14">
      <c r="A14" s="4" t="s">
        <v>1022</v>
      </c>
      <c r="B14" s="4" t="s">
        <v>1023</v>
      </c>
    </row>
    <row r="15">
      <c r="A15" s="4" t="s">
        <v>1025</v>
      </c>
      <c r="B15" s="4" t="s">
        <v>1026</v>
      </c>
    </row>
    <row r="16">
      <c r="A16" s="4" t="s">
        <v>1027</v>
      </c>
    </row>
    <row r="17">
      <c r="A17" s="4" t="s">
        <v>1029</v>
      </c>
      <c r="B17" s="4" t="s">
        <v>1030</v>
      </c>
    </row>
    <row r="18">
      <c r="A18" s="4" t="s">
        <v>1031</v>
      </c>
      <c r="B18" s="4" t="s">
        <v>1032</v>
      </c>
    </row>
    <row r="19">
      <c r="A19" s="4" t="s">
        <v>1033</v>
      </c>
      <c r="B19" s="4" t="s">
        <v>1034</v>
      </c>
      <c r="C19" s="49" t="s">
        <v>1035</v>
      </c>
    </row>
    <row r="20">
      <c r="A20" s="4" t="s">
        <v>1037</v>
      </c>
    </row>
    <row r="21">
      <c r="A21" s="4" t="s">
        <v>1038</v>
      </c>
    </row>
    <row r="22">
      <c r="A22" s="4" t="s">
        <v>1039</v>
      </c>
    </row>
    <row r="23">
      <c r="A23" s="4" t="s">
        <v>1040</v>
      </c>
    </row>
    <row r="24">
      <c r="A24" s="4" t="s">
        <v>473</v>
      </c>
      <c r="B24" s="4" t="s">
        <v>1041</v>
      </c>
      <c r="C24" s="49" t="s">
        <v>1042</v>
      </c>
    </row>
    <row r="25">
      <c r="A25" s="4" t="s">
        <v>1043</v>
      </c>
      <c r="B25" s="4" t="s">
        <v>1045</v>
      </c>
    </row>
    <row r="26">
      <c r="A26" s="4" t="s">
        <v>1046</v>
      </c>
      <c r="B26" s="4" t="s">
        <v>1047</v>
      </c>
    </row>
    <row r="27">
      <c r="A27" s="4" t="s">
        <v>1048</v>
      </c>
      <c r="B27" s="4" t="s">
        <v>1049</v>
      </c>
    </row>
    <row r="28">
      <c r="A28" s="4" t="s">
        <v>1050</v>
      </c>
      <c r="B28" s="4" t="s">
        <v>1052</v>
      </c>
    </row>
    <row r="29">
      <c r="A29" s="4" t="s">
        <v>1053</v>
      </c>
    </row>
    <row r="30">
      <c r="A30" s="4" t="s">
        <v>1054</v>
      </c>
      <c r="B30" s="4" t="s">
        <v>1055</v>
      </c>
      <c r="C30" s="49" t="s">
        <v>1056</v>
      </c>
    </row>
    <row r="31">
      <c r="A31" s="4" t="s">
        <v>1054</v>
      </c>
      <c r="B31" s="4" t="s">
        <v>1057</v>
      </c>
      <c r="C31" s="49" t="s">
        <v>1056</v>
      </c>
    </row>
    <row r="32">
      <c r="A32" s="4" t="s">
        <v>1054</v>
      </c>
      <c r="B32" s="4" t="s">
        <v>1060</v>
      </c>
      <c r="C32" s="49" t="s">
        <v>1056</v>
      </c>
    </row>
    <row r="33">
      <c r="A33" s="4" t="s">
        <v>1054</v>
      </c>
      <c r="B33" s="4" t="s">
        <v>1062</v>
      </c>
      <c r="C33" s="49" t="s">
        <v>1056</v>
      </c>
    </row>
    <row r="34">
      <c r="A34" s="4" t="s">
        <v>1064</v>
      </c>
    </row>
    <row r="35">
      <c r="A35" s="4" t="s">
        <v>1065</v>
      </c>
      <c r="B35" s="4" t="s">
        <v>1066</v>
      </c>
    </row>
    <row r="36">
      <c r="A36" s="4" t="s">
        <v>1067</v>
      </c>
      <c r="B36" s="4" t="s">
        <v>1049</v>
      </c>
    </row>
    <row r="37">
      <c r="A37" s="4" t="s">
        <v>1069</v>
      </c>
      <c r="B37" s="4" t="s">
        <v>1070</v>
      </c>
    </row>
    <row r="38">
      <c r="A38" s="4" t="s">
        <v>1071</v>
      </c>
    </row>
    <row r="39">
      <c r="A39" s="4" t="s">
        <v>1072</v>
      </c>
    </row>
    <row r="40">
      <c r="A40" s="4" t="s">
        <v>1073</v>
      </c>
    </row>
    <row r="41">
      <c r="A41" s="4" t="s">
        <v>1074</v>
      </c>
      <c r="B41" s="4" t="s">
        <v>1075</v>
      </c>
    </row>
    <row r="42">
      <c r="A42" s="4" t="s">
        <v>747</v>
      </c>
      <c r="B42" s="4" t="s">
        <v>1077</v>
      </c>
      <c r="C42" s="49" t="s">
        <v>1078</v>
      </c>
    </row>
    <row r="43">
      <c r="A43" s="4" t="s">
        <v>1079</v>
      </c>
      <c r="B43" s="4" t="s">
        <v>1080</v>
      </c>
    </row>
    <row r="44">
      <c r="A44" s="4" t="s">
        <v>1081</v>
      </c>
      <c r="B44" s="4" t="s">
        <v>1082</v>
      </c>
    </row>
  </sheetData>
  <hyperlinks>
    <hyperlink r:id="rId1" ref="C9"/>
    <hyperlink r:id="rId2" ref="C12"/>
    <hyperlink r:id="rId3" ref="C19"/>
    <hyperlink r:id="rId4" ref="C24"/>
    <hyperlink r:id="rId5" location="v=onepage&amp;q=Rijo&amp;f=false" ref="C30"/>
    <hyperlink r:id="rId6" location="v=onepage&amp;q=Rijo&amp;f=false" ref="C31"/>
    <hyperlink r:id="rId7" location="v=onepage&amp;q=Rijo&amp;f=false" ref="C32"/>
    <hyperlink r:id="rId8" location="v=onepage&amp;q=Rijo&amp;f=false" ref="C33"/>
    <hyperlink r:id="rId9" ref="C42"/>
  </hyperlinks>
  <drawing r:id="rId1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3.0" topLeftCell="A4" activePane="bottomLeft" state="frozen"/>
      <selection activeCell="B5" sqref="B5" pane="bottomLeft"/>
    </sheetView>
  </sheetViews>
  <sheetFormatPr customHeight="1" defaultColWidth="14.43" defaultRowHeight="15.75"/>
  <cols>
    <col customWidth="1" min="1" max="1" width="13.14"/>
    <col customWidth="1" min="2" max="2" width="5.0"/>
    <col customWidth="1" min="3" max="5" width="5.57"/>
    <col customWidth="1" min="6" max="13" width="5.43"/>
    <col customWidth="1" hidden="1" min="14" max="14" width="13.14"/>
    <col customWidth="1" hidden="1" min="15" max="15" width="9.57"/>
    <col customWidth="1" hidden="1" min="16" max="16" width="14.43"/>
  </cols>
  <sheetData>
    <row r="1">
      <c r="A1" s="7" t="s">
        <v>1087</v>
      </c>
      <c r="B1" s="7" t="s">
        <v>1089</v>
      </c>
      <c r="N1" s="50"/>
      <c r="O1" s="50"/>
      <c r="P1" s="50"/>
      <c r="Q1" s="9"/>
      <c r="R1" s="9"/>
      <c r="S1" s="9"/>
      <c r="T1" s="9"/>
      <c r="U1" s="9"/>
      <c r="V1" s="9"/>
      <c r="W1" s="9"/>
      <c r="X1" s="9"/>
      <c r="Y1" s="9"/>
      <c r="Z1" s="9"/>
      <c r="AA1" s="9"/>
      <c r="AB1" s="9"/>
      <c r="AC1" s="9"/>
      <c r="AD1" s="9"/>
      <c r="AE1" s="9"/>
      <c r="AF1" s="9"/>
      <c r="AG1" s="9"/>
      <c r="AH1" s="9"/>
      <c r="AI1" s="9"/>
      <c r="AJ1" s="9"/>
    </row>
    <row r="2">
      <c r="B2" s="51" t="s">
        <v>51</v>
      </c>
      <c r="C2" s="7" t="s">
        <v>1094</v>
      </c>
      <c r="J2" s="7" t="s">
        <v>1095</v>
      </c>
      <c r="M2" s="51" t="s">
        <v>1096</v>
      </c>
      <c r="N2" s="52" t="s">
        <v>1097</v>
      </c>
      <c r="O2" s="7" t="s">
        <v>1100</v>
      </c>
      <c r="Q2" s="9"/>
      <c r="R2" s="9"/>
      <c r="S2" s="9"/>
      <c r="T2" s="9"/>
      <c r="U2" s="9"/>
      <c r="V2" s="9"/>
      <c r="W2" s="9"/>
      <c r="X2" s="9"/>
      <c r="Y2" s="9"/>
      <c r="Z2" s="9"/>
      <c r="AA2" s="9"/>
      <c r="AB2" s="9"/>
      <c r="AC2" s="9"/>
      <c r="AD2" s="9"/>
      <c r="AE2" s="9"/>
      <c r="AF2" s="9"/>
      <c r="AG2" s="9"/>
      <c r="AH2" s="9"/>
      <c r="AI2" s="9"/>
      <c r="AJ2" s="9"/>
    </row>
    <row r="3">
      <c r="C3" s="7" t="s">
        <v>1094</v>
      </c>
      <c r="D3" s="7" t="s">
        <v>75</v>
      </c>
      <c r="E3" s="7" t="s">
        <v>82</v>
      </c>
      <c r="F3" s="7" t="s">
        <v>110</v>
      </c>
      <c r="G3" s="7" t="s">
        <v>124</v>
      </c>
      <c r="H3" s="7" t="s">
        <v>210</v>
      </c>
      <c r="I3" s="7" t="s">
        <v>91</v>
      </c>
      <c r="J3" s="7" t="s">
        <v>1095</v>
      </c>
      <c r="K3" s="7" t="s">
        <v>151</v>
      </c>
      <c r="L3" s="7" t="s">
        <v>170</v>
      </c>
      <c r="N3" s="52" t="s">
        <v>1103</v>
      </c>
      <c r="O3" s="7" t="s">
        <v>1103</v>
      </c>
      <c r="P3" s="7" t="s">
        <v>997</v>
      </c>
      <c r="Q3" s="9"/>
      <c r="R3" s="9"/>
      <c r="S3" s="9"/>
      <c r="T3" s="9"/>
      <c r="U3" s="9"/>
      <c r="V3" s="9"/>
      <c r="W3" s="9"/>
      <c r="X3" s="9"/>
      <c r="Y3" s="9"/>
      <c r="Z3" s="9"/>
      <c r="AA3" s="9"/>
      <c r="AB3" s="9"/>
      <c r="AC3" s="9"/>
      <c r="AD3" s="9"/>
      <c r="AE3" s="9"/>
      <c r="AF3" s="9"/>
      <c r="AG3" s="9"/>
      <c r="AH3" s="9"/>
      <c r="AI3" s="9"/>
      <c r="AJ3" s="9"/>
    </row>
    <row r="4">
      <c r="A4" s="11" t="s">
        <v>96</v>
      </c>
      <c r="B4" s="53">
        <f>COUNTIFS('TJ List'!C:C,A4,'TJ List'!D:D,"MLB")</f>
        <v>10</v>
      </c>
      <c r="C4" s="53">
        <f t="shared" ref="C4:C33" si="1">SUM(D4:I4)</f>
        <v>16</v>
      </c>
      <c r="D4" s="14">
        <f>COUNTIFS('TJ List'!C:C,A4,'TJ List'!D:D,"AAA")</f>
        <v>4</v>
      </c>
      <c r="E4" s="14">
        <f>COUNTIFS('TJ List'!C:C,A4,'TJ List'!D:D,"AA")</f>
        <v>6</v>
      </c>
      <c r="F4" s="14">
        <f>COUNTIFS('TJ List'!C:C,A4,'TJ List'!D:D,"A+")</f>
        <v>1</v>
      </c>
      <c r="G4" s="14">
        <f>COUNTIFS('TJ List'!C:C,A4,'TJ List'!D:D,"A")</f>
        <v>3</v>
      </c>
      <c r="H4" s="14">
        <f>COUNTIFS('TJ List'!C:C,A4,'TJ List'!D:D,"A-")</f>
        <v>1</v>
      </c>
      <c r="I4" s="14">
        <f>COUNTIFS('TJ List'!C:C,A4,'TJ List'!D:D,"Rk")</f>
        <v>1</v>
      </c>
      <c r="J4" s="53">
        <f t="shared" ref="J4:J33" si="2">SUM(K4:L4)</f>
        <v>8</v>
      </c>
      <c r="K4" s="14">
        <f>COUNTIFS('TJ List'!C:C,A4,'TJ List'!D:D,"Coll")</f>
        <v>5</v>
      </c>
      <c r="L4" s="14">
        <f>COUNTIFS('TJ List'!C:C,A4,'TJ List'!D:D,"HS")</f>
        <v>3</v>
      </c>
      <c r="M4" s="53">
        <f t="shared" ref="M4:M33" si="3">SUM(B4,C4,J4)</f>
        <v>34</v>
      </c>
      <c r="N4" s="25">
        <f>AVERAGEIFS('TJ List'!L:L,'TJ List'!C:C,A4,'TJ List'!D:D,"MLB",'TJ List'!L:L,"&gt;0",'TJ List'!S:S,"&gt;=2010")</f>
        <v>18.66666667</v>
      </c>
      <c r="O4" s="14"/>
    </row>
    <row r="5">
      <c r="A5" s="11" t="s">
        <v>142</v>
      </c>
      <c r="B5" s="53">
        <f>COUNTIFS('TJ List'!C:C,A5,'TJ List'!D:D,"MLB")</f>
        <v>26</v>
      </c>
      <c r="C5" s="53">
        <f t="shared" si="1"/>
        <v>29</v>
      </c>
      <c r="D5" s="14">
        <f>COUNTIFS('TJ List'!C:C,A5,'TJ List'!D:D,"AAA")</f>
        <v>8</v>
      </c>
      <c r="E5" s="14">
        <f>COUNTIFS('TJ List'!C:C,A5,'TJ List'!D:D,"AA")</f>
        <v>8</v>
      </c>
      <c r="F5" s="14">
        <f>COUNTIFS('TJ List'!C:C,A5,'TJ List'!D:D,"A+")</f>
        <v>3</v>
      </c>
      <c r="G5" s="14">
        <f>COUNTIFS('TJ List'!C:C,A5,'TJ List'!D:D,"A")</f>
        <v>6</v>
      </c>
      <c r="H5" s="14">
        <f>COUNTIFS('TJ List'!C:C,A5,'TJ List'!D:D,"A-")</f>
        <v>0</v>
      </c>
      <c r="I5" s="14">
        <f>COUNTIFS('TJ List'!C:C,A5,'TJ List'!D:D,"Rk")</f>
        <v>4</v>
      </c>
      <c r="J5" s="53">
        <f t="shared" si="2"/>
        <v>9</v>
      </c>
      <c r="K5" s="14">
        <f>COUNTIFS('TJ List'!C:C,A5,'TJ List'!D:D,"Coll")</f>
        <v>6</v>
      </c>
      <c r="L5" s="14">
        <f>COUNTIFS('TJ List'!C:C,A5,'TJ List'!D:D,"HS")</f>
        <v>3</v>
      </c>
      <c r="M5" s="53">
        <f t="shared" si="3"/>
        <v>64</v>
      </c>
      <c r="N5" s="25">
        <f>AVERAGEIFS('TJ List'!L:L,'TJ List'!C:C,A5,'TJ List'!D:D,"MLB",'TJ List'!L:L,"&gt;0",'TJ List'!S:S,"&gt;=2010")</f>
        <v>17.125</v>
      </c>
      <c r="O5" s="14"/>
    </row>
    <row r="6">
      <c r="A6" s="11" t="s">
        <v>209</v>
      </c>
      <c r="B6" s="53">
        <f>COUNTIFS('TJ List'!C:C,A6,'TJ List'!D:D,"MLB")</f>
        <v>11</v>
      </c>
      <c r="C6" s="53">
        <f t="shared" si="1"/>
        <v>18</v>
      </c>
      <c r="D6" s="14">
        <f>COUNTIFS('TJ List'!C:C,A6,'TJ List'!D:D,"AAA")</f>
        <v>5</v>
      </c>
      <c r="E6" s="14">
        <f>COUNTIFS('TJ List'!C:C,A6,'TJ List'!D:D,"AA")</f>
        <v>6</v>
      </c>
      <c r="F6" s="14">
        <f>COUNTIFS('TJ List'!C:C,A6,'TJ List'!D:D,"A+")</f>
        <v>1</v>
      </c>
      <c r="G6" s="14">
        <f>COUNTIFS('TJ List'!C:C,A6,'TJ List'!D:D,"A")</f>
        <v>2</v>
      </c>
      <c r="H6" s="14">
        <f>COUNTIFS('TJ List'!C:C,A6,'TJ List'!D:D,"A-")</f>
        <v>2</v>
      </c>
      <c r="I6" s="14">
        <f>COUNTIFS('TJ List'!C:C,A6,'TJ List'!D:D,"Rk")</f>
        <v>2</v>
      </c>
      <c r="J6" s="53">
        <f t="shared" si="2"/>
        <v>9</v>
      </c>
      <c r="K6" s="14">
        <f>COUNTIFS('TJ List'!C:C,A6,'TJ List'!D:D,"Coll")</f>
        <v>5</v>
      </c>
      <c r="L6" s="14">
        <f>COUNTIFS('TJ List'!C:C,A6,'TJ List'!D:D,"HS")</f>
        <v>4</v>
      </c>
      <c r="M6" s="53">
        <f t="shared" si="3"/>
        <v>38</v>
      </c>
      <c r="N6" s="25">
        <f>AVERAGEIFS('TJ List'!L:L,'TJ List'!C:C,A6,'TJ List'!D:D,"MLB",'TJ List'!L:L,"&gt;0",'TJ List'!S:S,"&gt;=2010")</f>
        <v>21</v>
      </c>
      <c r="O6" s="14"/>
    </row>
    <row r="7">
      <c r="A7" s="11" t="s">
        <v>133</v>
      </c>
      <c r="B7" s="53">
        <f>COUNTIFS('TJ List'!C:C,A7,'TJ List'!D:D,"MLB")</f>
        <v>16</v>
      </c>
      <c r="C7" s="53">
        <f t="shared" si="1"/>
        <v>19</v>
      </c>
      <c r="D7" s="14">
        <f>COUNTIFS('TJ List'!C:C,A7,'TJ List'!D:D,"AAA")</f>
        <v>5</v>
      </c>
      <c r="E7" s="14">
        <f>COUNTIFS('TJ List'!C:C,A7,'TJ List'!D:D,"AA")</f>
        <v>4</v>
      </c>
      <c r="F7" s="14">
        <f>COUNTIFS('TJ List'!C:C,A7,'TJ List'!D:D,"A+")</f>
        <v>3</v>
      </c>
      <c r="G7" s="14">
        <f>COUNTIFS('TJ List'!C:C,A7,'TJ List'!D:D,"A")</f>
        <v>3</v>
      </c>
      <c r="H7" s="14">
        <f>COUNTIFS('TJ List'!C:C,A7,'TJ List'!D:D,"A-")</f>
        <v>2</v>
      </c>
      <c r="I7" s="14">
        <f>COUNTIFS('TJ List'!C:C,A7,'TJ List'!D:D,"Rk")</f>
        <v>2</v>
      </c>
      <c r="J7" s="53">
        <f t="shared" si="2"/>
        <v>11</v>
      </c>
      <c r="K7" s="14">
        <f>COUNTIFS('TJ List'!C:C,A7,'TJ List'!D:D,"Coll")</f>
        <v>6</v>
      </c>
      <c r="L7" s="14">
        <f>COUNTIFS('TJ List'!C:C,A7,'TJ List'!D:D,"HS")</f>
        <v>5</v>
      </c>
      <c r="M7" s="53">
        <f t="shared" si="3"/>
        <v>46</v>
      </c>
      <c r="N7" s="25">
        <f>AVERAGEIFS('TJ List'!L:L,'TJ List'!C:C,A7,'TJ List'!D:D,"MLB",'TJ List'!L:L,"&gt;0",'TJ List'!S:S,"&gt;=2010")</f>
        <v>12.66666667</v>
      </c>
      <c r="O7" s="14"/>
    </row>
    <row r="8">
      <c r="A8" s="11" t="s">
        <v>350</v>
      </c>
      <c r="B8" s="53">
        <f>COUNTIFS('TJ List'!C:C,A8,'TJ List'!D:D,"MLB")</f>
        <v>10</v>
      </c>
      <c r="C8" s="53">
        <f t="shared" si="1"/>
        <v>31</v>
      </c>
      <c r="D8" s="14">
        <f>COUNTIFS('TJ List'!C:C,A8,'TJ List'!D:D,"AAA")</f>
        <v>6</v>
      </c>
      <c r="E8" s="14">
        <f>COUNTIFS('TJ List'!C:C,A8,'TJ List'!D:D,"AA")</f>
        <v>4</v>
      </c>
      <c r="F8" s="14">
        <f>COUNTIFS('TJ List'!C:C,A8,'TJ List'!D:D,"A+")</f>
        <v>6</v>
      </c>
      <c r="G8" s="14">
        <f>COUNTIFS('TJ List'!C:C,A8,'TJ List'!D:D,"A")</f>
        <v>6</v>
      </c>
      <c r="H8" s="14">
        <f>COUNTIFS('TJ List'!C:C,A8,'TJ List'!D:D,"A-")</f>
        <v>2</v>
      </c>
      <c r="I8" s="14">
        <f>COUNTIFS('TJ List'!C:C,A8,'TJ List'!D:D,"Rk")</f>
        <v>7</v>
      </c>
      <c r="J8" s="53">
        <f t="shared" si="2"/>
        <v>4</v>
      </c>
      <c r="K8" s="14">
        <f>COUNTIFS('TJ List'!C:C,A8,'TJ List'!D:D,"Coll")</f>
        <v>2</v>
      </c>
      <c r="L8" s="14">
        <f>COUNTIFS('TJ List'!C:C,A8,'TJ List'!D:D,"HS")</f>
        <v>2</v>
      </c>
      <c r="M8" s="53">
        <f t="shared" si="3"/>
        <v>45</v>
      </c>
      <c r="N8" s="25">
        <f>AVERAGEIFS('TJ List'!L:L,'TJ List'!C:C,A8,'TJ List'!D:D,"MLB",'TJ List'!L:L,"&gt;0",'TJ List'!S:S,"&gt;=2010")</f>
        <v>25.5</v>
      </c>
      <c r="O8" s="14"/>
    </row>
    <row r="9">
      <c r="A9" s="11" t="s">
        <v>259</v>
      </c>
      <c r="B9" s="53">
        <f>COUNTIFS('TJ List'!C:C,A9,'TJ List'!D:D,"MLB")</f>
        <v>7</v>
      </c>
      <c r="C9" s="53">
        <f t="shared" si="1"/>
        <v>25</v>
      </c>
      <c r="D9" s="14">
        <f>COUNTIFS('TJ List'!C:C,A9,'TJ List'!D:D,"AAA")</f>
        <v>8</v>
      </c>
      <c r="E9" s="14">
        <f>COUNTIFS('TJ List'!C:C,A9,'TJ List'!D:D,"AA")</f>
        <v>4</v>
      </c>
      <c r="F9" s="14">
        <f>COUNTIFS('TJ List'!C:C,A9,'TJ List'!D:D,"A+")</f>
        <v>2</v>
      </c>
      <c r="G9" s="14">
        <f>COUNTIFS('TJ List'!C:C,A9,'TJ List'!D:D,"A")</f>
        <v>6</v>
      </c>
      <c r="H9" s="14">
        <f>COUNTIFS('TJ List'!C:C,A9,'TJ List'!D:D,"A-")</f>
        <v>0</v>
      </c>
      <c r="I9" s="14">
        <f>COUNTIFS('TJ List'!C:C,A9,'TJ List'!D:D,"Rk")</f>
        <v>5</v>
      </c>
      <c r="J9" s="53">
        <f t="shared" si="2"/>
        <v>5</v>
      </c>
      <c r="K9" s="14">
        <f>COUNTIFS('TJ List'!C:C,A9,'TJ List'!D:D,"Coll")</f>
        <v>5</v>
      </c>
      <c r="L9" s="14">
        <f>COUNTIFS('TJ List'!C:C,A9,'TJ List'!D:D,"HS")</f>
        <v>0</v>
      </c>
      <c r="M9" s="53">
        <f t="shared" si="3"/>
        <v>37</v>
      </c>
      <c r="N9" s="25">
        <f>AVERAGEIFS('TJ List'!L:L,'TJ List'!C:C,A9,'TJ List'!D:D,"MLB",'TJ List'!L:L,"&gt;0",'TJ List'!S:S,"&gt;=2010")</f>
        <v>12</v>
      </c>
      <c r="O9" s="14"/>
    </row>
    <row r="10">
      <c r="A10" s="11" t="s">
        <v>119</v>
      </c>
      <c r="B10" s="53">
        <f>COUNTIFS('TJ List'!C:C,A10,'TJ List'!D:D,"MLB")</f>
        <v>15</v>
      </c>
      <c r="C10" s="53">
        <f t="shared" si="1"/>
        <v>24</v>
      </c>
      <c r="D10" s="14">
        <f>COUNTIFS('TJ List'!C:C,A10,'TJ List'!D:D,"AAA")</f>
        <v>5</v>
      </c>
      <c r="E10" s="14">
        <f>COUNTIFS('TJ List'!C:C,A10,'TJ List'!D:D,"AA")</f>
        <v>2</v>
      </c>
      <c r="F10" s="14">
        <f>COUNTIFS('TJ List'!C:C,A10,'TJ List'!D:D,"A+")</f>
        <v>3</v>
      </c>
      <c r="G10" s="14">
        <f>COUNTIFS('TJ List'!C:C,A10,'TJ List'!D:D,"A")</f>
        <v>7</v>
      </c>
      <c r="H10" s="14">
        <f>COUNTIFS('TJ List'!C:C,A10,'TJ List'!D:D,"A-")</f>
        <v>0</v>
      </c>
      <c r="I10" s="14">
        <f>COUNTIFS('TJ List'!C:C,A10,'TJ List'!D:D,"Rk")</f>
        <v>7</v>
      </c>
      <c r="J10" s="53">
        <f t="shared" si="2"/>
        <v>8</v>
      </c>
      <c r="K10" s="14">
        <f>COUNTIFS('TJ List'!C:C,A10,'TJ List'!D:D,"Coll")</f>
        <v>4</v>
      </c>
      <c r="L10" s="14">
        <f>COUNTIFS('TJ List'!C:C,A10,'TJ List'!D:D,"HS")</f>
        <v>4</v>
      </c>
      <c r="M10" s="53">
        <f t="shared" si="3"/>
        <v>47</v>
      </c>
      <c r="N10" s="25">
        <f>AVERAGEIFS('TJ List'!L:L,'TJ List'!C:C,A10,'TJ List'!D:D,"MLB",'TJ List'!L:L,"&gt;0",'TJ List'!S:S,"&gt;=2010")</f>
        <v>19.66666667</v>
      </c>
      <c r="O10" s="11" t="s">
        <v>1225</v>
      </c>
      <c r="P10" s="49" t="s">
        <v>1227</v>
      </c>
    </row>
    <row r="11">
      <c r="A11" s="11" t="s">
        <v>169</v>
      </c>
      <c r="B11" s="53">
        <f>COUNTIFS('TJ List'!C:C,A11,'TJ List'!D:D,"MLB")</f>
        <v>11</v>
      </c>
      <c r="C11" s="53">
        <f t="shared" si="1"/>
        <v>23</v>
      </c>
      <c r="D11" s="14">
        <f>COUNTIFS('TJ List'!C:C,A11,'TJ List'!D:D,"AAA")</f>
        <v>4</v>
      </c>
      <c r="E11" s="14">
        <f>COUNTIFS('TJ List'!C:C,A11,'TJ List'!D:D,"AA")</f>
        <v>5</v>
      </c>
      <c r="F11" s="14">
        <f>COUNTIFS('TJ List'!C:C,A11,'TJ List'!D:D,"A+")</f>
        <v>2</v>
      </c>
      <c r="G11" s="14">
        <f>COUNTIFS('TJ List'!C:C,A11,'TJ List'!D:D,"A")</f>
        <v>3</v>
      </c>
      <c r="H11" s="14">
        <f>COUNTIFS('TJ List'!C:C,A11,'TJ List'!D:D,"A-")</f>
        <v>1</v>
      </c>
      <c r="I11" s="14">
        <f>COUNTIFS('TJ List'!C:C,A11,'TJ List'!D:D,"Rk")</f>
        <v>8</v>
      </c>
      <c r="J11" s="53">
        <f t="shared" si="2"/>
        <v>14</v>
      </c>
      <c r="K11" s="14">
        <f>COUNTIFS('TJ List'!C:C,A11,'TJ List'!D:D,"Coll")</f>
        <v>9</v>
      </c>
      <c r="L11" s="14">
        <f>COUNTIFS('TJ List'!C:C,A11,'TJ List'!D:D,"HS")</f>
        <v>5</v>
      </c>
      <c r="M11" s="53">
        <f t="shared" si="3"/>
        <v>48</v>
      </c>
      <c r="N11" s="25">
        <f>AVERAGEIFS('TJ List'!L:L,'TJ List'!C:C,A11,'TJ List'!D:D,"MLB",'TJ List'!L:L,"&gt;0",'TJ List'!S:S,"&gt;=2010")</f>
        <v>24</v>
      </c>
      <c r="O11" s="14"/>
    </row>
    <row r="12">
      <c r="A12" s="11" t="s">
        <v>382</v>
      </c>
      <c r="B12" s="53">
        <f>COUNTIFS('TJ List'!C:C,A12,'TJ List'!D:D,"MLB")</f>
        <v>10</v>
      </c>
      <c r="C12" s="53">
        <f t="shared" si="1"/>
        <v>15</v>
      </c>
      <c r="D12" s="14">
        <f>COUNTIFS('TJ List'!C:C,A12,'TJ List'!D:D,"AAA")</f>
        <v>3</v>
      </c>
      <c r="E12" s="14">
        <f>COUNTIFS('TJ List'!C:C,A12,'TJ List'!D:D,"AA")</f>
        <v>5</v>
      </c>
      <c r="F12" s="14">
        <f>COUNTIFS('TJ List'!C:C,A12,'TJ List'!D:D,"A+")</f>
        <v>3</v>
      </c>
      <c r="G12" s="14">
        <f>COUNTIFS('TJ List'!C:C,A12,'TJ List'!D:D,"A")</f>
        <v>2</v>
      </c>
      <c r="H12" s="14">
        <f>COUNTIFS('TJ List'!C:C,A12,'TJ List'!D:D,"A-")</f>
        <v>1</v>
      </c>
      <c r="I12" s="14">
        <f>COUNTIFS('TJ List'!C:C,A12,'TJ List'!D:D,"Rk")</f>
        <v>1</v>
      </c>
      <c r="J12" s="53">
        <f t="shared" si="2"/>
        <v>8</v>
      </c>
      <c r="K12" s="14">
        <f>COUNTIFS('TJ List'!C:C,A12,'TJ List'!D:D,"Coll")</f>
        <v>6</v>
      </c>
      <c r="L12" s="14">
        <f>COUNTIFS('TJ List'!C:C,A12,'TJ List'!D:D,"HS")</f>
        <v>2</v>
      </c>
      <c r="M12" s="53">
        <f t="shared" si="3"/>
        <v>33</v>
      </c>
      <c r="N12" s="25">
        <f>AVERAGEIFS('TJ List'!L:L,'TJ List'!C:C,A12,'TJ List'!D:D,"MLB",'TJ List'!L:L,"&gt;0",'TJ List'!S:S,"&gt;=2010")</f>
        <v>18</v>
      </c>
      <c r="O12" s="14"/>
    </row>
    <row r="13">
      <c r="A13" s="11" t="s">
        <v>159</v>
      </c>
      <c r="B13" s="53">
        <f>COUNTIFS('TJ List'!C:C,A13,'TJ List'!D:D,"MLB")</f>
        <v>15</v>
      </c>
      <c r="C13" s="53">
        <f t="shared" si="1"/>
        <v>26</v>
      </c>
      <c r="D13" s="14">
        <f>COUNTIFS('TJ List'!C:C,A13,'TJ List'!D:D,"AAA")</f>
        <v>6</v>
      </c>
      <c r="E13" s="14">
        <f>COUNTIFS('TJ List'!C:C,A13,'TJ List'!D:D,"AA")</f>
        <v>6</v>
      </c>
      <c r="F13" s="14">
        <f>COUNTIFS('TJ List'!C:C,A13,'TJ List'!D:D,"A+")</f>
        <v>7</v>
      </c>
      <c r="G13" s="14">
        <f>COUNTIFS('TJ List'!C:C,A13,'TJ List'!D:D,"A")</f>
        <v>3</v>
      </c>
      <c r="H13" s="14">
        <f>COUNTIFS('TJ List'!C:C,A13,'TJ List'!D:D,"A-")</f>
        <v>0</v>
      </c>
      <c r="I13" s="14">
        <f>COUNTIFS('TJ List'!C:C,A13,'TJ List'!D:D,"Rk")</f>
        <v>4</v>
      </c>
      <c r="J13" s="53">
        <f t="shared" si="2"/>
        <v>5</v>
      </c>
      <c r="K13" s="14">
        <f>COUNTIFS('TJ List'!C:C,A13,'TJ List'!D:D,"Coll")</f>
        <v>2</v>
      </c>
      <c r="L13" s="14">
        <f>COUNTIFS('TJ List'!C:C,A13,'TJ List'!D:D,"HS")</f>
        <v>3</v>
      </c>
      <c r="M13" s="53">
        <f t="shared" si="3"/>
        <v>46</v>
      </c>
      <c r="N13" s="25">
        <f>AVERAGEIFS('TJ List'!L:L,'TJ List'!C:C,A13,'TJ List'!D:D,"MLB",'TJ List'!L:L,"&gt;0",'TJ List'!S:S,"&gt;=2010")</f>
        <v>20.25</v>
      </c>
      <c r="O13" s="14"/>
    </row>
    <row r="14">
      <c r="A14" s="11" t="s">
        <v>239</v>
      </c>
      <c r="B14" s="53">
        <f>COUNTIFS('TJ List'!C:C,A14,'TJ List'!D:D,"MLB")</f>
        <v>9</v>
      </c>
      <c r="C14" s="53">
        <f t="shared" si="1"/>
        <v>13</v>
      </c>
      <c r="D14" s="14">
        <f>COUNTIFS('TJ List'!C:C,A14,'TJ List'!D:D,"AAA")</f>
        <v>3</v>
      </c>
      <c r="E14" s="14">
        <f>COUNTIFS('TJ List'!C:C,A14,'TJ List'!D:D,"AA")</f>
        <v>4</v>
      </c>
      <c r="F14" s="14">
        <f>COUNTIFS('TJ List'!C:C,A14,'TJ List'!D:D,"A+")</f>
        <v>1</v>
      </c>
      <c r="G14" s="14">
        <f>COUNTIFS('TJ List'!C:C,A14,'TJ List'!D:D,"A")</f>
        <v>1</v>
      </c>
      <c r="H14" s="14">
        <f>COUNTIFS('TJ List'!C:C,A14,'TJ List'!D:D,"A-")</f>
        <v>2</v>
      </c>
      <c r="I14" s="14">
        <f>COUNTIFS('TJ List'!C:C,A14,'TJ List'!D:D,"Rk")</f>
        <v>2</v>
      </c>
      <c r="J14" s="53">
        <f t="shared" si="2"/>
        <v>5</v>
      </c>
      <c r="K14" s="14">
        <f>COUNTIFS('TJ List'!C:C,A14,'TJ List'!D:D,"Coll")</f>
        <v>4</v>
      </c>
      <c r="L14" s="14">
        <f>COUNTIFS('TJ List'!C:C,A14,'TJ List'!D:D,"HS")</f>
        <v>1</v>
      </c>
      <c r="M14" s="53">
        <f t="shared" si="3"/>
        <v>27</v>
      </c>
      <c r="N14" s="25" t="str">
        <f>AVERAGEIFS('TJ List'!L:L,'TJ List'!C:C,A14,'TJ List'!D:D,"MLB",'TJ List'!L:L,"&gt;0",'TJ List'!S:S,"&gt;=2010")</f>
        <v>#DIV/0!</v>
      </c>
      <c r="O14" s="14"/>
    </row>
    <row r="15">
      <c r="A15" s="11" t="s">
        <v>229</v>
      </c>
      <c r="B15" s="53">
        <f>COUNTIFS('TJ List'!C:C,A15,'TJ List'!D:D,"MLB")</f>
        <v>19</v>
      </c>
      <c r="C15" s="53">
        <f t="shared" si="1"/>
        <v>21</v>
      </c>
      <c r="D15" s="14">
        <f>COUNTIFS('TJ List'!C:C,A15,'TJ List'!D:D,"AAA")</f>
        <v>1</v>
      </c>
      <c r="E15" s="14">
        <f>COUNTIFS('TJ List'!C:C,A15,'TJ List'!D:D,"AA")</f>
        <v>5</v>
      </c>
      <c r="F15" s="14">
        <f>COUNTIFS('TJ List'!C:C,A15,'TJ List'!D:D,"A+")</f>
        <v>5</v>
      </c>
      <c r="G15" s="14">
        <f>COUNTIFS('TJ List'!C:C,A15,'TJ List'!D:D,"A")</f>
        <v>7</v>
      </c>
      <c r="H15" s="14">
        <f>COUNTIFS('TJ List'!C:C,A15,'TJ List'!D:D,"A-")</f>
        <v>0</v>
      </c>
      <c r="I15" s="14">
        <f>COUNTIFS('TJ List'!C:C,A15,'TJ List'!D:D,"Rk")</f>
        <v>3</v>
      </c>
      <c r="J15" s="53">
        <f t="shared" si="2"/>
        <v>8</v>
      </c>
      <c r="K15" s="14">
        <f>COUNTIFS('TJ List'!C:C,A15,'TJ List'!D:D,"Coll")</f>
        <v>3</v>
      </c>
      <c r="L15" s="14">
        <f>COUNTIFS('TJ List'!C:C,A15,'TJ List'!D:D,"HS")</f>
        <v>5</v>
      </c>
      <c r="M15" s="53">
        <f t="shared" si="3"/>
        <v>48</v>
      </c>
      <c r="N15" s="25">
        <f>AVERAGEIFS('TJ List'!L:L,'TJ List'!C:C,A15,'TJ List'!D:D,"MLB",'TJ List'!L:L,"&gt;0",'TJ List'!S:S,"&gt;=2010")</f>
        <v>15.33333333</v>
      </c>
      <c r="O15" s="14"/>
    </row>
    <row r="16">
      <c r="A16" s="11" t="s">
        <v>108</v>
      </c>
      <c r="B16" s="53">
        <f>COUNTIFS('TJ List'!C:C,A16,'TJ List'!D:D,"MLB")</f>
        <v>13</v>
      </c>
      <c r="C16" s="53">
        <f t="shared" si="1"/>
        <v>23</v>
      </c>
      <c r="D16" s="14">
        <f>COUNTIFS('TJ List'!C:C,A16,'TJ List'!D:D,"AAA")</f>
        <v>5</v>
      </c>
      <c r="E16" s="14">
        <f>COUNTIFS('TJ List'!C:C,A16,'TJ List'!D:D,"AA")</f>
        <v>1</v>
      </c>
      <c r="F16" s="14">
        <f>COUNTIFS('TJ List'!C:C,A16,'TJ List'!D:D,"A+")</f>
        <v>6</v>
      </c>
      <c r="G16" s="14">
        <f>COUNTIFS('TJ List'!C:C,A16,'TJ List'!D:D,"A")</f>
        <v>2</v>
      </c>
      <c r="H16" s="14">
        <f>COUNTIFS('TJ List'!C:C,A16,'TJ List'!D:D,"A-")</f>
        <v>0</v>
      </c>
      <c r="I16" s="14">
        <f>COUNTIFS('TJ List'!C:C,A16,'TJ List'!D:D,"Rk")</f>
        <v>9</v>
      </c>
      <c r="J16" s="53">
        <f t="shared" si="2"/>
        <v>9</v>
      </c>
      <c r="K16" s="14">
        <f>COUNTIFS('TJ List'!C:C,A16,'TJ List'!D:D,"Coll")</f>
        <v>5</v>
      </c>
      <c r="L16" s="14">
        <f>COUNTIFS('TJ List'!C:C,A16,'TJ List'!D:D,"HS")</f>
        <v>4</v>
      </c>
      <c r="M16" s="53">
        <f t="shared" si="3"/>
        <v>45</v>
      </c>
      <c r="N16" s="25">
        <f>AVERAGEIFS('TJ List'!L:L,'TJ List'!C:C,A16,'TJ List'!D:D,"MLB",'TJ List'!L:L,"&gt;0",'TJ List'!S:S,"&gt;=2010")</f>
        <v>19.25</v>
      </c>
      <c r="O16" s="14"/>
    </row>
    <row r="17">
      <c r="A17" s="11" t="s">
        <v>81</v>
      </c>
      <c r="B17" s="53">
        <f>COUNTIFS('TJ List'!C:C,A17,'TJ List'!D:D,"MLB")</f>
        <v>16</v>
      </c>
      <c r="C17" s="53">
        <f t="shared" si="1"/>
        <v>29</v>
      </c>
      <c r="D17" s="14">
        <f>COUNTIFS('TJ List'!C:C,A17,'TJ List'!D:D,"AAA")</f>
        <v>8</v>
      </c>
      <c r="E17" s="14">
        <f>COUNTIFS('TJ List'!C:C,A17,'TJ List'!D:D,"AA")</f>
        <v>8</v>
      </c>
      <c r="F17" s="14">
        <f>COUNTIFS('TJ List'!C:C,A17,'TJ List'!D:D,"A+")</f>
        <v>4</v>
      </c>
      <c r="G17" s="14">
        <f>COUNTIFS('TJ List'!C:C,A17,'TJ List'!D:D,"A")</f>
        <v>3</v>
      </c>
      <c r="H17" s="14">
        <f>COUNTIFS('TJ List'!C:C,A17,'TJ List'!D:D,"A-")</f>
        <v>0</v>
      </c>
      <c r="I17" s="14">
        <f>COUNTIFS('TJ List'!C:C,A17,'TJ List'!D:D,"Rk")</f>
        <v>6</v>
      </c>
      <c r="J17" s="53">
        <f t="shared" si="2"/>
        <v>21</v>
      </c>
      <c r="K17" s="14">
        <f>COUNTIFS('TJ List'!C:C,A17,'TJ List'!D:D,"Coll")</f>
        <v>13</v>
      </c>
      <c r="L17" s="14">
        <f>COUNTIFS('TJ List'!C:C,A17,'TJ List'!D:D,"HS")</f>
        <v>8</v>
      </c>
      <c r="M17" s="53">
        <f t="shared" si="3"/>
        <v>66</v>
      </c>
      <c r="N17" s="25">
        <f>AVERAGEIFS('TJ List'!L:L,'TJ List'!C:C,A17,'TJ List'!D:D,"MLB",'TJ List'!L:L,"&gt;0",'TJ List'!S:S,"&gt;=2010")</f>
        <v>17.8</v>
      </c>
      <c r="O17" s="14"/>
    </row>
    <row r="18">
      <c r="A18" s="11" t="s">
        <v>331</v>
      </c>
      <c r="B18" s="53">
        <f>COUNTIFS('TJ List'!C:C,A18,'TJ List'!D:D,"MLB")</f>
        <v>18</v>
      </c>
      <c r="C18" s="53">
        <f t="shared" si="1"/>
        <v>20</v>
      </c>
      <c r="D18" s="14">
        <f>COUNTIFS('TJ List'!C:C,A18,'TJ List'!D:D,"AAA")</f>
        <v>4</v>
      </c>
      <c r="E18" s="14">
        <f>COUNTIFS('TJ List'!C:C,A18,'TJ List'!D:D,"AA")</f>
        <v>5</v>
      </c>
      <c r="F18" s="14">
        <f>COUNTIFS('TJ List'!C:C,A18,'TJ List'!D:D,"A+")</f>
        <v>3</v>
      </c>
      <c r="G18" s="14">
        <f>COUNTIFS('TJ List'!C:C,A18,'TJ List'!D:D,"A")</f>
        <v>5</v>
      </c>
      <c r="H18" s="14">
        <f>COUNTIFS('TJ List'!C:C,A18,'TJ List'!D:D,"A-")</f>
        <v>0</v>
      </c>
      <c r="I18" s="14">
        <f>COUNTIFS('TJ List'!C:C,A18,'TJ List'!D:D,"Rk")</f>
        <v>3</v>
      </c>
      <c r="J18" s="53">
        <f t="shared" si="2"/>
        <v>7</v>
      </c>
      <c r="K18" s="14">
        <f>COUNTIFS('TJ List'!C:C,A18,'TJ List'!D:D,"Coll")</f>
        <v>5</v>
      </c>
      <c r="L18" s="14">
        <f>COUNTIFS('TJ List'!C:C,A18,'TJ List'!D:D,"HS")</f>
        <v>2</v>
      </c>
      <c r="M18" s="53">
        <f t="shared" si="3"/>
        <v>45</v>
      </c>
      <c r="N18" s="25">
        <f>AVERAGEIFS('TJ List'!L:L,'TJ List'!C:C,A18,'TJ List'!D:D,"MLB",'TJ List'!L:L,"&gt;0",'TJ List'!S:S,"&gt;=2010")</f>
        <v>14.5</v>
      </c>
      <c r="O18" s="14"/>
    </row>
    <row r="19">
      <c r="A19" s="11" t="s">
        <v>114</v>
      </c>
      <c r="B19" s="53">
        <f>COUNTIFS('TJ List'!C:C,A19,'TJ List'!D:D,"MLB")</f>
        <v>12</v>
      </c>
      <c r="C19" s="53">
        <f t="shared" si="1"/>
        <v>25</v>
      </c>
      <c r="D19" s="14">
        <f>COUNTIFS('TJ List'!C:C,A19,'TJ List'!D:D,"AAA")</f>
        <v>3</v>
      </c>
      <c r="E19" s="14">
        <f>COUNTIFS('TJ List'!C:C,A19,'TJ List'!D:D,"AA")</f>
        <v>8</v>
      </c>
      <c r="F19" s="14">
        <f>COUNTIFS('TJ List'!C:C,A19,'TJ List'!D:D,"A+")</f>
        <v>4</v>
      </c>
      <c r="G19" s="14">
        <f>COUNTIFS('TJ List'!C:C,A19,'TJ List'!D:D,"A")</f>
        <v>4</v>
      </c>
      <c r="H19" s="14">
        <f>COUNTIFS('TJ List'!C:C,A19,'TJ List'!D:D,"A-")</f>
        <v>0</v>
      </c>
      <c r="I19" s="14">
        <f>COUNTIFS('TJ List'!C:C,A19,'TJ List'!D:D,"Rk")</f>
        <v>6</v>
      </c>
      <c r="J19" s="53">
        <f t="shared" si="2"/>
        <v>8</v>
      </c>
      <c r="K19" s="14">
        <f>COUNTIFS('TJ List'!C:C,A19,'TJ List'!D:D,"Coll")</f>
        <v>4</v>
      </c>
      <c r="L19" s="14">
        <f>COUNTIFS('TJ List'!C:C,A19,'TJ List'!D:D,"HS")</f>
        <v>4</v>
      </c>
      <c r="M19" s="53">
        <f t="shared" si="3"/>
        <v>45</v>
      </c>
      <c r="N19" s="25" t="str">
        <f>AVERAGEIFS('TJ List'!L:L,'TJ List'!C:C,A19,'TJ List'!D:D,"MLB",'TJ List'!L:L,"&gt;0",'TJ List'!S:S,"&gt;=2010")</f>
        <v>#DIV/0!</v>
      </c>
      <c r="O19" s="14"/>
    </row>
    <row r="20">
      <c r="A20" s="11" t="s">
        <v>123</v>
      </c>
      <c r="B20" s="53">
        <f>COUNTIFS('TJ List'!C:C,A20,'TJ List'!D:D,"MLB")</f>
        <v>8</v>
      </c>
      <c r="C20" s="53">
        <f t="shared" si="1"/>
        <v>23</v>
      </c>
      <c r="D20" s="14">
        <f>COUNTIFS('TJ List'!C:C,A20,'TJ List'!D:D,"AAA")</f>
        <v>3</v>
      </c>
      <c r="E20" s="14">
        <f>COUNTIFS('TJ List'!C:C,A20,'TJ List'!D:D,"AA")</f>
        <v>5</v>
      </c>
      <c r="F20" s="14">
        <f>COUNTIFS('TJ List'!C:C,A20,'TJ List'!D:D,"A+")</f>
        <v>1</v>
      </c>
      <c r="G20" s="14">
        <f>COUNTIFS('TJ List'!C:C,A20,'TJ List'!D:D,"A")</f>
        <v>5</v>
      </c>
      <c r="H20" s="14">
        <f>COUNTIFS('TJ List'!C:C,A20,'TJ List'!D:D,"A-")</f>
        <v>0</v>
      </c>
      <c r="I20" s="14">
        <f>COUNTIFS('TJ List'!C:C,A20,'TJ List'!D:D,"Rk")</f>
        <v>9</v>
      </c>
      <c r="J20" s="53">
        <f t="shared" si="2"/>
        <v>7</v>
      </c>
      <c r="K20" s="14">
        <f>COUNTIFS('TJ List'!C:C,A20,'TJ List'!D:D,"Coll")</f>
        <v>6</v>
      </c>
      <c r="L20" s="14">
        <f>COUNTIFS('TJ List'!C:C,A20,'TJ List'!D:D,"HS")</f>
        <v>1</v>
      </c>
      <c r="M20" s="53">
        <f t="shared" si="3"/>
        <v>38</v>
      </c>
      <c r="N20" s="25">
        <f>AVERAGEIFS('TJ List'!L:L,'TJ List'!C:C,A20,'TJ List'!D:D,"MLB",'TJ List'!L:L,"&gt;0",'TJ List'!S:S,"&gt;=2010")</f>
        <v>14.5</v>
      </c>
      <c r="O20" s="14"/>
    </row>
    <row r="21">
      <c r="A21" s="11" t="s">
        <v>109</v>
      </c>
      <c r="B21" s="53">
        <f>COUNTIFS('TJ List'!C:C,A21,'TJ List'!D:D,"MLB")</f>
        <v>17</v>
      </c>
      <c r="C21" s="53">
        <f t="shared" si="1"/>
        <v>26</v>
      </c>
      <c r="D21" s="14">
        <f>COUNTIFS('TJ List'!C:C,A21,'TJ List'!D:D,"AAA")</f>
        <v>5</v>
      </c>
      <c r="E21" s="14">
        <f>COUNTIFS('TJ List'!C:C,A21,'TJ List'!D:D,"AA")</f>
        <v>3</v>
      </c>
      <c r="F21" s="14">
        <f>COUNTIFS('TJ List'!C:C,A21,'TJ List'!D:D,"A+")</f>
        <v>5</v>
      </c>
      <c r="G21" s="14">
        <f>COUNTIFS('TJ List'!C:C,A21,'TJ List'!D:D,"A")</f>
        <v>5</v>
      </c>
      <c r="H21" s="14">
        <f>COUNTIFS('TJ List'!C:C,A21,'TJ List'!D:D,"A-")</f>
        <v>3</v>
      </c>
      <c r="I21" s="14">
        <f>COUNTIFS('TJ List'!C:C,A21,'TJ List'!D:D,"Rk")</f>
        <v>5</v>
      </c>
      <c r="J21" s="53">
        <f t="shared" si="2"/>
        <v>5</v>
      </c>
      <c r="K21" s="14">
        <f>COUNTIFS('TJ List'!C:C,A21,'TJ List'!D:D,"Coll")</f>
        <v>2</v>
      </c>
      <c r="L21" s="14">
        <f>COUNTIFS('TJ List'!C:C,A21,'TJ List'!D:D,"HS")</f>
        <v>3</v>
      </c>
      <c r="M21" s="53">
        <f t="shared" si="3"/>
        <v>48</v>
      </c>
      <c r="N21" s="25">
        <f>AVERAGEIFS('TJ List'!L:L,'TJ List'!C:C,A21,'TJ List'!D:D,"MLB",'TJ List'!L:L,"&gt;0",'TJ List'!S:S,"&gt;=2010")</f>
        <v>15.2</v>
      </c>
      <c r="O21" s="11" t="s">
        <v>1389</v>
      </c>
      <c r="P21" s="49" t="s">
        <v>1390</v>
      </c>
    </row>
    <row r="22">
      <c r="A22" s="11" t="s">
        <v>138</v>
      </c>
      <c r="B22" s="53">
        <f>COUNTIFS('TJ List'!C:C,A22,'TJ List'!D:D,"MLB")</f>
        <v>12</v>
      </c>
      <c r="C22" s="53">
        <f t="shared" si="1"/>
        <v>26</v>
      </c>
      <c r="D22" s="14">
        <f>COUNTIFS('TJ List'!C:C,A22,'TJ List'!D:D,"AAA")</f>
        <v>6</v>
      </c>
      <c r="E22" s="14">
        <f>COUNTIFS('TJ List'!C:C,A22,'TJ List'!D:D,"AA")</f>
        <v>2</v>
      </c>
      <c r="F22" s="14">
        <f>COUNTIFS('TJ List'!C:C,A22,'TJ List'!D:D,"A+")</f>
        <v>3</v>
      </c>
      <c r="G22" s="14">
        <f>COUNTIFS('TJ List'!C:C,A22,'TJ List'!D:D,"A")</f>
        <v>7</v>
      </c>
      <c r="H22" s="14">
        <f>COUNTIFS('TJ List'!C:C,A22,'TJ List'!D:D,"A-")</f>
        <v>4</v>
      </c>
      <c r="I22" s="14">
        <f>COUNTIFS('TJ List'!C:C,A22,'TJ List'!D:D,"Rk")</f>
        <v>4</v>
      </c>
      <c r="J22" s="53">
        <f t="shared" si="2"/>
        <v>9</v>
      </c>
      <c r="K22" s="14">
        <f>COUNTIFS('TJ List'!C:C,A22,'TJ List'!D:D,"Coll")</f>
        <v>6</v>
      </c>
      <c r="L22" s="14">
        <f>COUNTIFS('TJ List'!C:C,A22,'TJ List'!D:D,"HS")</f>
        <v>3</v>
      </c>
      <c r="M22" s="53">
        <f t="shared" si="3"/>
        <v>47</v>
      </c>
      <c r="N22" s="25">
        <f>AVERAGEIFS('TJ List'!L:L,'TJ List'!C:C,A22,'TJ List'!D:D,"MLB",'TJ List'!L:L,"&gt;0",'TJ List'!S:S,"&gt;=2010")</f>
        <v>14.66666667</v>
      </c>
      <c r="O22" s="14"/>
    </row>
    <row r="23">
      <c r="A23" s="11" t="s">
        <v>97</v>
      </c>
      <c r="B23" s="53">
        <f>COUNTIFS('TJ List'!C:C,A23,'TJ List'!D:D,"MLB")</f>
        <v>19</v>
      </c>
      <c r="C23" s="53">
        <f t="shared" si="1"/>
        <v>14</v>
      </c>
      <c r="D23" s="14">
        <f>COUNTIFS('TJ List'!C:C,A23,'TJ List'!D:D,"AAA")</f>
        <v>1</v>
      </c>
      <c r="E23" s="14">
        <f>COUNTIFS('TJ List'!C:C,A23,'TJ List'!D:D,"AA")</f>
        <v>6</v>
      </c>
      <c r="F23" s="14">
        <f>COUNTIFS('TJ List'!C:C,A23,'TJ List'!D:D,"A+")</f>
        <v>2</v>
      </c>
      <c r="G23" s="14">
        <f>COUNTIFS('TJ List'!C:C,A23,'TJ List'!D:D,"A")</f>
        <v>3</v>
      </c>
      <c r="H23" s="14">
        <f>COUNTIFS('TJ List'!C:C,A23,'TJ List'!D:D,"A-")</f>
        <v>1</v>
      </c>
      <c r="I23" s="14">
        <f>COUNTIFS('TJ List'!C:C,A23,'TJ List'!D:D,"Rk")</f>
        <v>1</v>
      </c>
      <c r="J23" s="53">
        <f t="shared" si="2"/>
        <v>8</v>
      </c>
      <c r="K23" s="14">
        <f>COUNTIFS('TJ List'!C:C,A23,'TJ List'!D:D,"Coll")</f>
        <v>7</v>
      </c>
      <c r="L23" s="14">
        <f>COUNTIFS('TJ List'!C:C,A23,'TJ List'!D:D,"HS")</f>
        <v>1</v>
      </c>
      <c r="M23" s="53">
        <f t="shared" si="3"/>
        <v>41</v>
      </c>
      <c r="N23" s="25">
        <f>AVERAGEIFS('TJ List'!L:L,'TJ List'!C:C,A23,'TJ List'!D:D,"MLB",'TJ List'!L:L,"&gt;0",'TJ List'!S:S,"&gt;=2010")</f>
        <v>18</v>
      </c>
      <c r="O23" s="14"/>
    </row>
    <row r="24">
      <c r="A24" s="11" t="s">
        <v>103</v>
      </c>
      <c r="B24" s="53">
        <f>COUNTIFS('TJ List'!C:C,A24,'TJ List'!D:D,"MLB")</f>
        <v>17</v>
      </c>
      <c r="C24" s="53">
        <f t="shared" si="1"/>
        <v>18</v>
      </c>
      <c r="D24" s="14">
        <f>COUNTIFS('TJ List'!C:C,A24,'TJ List'!D:D,"AAA")</f>
        <v>4</v>
      </c>
      <c r="E24" s="14">
        <f>COUNTIFS('TJ List'!C:C,A24,'TJ List'!D:D,"AA")</f>
        <v>4</v>
      </c>
      <c r="F24" s="14">
        <f>COUNTIFS('TJ List'!C:C,A24,'TJ List'!D:D,"A+")</f>
        <v>2</v>
      </c>
      <c r="G24" s="14">
        <f>COUNTIFS('TJ List'!C:C,A24,'TJ List'!D:D,"A")</f>
        <v>3</v>
      </c>
      <c r="H24" s="14">
        <f>COUNTIFS('TJ List'!C:C,A24,'TJ List'!D:D,"A-")</f>
        <v>1</v>
      </c>
      <c r="I24" s="14">
        <f>COUNTIFS('TJ List'!C:C,A24,'TJ List'!D:D,"Rk")</f>
        <v>4</v>
      </c>
      <c r="J24" s="53">
        <f t="shared" si="2"/>
        <v>5</v>
      </c>
      <c r="K24" s="14">
        <f>COUNTIFS('TJ List'!C:C,A24,'TJ List'!D:D,"Coll")</f>
        <v>4</v>
      </c>
      <c r="L24" s="14">
        <f>COUNTIFS('TJ List'!C:C,A24,'TJ List'!D:D,"HS")</f>
        <v>1</v>
      </c>
      <c r="M24" s="53">
        <f t="shared" si="3"/>
        <v>40</v>
      </c>
      <c r="N24" s="25">
        <f>AVERAGEIFS('TJ List'!L:L,'TJ List'!C:C,A24,'TJ List'!D:D,"MLB",'TJ List'!L:L,"&gt;0",'TJ List'!S:S,"&gt;=2010")</f>
        <v>13</v>
      </c>
      <c r="O24" s="14"/>
    </row>
    <row r="25">
      <c r="A25" s="11" t="s">
        <v>125</v>
      </c>
      <c r="B25" s="53">
        <f>COUNTIFS('TJ List'!C:C,A25,'TJ List'!D:D,"MLB")</f>
        <v>10</v>
      </c>
      <c r="C25" s="53">
        <f t="shared" si="1"/>
        <v>27</v>
      </c>
      <c r="D25" s="14">
        <f>COUNTIFS('TJ List'!C:C,A25,'TJ List'!D:D,"AAA")</f>
        <v>10</v>
      </c>
      <c r="E25" s="14">
        <f>COUNTIFS('TJ List'!C:C,A25,'TJ List'!D:D,"AA")</f>
        <v>3</v>
      </c>
      <c r="F25" s="14">
        <f>COUNTIFS('TJ List'!C:C,A25,'TJ List'!D:D,"A+")</f>
        <v>2</v>
      </c>
      <c r="G25" s="14">
        <f>COUNTIFS('TJ List'!C:C,A25,'TJ List'!D:D,"A")</f>
        <v>4</v>
      </c>
      <c r="H25" s="14">
        <f>COUNTIFS('TJ List'!C:C,A25,'TJ List'!D:D,"A-")</f>
        <v>2</v>
      </c>
      <c r="I25" s="14">
        <f>COUNTIFS('TJ List'!C:C,A25,'TJ List'!D:D,"Rk")</f>
        <v>6</v>
      </c>
      <c r="J25" s="53">
        <f t="shared" si="2"/>
        <v>11</v>
      </c>
      <c r="K25" s="14">
        <f>COUNTIFS('TJ List'!C:C,A25,'TJ List'!D:D,"Coll")</f>
        <v>6</v>
      </c>
      <c r="L25" s="14">
        <f>COUNTIFS('TJ List'!C:C,A25,'TJ List'!D:D,"HS")</f>
        <v>5</v>
      </c>
      <c r="M25" s="53">
        <f t="shared" si="3"/>
        <v>48</v>
      </c>
      <c r="N25" s="25">
        <f>AVERAGEIFS('TJ List'!L:L,'TJ List'!C:C,A25,'TJ List'!D:D,"MLB",'TJ List'!L:L,"&gt;0",'TJ List'!S:S,"&gt;=2010")</f>
        <v>17.5</v>
      </c>
      <c r="O25" s="14"/>
    </row>
    <row r="26">
      <c r="A26" s="11" t="s">
        <v>49</v>
      </c>
      <c r="B26" s="53">
        <f>COUNTIFS('TJ List'!C:C,A26,'TJ List'!D:D,"MLB")</f>
        <v>22</v>
      </c>
      <c r="C26" s="53">
        <f t="shared" si="1"/>
        <v>21</v>
      </c>
      <c r="D26" s="14">
        <f>COUNTIFS('TJ List'!C:C,A26,'TJ List'!D:D,"AAA")</f>
        <v>2</v>
      </c>
      <c r="E26" s="14">
        <f>COUNTIFS('TJ List'!C:C,A26,'TJ List'!D:D,"AA")</f>
        <v>6</v>
      </c>
      <c r="F26" s="14">
        <f>COUNTIFS('TJ List'!C:C,A26,'TJ List'!D:D,"A+")</f>
        <v>3</v>
      </c>
      <c r="G26" s="14">
        <f>COUNTIFS('TJ List'!C:C,A26,'TJ List'!D:D,"A")</f>
        <v>7</v>
      </c>
      <c r="H26" s="14">
        <f>COUNTIFS('TJ List'!C:C,A26,'TJ List'!D:D,"A-")</f>
        <v>2</v>
      </c>
      <c r="I26" s="14">
        <f>COUNTIFS('TJ List'!C:C,A26,'TJ List'!D:D,"Rk")</f>
        <v>1</v>
      </c>
      <c r="J26" s="53">
        <f t="shared" si="2"/>
        <v>7</v>
      </c>
      <c r="K26" s="14">
        <f>COUNTIFS('TJ List'!C:C,A26,'TJ List'!D:D,"Coll")</f>
        <v>6</v>
      </c>
      <c r="L26" s="14">
        <f>COUNTIFS('TJ List'!C:C,A26,'TJ List'!D:D,"HS")</f>
        <v>1</v>
      </c>
      <c r="M26" s="53">
        <f t="shared" si="3"/>
        <v>50</v>
      </c>
      <c r="N26" s="25">
        <f>AVERAGEIFS('TJ List'!L:L,'TJ List'!C:C,A26,'TJ List'!D:D,"MLB",'TJ List'!L:L,"&gt;0",'TJ List'!S:S,"&gt;=2010")</f>
        <v>26</v>
      </c>
      <c r="O26" s="14"/>
    </row>
    <row r="27">
      <c r="A27" s="11" t="s">
        <v>90</v>
      </c>
      <c r="B27" s="53">
        <f>COUNTIFS('TJ List'!C:C,A27,'TJ List'!D:D,"MLB")</f>
        <v>12</v>
      </c>
      <c r="C27" s="53">
        <f t="shared" si="1"/>
        <v>14</v>
      </c>
      <c r="D27" s="14">
        <f>COUNTIFS('TJ List'!C:C,A27,'TJ List'!D:D,"AAA")</f>
        <v>2</v>
      </c>
      <c r="E27" s="14">
        <f>COUNTIFS('TJ List'!C:C,A27,'TJ List'!D:D,"AA")</f>
        <v>4</v>
      </c>
      <c r="F27" s="14">
        <f>COUNTIFS('TJ List'!C:C,A27,'TJ List'!D:D,"A+")</f>
        <v>2</v>
      </c>
      <c r="G27" s="14">
        <f>COUNTIFS('TJ List'!C:C,A27,'TJ List'!D:D,"A")</f>
        <v>2</v>
      </c>
      <c r="H27" s="14">
        <f>COUNTIFS('TJ List'!C:C,A27,'TJ List'!D:D,"A-")</f>
        <v>1</v>
      </c>
      <c r="I27" s="14">
        <f>COUNTIFS('TJ List'!C:C,A27,'TJ List'!D:D,"Rk")</f>
        <v>3</v>
      </c>
      <c r="J27" s="53">
        <f t="shared" si="2"/>
        <v>8</v>
      </c>
      <c r="K27" s="14">
        <f>COUNTIFS('TJ List'!C:C,A27,'TJ List'!D:D,"Coll")</f>
        <v>6</v>
      </c>
      <c r="L27" s="14">
        <f>COUNTIFS('TJ List'!C:C,A27,'TJ List'!D:D,"HS")</f>
        <v>2</v>
      </c>
      <c r="M27" s="53">
        <f t="shared" si="3"/>
        <v>34</v>
      </c>
      <c r="N27" s="25">
        <f>AVERAGEIFS('TJ List'!L:L,'TJ List'!C:C,A27,'TJ List'!D:D,"MLB",'TJ List'!L:L,"&gt;0",'TJ List'!S:S,"&gt;=2010")</f>
        <v>13</v>
      </c>
      <c r="O27" s="14"/>
    </row>
    <row r="28">
      <c r="A28" s="11" t="s">
        <v>270</v>
      </c>
      <c r="B28" s="53">
        <f>COUNTIFS('TJ List'!C:C,A28,'TJ List'!D:D,"MLB")</f>
        <v>8</v>
      </c>
      <c r="C28" s="53">
        <f t="shared" si="1"/>
        <v>21</v>
      </c>
      <c r="D28" s="14">
        <f>COUNTIFS('TJ List'!C:C,A28,'TJ List'!D:D,"AAA")</f>
        <v>4</v>
      </c>
      <c r="E28" s="14">
        <f>COUNTIFS('TJ List'!C:C,A28,'TJ List'!D:D,"AA")</f>
        <v>5</v>
      </c>
      <c r="F28" s="14">
        <f>COUNTIFS('TJ List'!C:C,A28,'TJ List'!D:D,"A+")</f>
        <v>7</v>
      </c>
      <c r="G28" s="14">
        <f>COUNTIFS('TJ List'!C:C,A28,'TJ List'!D:D,"A")</f>
        <v>1</v>
      </c>
      <c r="H28" s="14">
        <f>COUNTIFS('TJ List'!C:C,A28,'TJ List'!D:D,"A-")</f>
        <v>0</v>
      </c>
      <c r="I28" s="14">
        <f>COUNTIFS('TJ List'!C:C,A28,'TJ List'!D:D,"Rk")</f>
        <v>4</v>
      </c>
      <c r="J28" s="53">
        <f t="shared" si="2"/>
        <v>11</v>
      </c>
      <c r="K28" s="14">
        <f>COUNTIFS('TJ List'!C:C,A28,'TJ List'!D:D,"Coll")</f>
        <v>10</v>
      </c>
      <c r="L28" s="14">
        <f>COUNTIFS('TJ List'!C:C,A28,'TJ List'!D:D,"HS")</f>
        <v>1</v>
      </c>
      <c r="M28" s="53">
        <f t="shared" si="3"/>
        <v>40</v>
      </c>
      <c r="N28" s="25">
        <f>AVERAGEIFS('TJ List'!L:L,'TJ List'!C:C,A28,'TJ List'!D:D,"MLB",'TJ List'!L:L,"&gt;0",'TJ List'!S:S,"&gt;=2010")</f>
        <v>14</v>
      </c>
      <c r="O28" s="14"/>
    </row>
    <row r="29">
      <c r="A29" s="11" t="s">
        <v>156</v>
      </c>
      <c r="B29" s="53">
        <f>COUNTIFS('TJ List'!C:C,A29,'TJ List'!D:D,"MLB")</f>
        <v>22</v>
      </c>
      <c r="C29" s="53">
        <f t="shared" si="1"/>
        <v>20</v>
      </c>
      <c r="D29" s="14">
        <f>COUNTIFS('TJ List'!C:C,A29,'TJ List'!D:D,"AAA")</f>
        <v>5</v>
      </c>
      <c r="E29" s="14">
        <f>COUNTIFS('TJ List'!C:C,A29,'TJ List'!D:D,"AA")</f>
        <v>9</v>
      </c>
      <c r="F29" s="14">
        <f>COUNTIFS('TJ List'!C:C,A29,'TJ List'!D:D,"A+")</f>
        <v>3</v>
      </c>
      <c r="G29" s="14">
        <f>COUNTIFS('TJ List'!C:C,A29,'TJ List'!D:D,"A")</f>
        <v>2</v>
      </c>
      <c r="H29" s="14">
        <f>COUNTIFS('TJ List'!C:C,A29,'TJ List'!D:D,"A-")</f>
        <v>0</v>
      </c>
      <c r="I29" s="14">
        <f>COUNTIFS('TJ List'!C:C,A29,'TJ List'!D:D,"Rk")</f>
        <v>1</v>
      </c>
      <c r="J29" s="53">
        <f t="shared" si="2"/>
        <v>8</v>
      </c>
      <c r="K29" s="14">
        <f>COUNTIFS('TJ List'!C:C,A29,'TJ List'!D:D,"Coll")</f>
        <v>6</v>
      </c>
      <c r="L29" s="14">
        <f>COUNTIFS('TJ List'!C:C,A29,'TJ List'!D:D,"HS")</f>
        <v>2</v>
      </c>
      <c r="M29" s="53">
        <f t="shared" si="3"/>
        <v>50</v>
      </c>
      <c r="N29" s="25">
        <f>AVERAGEIFS('TJ List'!L:L,'TJ List'!C:C,A29,'TJ List'!D:D,"MLB",'TJ List'!L:L,"&gt;0",'TJ List'!S:S,"&gt;=2010")</f>
        <v>13.33333333</v>
      </c>
      <c r="O29" s="14"/>
    </row>
    <row r="30">
      <c r="A30" s="11" t="s">
        <v>130</v>
      </c>
      <c r="B30" s="53">
        <f>COUNTIFS('TJ List'!C:C,A30,'TJ List'!D:D,"MLB")</f>
        <v>8</v>
      </c>
      <c r="C30" s="53">
        <f t="shared" si="1"/>
        <v>16</v>
      </c>
      <c r="D30" s="14">
        <f>COUNTIFS('TJ List'!C:C,A30,'TJ List'!D:D,"AAA")</f>
        <v>3</v>
      </c>
      <c r="E30" s="14">
        <f>COUNTIFS('TJ List'!C:C,A30,'TJ List'!D:D,"AA")</f>
        <v>2</v>
      </c>
      <c r="F30" s="14">
        <f>COUNTIFS('TJ List'!C:C,A30,'TJ List'!D:D,"A+")</f>
        <v>2</v>
      </c>
      <c r="G30" s="14">
        <f>COUNTIFS('TJ List'!C:C,A30,'TJ List'!D:D,"A")</f>
        <v>3</v>
      </c>
      <c r="H30" s="14">
        <f>COUNTIFS('TJ List'!C:C,A30,'TJ List'!D:D,"A-")</f>
        <v>4</v>
      </c>
      <c r="I30" s="14">
        <f>COUNTIFS('TJ List'!C:C,A30,'TJ List'!D:D,"Rk")</f>
        <v>2</v>
      </c>
      <c r="J30" s="53">
        <f t="shared" si="2"/>
        <v>10</v>
      </c>
      <c r="K30" s="14">
        <f>COUNTIFS('TJ List'!C:C,A30,'TJ List'!D:D,"Coll")</f>
        <v>6</v>
      </c>
      <c r="L30" s="14">
        <f>COUNTIFS('TJ List'!C:C,A30,'TJ List'!D:D,"HS")</f>
        <v>4</v>
      </c>
      <c r="M30" s="53">
        <f t="shared" si="3"/>
        <v>34</v>
      </c>
      <c r="N30" s="25">
        <f>AVERAGEIFS('TJ List'!L:L,'TJ List'!C:C,A30,'TJ List'!D:D,"MLB",'TJ List'!L:L,"&gt;0",'TJ List'!S:S,"&gt;=2010")</f>
        <v>15</v>
      </c>
      <c r="O30" s="14"/>
    </row>
    <row r="31">
      <c r="A31" s="11" t="s">
        <v>179</v>
      </c>
      <c r="B31" s="53">
        <f>COUNTIFS('TJ List'!C:C,A31,'TJ List'!D:D,"MLB")</f>
        <v>17</v>
      </c>
      <c r="C31" s="53">
        <f t="shared" si="1"/>
        <v>30</v>
      </c>
      <c r="D31" s="14">
        <f>COUNTIFS('TJ List'!C:C,A31,'TJ List'!D:D,"AAA")</f>
        <v>4</v>
      </c>
      <c r="E31" s="14">
        <f>COUNTIFS('TJ List'!C:C,A31,'TJ List'!D:D,"AA")</f>
        <v>8</v>
      </c>
      <c r="F31" s="14">
        <f>COUNTIFS('TJ List'!C:C,A31,'TJ List'!D:D,"A+")</f>
        <v>6</v>
      </c>
      <c r="G31" s="14">
        <f>COUNTIFS('TJ List'!C:C,A31,'TJ List'!D:D,"A")</f>
        <v>4</v>
      </c>
      <c r="H31" s="14">
        <f>COUNTIFS('TJ List'!C:C,A31,'TJ List'!D:D,"A-")</f>
        <v>3</v>
      </c>
      <c r="I31" s="14">
        <f>COUNTIFS('TJ List'!C:C,A31,'TJ List'!D:D,"Rk")</f>
        <v>5</v>
      </c>
      <c r="J31" s="53">
        <f t="shared" si="2"/>
        <v>14</v>
      </c>
      <c r="K31" s="14">
        <f>COUNTIFS('TJ List'!C:C,A31,'TJ List'!D:D,"Coll")</f>
        <v>8</v>
      </c>
      <c r="L31" s="14">
        <f>COUNTIFS('TJ List'!C:C,A31,'TJ List'!D:D,"HS")</f>
        <v>6</v>
      </c>
      <c r="M31" s="53">
        <f t="shared" si="3"/>
        <v>61</v>
      </c>
      <c r="N31" s="25">
        <f>AVERAGEIFS('TJ List'!L:L,'TJ List'!C:C,A31,'TJ List'!D:D,"MLB",'TJ List'!L:L,"&gt;0",'TJ List'!S:S,"&gt;=2010")</f>
        <v>13.66666667</v>
      </c>
      <c r="O31" s="14"/>
    </row>
    <row r="32">
      <c r="A32" s="11" t="s">
        <v>711</v>
      </c>
      <c r="B32" s="53">
        <f>COUNTIFS('TJ List'!C:C,A32,'TJ List'!D:D,"MLB")</f>
        <v>10</v>
      </c>
      <c r="C32" s="53">
        <f t="shared" si="1"/>
        <v>24</v>
      </c>
      <c r="D32" s="14">
        <f>COUNTIFS('TJ List'!C:C,A32,'TJ List'!D:D,"AAA")</f>
        <v>3</v>
      </c>
      <c r="E32" s="14">
        <f>COUNTIFS('TJ List'!C:C,A32,'TJ List'!D:D,"AA")</f>
        <v>6</v>
      </c>
      <c r="F32" s="14">
        <f>COUNTIFS('TJ List'!C:C,A32,'TJ List'!D:D,"A+")</f>
        <v>4</v>
      </c>
      <c r="G32" s="14">
        <f>COUNTIFS('TJ List'!C:C,A32,'TJ List'!D:D,"A")</f>
        <v>6</v>
      </c>
      <c r="H32" s="14">
        <f>COUNTIFS('TJ List'!C:C,A32,'TJ List'!D:D,"A-")</f>
        <v>1</v>
      </c>
      <c r="I32" s="14">
        <f>COUNTIFS('TJ List'!C:C,A32,'TJ List'!D:D,"Rk")</f>
        <v>4</v>
      </c>
      <c r="J32" s="53">
        <f t="shared" si="2"/>
        <v>5</v>
      </c>
      <c r="K32" s="14">
        <f>COUNTIFS('TJ List'!C:C,A32,'TJ List'!D:D,"Coll")</f>
        <v>3</v>
      </c>
      <c r="L32" s="14">
        <f>COUNTIFS('TJ List'!C:C,A32,'TJ List'!D:D,"HS")</f>
        <v>2</v>
      </c>
      <c r="M32" s="53">
        <f t="shared" si="3"/>
        <v>39</v>
      </c>
      <c r="N32" s="25">
        <f>AVERAGEIFS('TJ List'!L:L,'TJ List'!C:C,A32,'TJ List'!D:D,"MLB",'TJ List'!L:L,"&gt;0",'TJ List'!S:S,"&gt;=2010")</f>
        <v>16.33333333</v>
      </c>
      <c r="O32" s="11" t="s">
        <v>1519</v>
      </c>
      <c r="P32" s="49" t="s">
        <v>1520</v>
      </c>
    </row>
    <row r="33">
      <c r="A33" s="11" t="s">
        <v>74</v>
      </c>
      <c r="B33" s="53">
        <f>COUNTIFS('TJ List'!C:C,A33,'TJ List'!D:D,"MLB")</f>
        <v>20</v>
      </c>
      <c r="C33" s="53">
        <f t="shared" si="1"/>
        <v>22</v>
      </c>
      <c r="D33" s="14">
        <f>COUNTIFS('TJ List'!C:C,A33,'TJ List'!D:D,"AAA")</f>
        <v>3</v>
      </c>
      <c r="E33" s="14">
        <f>COUNTIFS('TJ List'!C:C,A33,'TJ List'!D:D,"AA")</f>
        <v>5</v>
      </c>
      <c r="F33" s="14">
        <f>COUNTIFS('TJ List'!C:C,A33,'TJ List'!D:D,"A+")</f>
        <v>3</v>
      </c>
      <c r="G33" s="14">
        <f>COUNTIFS('TJ List'!C:C,A33,'TJ List'!D:D,"A")</f>
        <v>4</v>
      </c>
      <c r="H33" s="14">
        <f>COUNTIFS('TJ List'!C:C,A33,'TJ List'!D:D,"A-")</f>
        <v>4</v>
      </c>
      <c r="I33" s="14">
        <f>COUNTIFS('TJ List'!C:C,A33,'TJ List'!D:D,"Rk")</f>
        <v>3</v>
      </c>
      <c r="J33" s="53">
        <f t="shared" si="2"/>
        <v>9</v>
      </c>
      <c r="K33" s="14">
        <f>COUNTIFS('TJ List'!C:C,A33,'TJ List'!D:D,"Coll")</f>
        <v>4</v>
      </c>
      <c r="L33" s="14">
        <f>COUNTIFS('TJ List'!C:C,A33,'TJ List'!D:D,"HS")</f>
        <v>5</v>
      </c>
      <c r="M33" s="53">
        <f t="shared" si="3"/>
        <v>51</v>
      </c>
      <c r="N33" s="25">
        <f>AVERAGEIFS('TJ List'!L:L,'TJ List'!C:C,A33,'TJ List'!D:D,"MLB",'TJ List'!L:L,"&gt;0",'TJ List'!S:S,"&gt;=2010")</f>
        <v>15</v>
      </c>
      <c r="O33" s="14"/>
    </row>
    <row r="34">
      <c r="A34" s="7" t="s">
        <v>1528</v>
      </c>
      <c r="B34" s="56">
        <f t="shared" ref="B34:M34" si="4">SUM(B4:B33)</f>
        <v>420</v>
      </c>
      <c r="C34" s="56">
        <f t="shared" si="4"/>
        <v>659</v>
      </c>
      <c r="D34" s="56">
        <f t="shared" si="4"/>
        <v>133</v>
      </c>
      <c r="E34" s="56">
        <f t="shared" si="4"/>
        <v>149</v>
      </c>
      <c r="F34" s="56">
        <f t="shared" si="4"/>
        <v>99</v>
      </c>
      <c r="G34" s="56">
        <f t="shared" si="4"/>
        <v>119</v>
      </c>
      <c r="H34" s="56">
        <f t="shared" si="4"/>
        <v>37</v>
      </c>
      <c r="I34" s="56">
        <f t="shared" si="4"/>
        <v>122</v>
      </c>
      <c r="J34" s="56">
        <f t="shared" si="4"/>
        <v>256</v>
      </c>
      <c r="K34" s="56">
        <f t="shared" si="4"/>
        <v>164</v>
      </c>
      <c r="L34" s="56">
        <f t="shared" si="4"/>
        <v>92</v>
      </c>
      <c r="M34" s="56">
        <f t="shared" si="4"/>
        <v>1335</v>
      </c>
      <c r="N34" s="61"/>
      <c r="O34" s="56"/>
    </row>
    <row r="35">
      <c r="B35" s="53"/>
      <c r="C35" s="14"/>
      <c r="D35" s="14"/>
      <c r="E35" s="14"/>
      <c r="F35" s="14"/>
      <c r="G35" s="14"/>
      <c r="H35" s="14"/>
      <c r="I35" s="14"/>
      <c r="J35" s="14"/>
      <c r="K35" s="14"/>
      <c r="L35" s="14"/>
      <c r="M35" s="14"/>
      <c r="N35" s="25"/>
      <c r="O35" s="14"/>
    </row>
    <row r="36">
      <c r="B36" s="53"/>
      <c r="C36" s="14"/>
      <c r="D36" s="14"/>
      <c r="E36" s="14"/>
      <c r="F36" s="14"/>
      <c r="G36" s="14"/>
      <c r="H36" s="14"/>
      <c r="I36" s="14"/>
      <c r="J36" s="14"/>
      <c r="K36" s="14"/>
      <c r="L36" s="14"/>
      <c r="M36" s="14"/>
      <c r="N36" s="25"/>
      <c r="O36" s="14"/>
    </row>
    <row r="37">
      <c r="B37" s="53"/>
      <c r="C37" s="14"/>
      <c r="D37" s="14"/>
      <c r="E37" s="14"/>
      <c r="F37" s="14"/>
      <c r="G37" s="14"/>
      <c r="H37" s="14"/>
      <c r="I37" s="14"/>
      <c r="J37" s="14"/>
      <c r="K37" s="14"/>
      <c r="L37" s="14"/>
      <c r="M37" s="14"/>
      <c r="N37" s="25"/>
      <c r="O37" s="14"/>
    </row>
    <row r="38">
      <c r="B38" s="53"/>
      <c r="C38" s="14"/>
      <c r="D38" s="14"/>
      <c r="E38" s="14"/>
      <c r="F38" s="14"/>
      <c r="G38" s="14"/>
      <c r="H38" s="14"/>
      <c r="I38" s="14"/>
      <c r="J38" s="14"/>
      <c r="K38" s="14"/>
      <c r="L38" s="14"/>
      <c r="M38" s="14"/>
      <c r="N38" s="25"/>
      <c r="O38" s="14"/>
    </row>
    <row r="39">
      <c r="B39" s="53"/>
      <c r="C39" s="14"/>
      <c r="D39" s="14"/>
      <c r="E39" s="14"/>
      <c r="F39" s="14"/>
      <c r="G39" s="14"/>
      <c r="H39" s="14"/>
      <c r="I39" s="14"/>
      <c r="J39" s="14"/>
      <c r="K39" s="14"/>
      <c r="L39" s="14"/>
      <c r="M39" s="14"/>
      <c r="N39" s="25"/>
      <c r="O39" s="14"/>
    </row>
    <row r="40">
      <c r="B40" s="53"/>
      <c r="C40" s="14"/>
      <c r="D40" s="14"/>
      <c r="E40" s="14"/>
      <c r="F40" s="14"/>
      <c r="G40" s="14"/>
      <c r="H40" s="14"/>
      <c r="I40" s="14"/>
      <c r="J40" s="14"/>
      <c r="K40" s="14"/>
      <c r="L40" s="14"/>
      <c r="M40" s="14"/>
      <c r="N40" s="25"/>
      <c r="O40" s="14"/>
    </row>
    <row r="41">
      <c r="B41" s="53"/>
      <c r="C41" s="14"/>
      <c r="D41" s="14"/>
      <c r="E41" s="14"/>
      <c r="F41" s="14"/>
      <c r="G41" s="14"/>
      <c r="H41" s="14"/>
      <c r="I41" s="14"/>
      <c r="J41" s="14"/>
      <c r="K41" s="14"/>
      <c r="L41" s="14"/>
      <c r="M41" s="14"/>
      <c r="N41" s="25"/>
      <c r="O41" s="14"/>
    </row>
    <row r="42">
      <c r="B42" s="53"/>
      <c r="C42" s="14"/>
      <c r="D42" s="14"/>
      <c r="E42" s="14"/>
      <c r="F42" s="14"/>
      <c r="G42" s="14"/>
      <c r="H42" s="14"/>
      <c r="I42" s="14"/>
      <c r="J42" s="14"/>
      <c r="K42" s="14"/>
      <c r="L42" s="14"/>
      <c r="M42" s="14"/>
      <c r="N42" s="25"/>
      <c r="O42" s="14"/>
    </row>
    <row r="43">
      <c r="B43" s="53"/>
      <c r="C43" s="14"/>
      <c r="D43" s="14"/>
      <c r="E43" s="14"/>
      <c r="F43" s="14"/>
      <c r="G43" s="14"/>
      <c r="H43" s="14"/>
      <c r="I43" s="14"/>
      <c r="J43" s="14"/>
      <c r="K43" s="14"/>
      <c r="L43" s="14"/>
      <c r="M43" s="14"/>
      <c r="N43" s="25"/>
      <c r="O43" s="14"/>
    </row>
    <row r="44">
      <c r="B44" s="53"/>
      <c r="C44" s="14"/>
      <c r="D44" s="14"/>
      <c r="E44" s="14"/>
      <c r="F44" s="14"/>
      <c r="G44" s="14"/>
      <c r="H44" s="14"/>
      <c r="I44" s="14"/>
      <c r="J44" s="14"/>
      <c r="K44" s="14"/>
      <c r="L44" s="14"/>
      <c r="M44" s="14"/>
      <c r="N44" s="25"/>
      <c r="O44" s="14"/>
    </row>
    <row r="45">
      <c r="B45" s="53"/>
      <c r="C45" s="14"/>
      <c r="D45" s="14"/>
      <c r="E45" s="14"/>
      <c r="F45" s="14"/>
      <c r="G45" s="14"/>
      <c r="H45" s="14"/>
      <c r="I45" s="14"/>
      <c r="J45" s="14"/>
      <c r="K45" s="14"/>
      <c r="L45" s="14"/>
      <c r="M45" s="14"/>
      <c r="N45" s="25"/>
      <c r="O45" s="14"/>
    </row>
    <row r="46">
      <c r="B46" s="53"/>
      <c r="C46" s="14"/>
      <c r="D46" s="14"/>
      <c r="E46" s="14"/>
      <c r="F46" s="14"/>
      <c r="G46" s="14"/>
      <c r="H46" s="14"/>
      <c r="I46" s="14"/>
      <c r="J46" s="14"/>
      <c r="K46" s="14"/>
      <c r="L46" s="14"/>
      <c r="M46" s="14"/>
      <c r="N46" s="25"/>
      <c r="O46" s="14"/>
    </row>
    <row r="47">
      <c r="B47" s="53"/>
      <c r="C47" s="14"/>
      <c r="D47" s="14"/>
      <c r="E47" s="14"/>
      <c r="F47" s="14"/>
      <c r="G47" s="14"/>
      <c r="H47" s="14"/>
      <c r="I47" s="14"/>
      <c r="J47" s="14"/>
      <c r="K47" s="14"/>
      <c r="L47" s="14"/>
      <c r="M47" s="14"/>
      <c r="N47" s="25"/>
      <c r="O47" s="14"/>
    </row>
    <row r="48">
      <c r="B48" s="53"/>
      <c r="C48" s="14"/>
      <c r="D48" s="14"/>
      <c r="E48" s="14"/>
      <c r="F48" s="14"/>
      <c r="G48" s="14"/>
      <c r="H48" s="14"/>
      <c r="I48" s="14"/>
      <c r="J48" s="14"/>
      <c r="K48" s="14"/>
      <c r="L48" s="14"/>
      <c r="M48" s="14"/>
      <c r="N48" s="25"/>
      <c r="O48" s="14"/>
    </row>
    <row r="49">
      <c r="B49" s="53"/>
      <c r="C49" s="14"/>
      <c r="D49" s="14"/>
      <c r="E49" s="14"/>
      <c r="F49" s="14"/>
      <c r="G49" s="14"/>
      <c r="H49" s="14"/>
      <c r="I49" s="14"/>
      <c r="J49" s="14"/>
      <c r="K49" s="14"/>
      <c r="L49" s="14"/>
      <c r="M49" s="14"/>
      <c r="N49" s="25"/>
      <c r="O49" s="14"/>
    </row>
    <row r="50">
      <c r="B50" s="53"/>
      <c r="C50" s="14"/>
      <c r="D50" s="14"/>
      <c r="E50" s="14"/>
      <c r="F50" s="14"/>
      <c r="G50" s="14"/>
      <c r="H50" s="14"/>
      <c r="I50" s="14"/>
      <c r="J50" s="14"/>
      <c r="K50" s="14"/>
      <c r="L50" s="14"/>
      <c r="M50" s="14"/>
      <c r="N50" s="25"/>
      <c r="O50" s="14"/>
    </row>
    <row r="51">
      <c r="B51" s="53"/>
      <c r="C51" s="14"/>
      <c r="D51" s="14"/>
      <c r="E51" s="14"/>
      <c r="F51" s="14"/>
      <c r="G51" s="14"/>
      <c r="H51" s="14"/>
      <c r="I51" s="14"/>
      <c r="J51" s="14"/>
      <c r="K51" s="14"/>
      <c r="L51" s="14"/>
      <c r="M51" s="14"/>
      <c r="N51" s="25"/>
      <c r="O51" s="14"/>
    </row>
    <row r="52">
      <c r="B52" s="53"/>
      <c r="C52" s="14"/>
      <c r="D52" s="14"/>
      <c r="E52" s="14"/>
      <c r="F52" s="14"/>
      <c r="G52" s="14"/>
      <c r="H52" s="14"/>
      <c r="I52" s="14"/>
      <c r="J52" s="14"/>
      <c r="K52" s="14"/>
      <c r="L52" s="14"/>
      <c r="M52" s="14"/>
      <c r="N52" s="25"/>
      <c r="O52" s="14"/>
    </row>
    <row r="53">
      <c r="B53" s="53"/>
      <c r="C53" s="14"/>
      <c r="D53" s="14"/>
      <c r="E53" s="14"/>
      <c r="F53" s="14"/>
      <c r="G53" s="14"/>
      <c r="H53" s="14"/>
      <c r="I53" s="14"/>
      <c r="J53" s="14"/>
      <c r="K53" s="14"/>
      <c r="L53" s="14"/>
      <c r="M53" s="14"/>
      <c r="N53" s="25"/>
      <c r="O53" s="14"/>
    </row>
    <row r="54">
      <c r="B54" s="53"/>
      <c r="C54" s="14"/>
      <c r="D54" s="14"/>
      <c r="E54" s="14"/>
      <c r="F54" s="14"/>
      <c r="G54" s="14"/>
      <c r="H54" s="14"/>
      <c r="I54" s="14"/>
      <c r="J54" s="14"/>
      <c r="K54" s="14"/>
      <c r="L54" s="14"/>
      <c r="M54" s="14"/>
      <c r="N54" s="25"/>
      <c r="O54" s="14"/>
    </row>
    <row r="55">
      <c r="B55" s="53"/>
      <c r="C55" s="14"/>
      <c r="D55" s="14"/>
      <c r="E55" s="14"/>
      <c r="F55" s="14"/>
      <c r="G55" s="14"/>
      <c r="H55" s="14"/>
      <c r="I55" s="14"/>
      <c r="J55" s="14"/>
      <c r="K55" s="14"/>
      <c r="L55" s="14"/>
      <c r="M55" s="14"/>
      <c r="N55" s="25"/>
      <c r="O55" s="14"/>
    </row>
    <row r="56">
      <c r="B56" s="53"/>
      <c r="C56" s="14"/>
      <c r="D56" s="14"/>
      <c r="E56" s="14"/>
      <c r="F56" s="14"/>
      <c r="G56" s="14"/>
      <c r="H56" s="14"/>
      <c r="I56" s="14"/>
      <c r="J56" s="14"/>
      <c r="K56" s="14"/>
      <c r="L56" s="14"/>
      <c r="M56" s="14"/>
      <c r="N56" s="25"/>
      <c r="O56" s="14"/>
    </row>
    <row r="57">
      <c r="B57" s="53"/>
      <c r="C57" s="14"/>
      <c r="D57" s="14"/>
      <c r="E57" s="14"/>
      <c r="F57" s="14"/>
      <c r="G57" s="14"/>
      <c r="H57" s="14"/>
      <c r="I57" s="14"/>
      <c r="J57" s="14"/>
      <c r="K57" s="14"/>
      <c r="L57" s="14"/>
      <c r="M57" s="14"/>
      <c r="N57" s="25"/>
      <c r="O57" s="14"/>
    </row>
    <row r="58">
      <c r="B58" s="53"/>
      <c r="C58" s="14"/>
      <c r="D58" s="14"/>
      <c r="E58" s="14"/>
      <c r="F58" s="14"/>
      <c r="G58" s="14"/>
      <c r="H58" s="14"/>
      <c r="I58" s="14"/>
      <c r="J58" s="14"/>
      <c r="K58" s="14"/>
      <c r="L58" s="14"/>
      <c r="M58" s="14"/>
      <c r="N58" s="25"/>
      <c r="O58" s="14"/>
    </row>
    <row r="59">
      <c r="B59" s="53"/>
      <c r="C59" s="14"/>
      <c r="D59" s="14"/>
      <c r="E59" s="14"/>
      <c r="F59" s="14"/>
      <c r="G59" s="14"/>
      <c r="H59" s="14"/>
      <c r="I59" s="14"/>
      <c r="J59" s="14"/>
      <c r="K59" s="14"/>
      <c r="L59" s="14"/>
      <c r="M59" s="14"/>
      <c r="N59" s="25"/>
      <c r="O59" s="14"/>
    </row>
    <row r="60">
      <c r="B60" s="53"/>
      <c r="C60" s="14"/>
      <c r="D60" s="14"/>
      <c r="E60" s="14"/>
      <c r="F60" s="14"/>
      <c r="G60" s="14"/>
      <c r="H60" s="14"/>
      <c r="I60" s="14"/>
      <c r="J60" s="14"/>
      <c r="K60" s="14"/>
      <c r="L60" s="14"/>
      <c r="M60" s="14"/>
      <c r="N60" s="25"/>
      <c r="O60" s="14"/>
    </row>
    <row r="61">
      <c r="B61" s="53"/>
      <c r="C61" s="14"/>
      <c r="D61" s="14"/>
      <c r="E61" s="14"/>
      <c r="F61" s="14"/>
      <c r="G61" s="14"/>
      <c r="H61" s="14"/>
      <c r="I61" s="14"/>
      <c r="J61" s="14"/>
      <c r="K61" s="14"/>
      <c r="L61" s="14"/>
      <c r="M61" s="14"/>
      <c r="N61" s="25"/>
      <c r="O61" s="14"/>
    </row>
    <row r="62">
      <c r="B62" s="53"/>
      <c r="C62" s="14"/>
      <c r="D62" s="14"/>
      <c r="E62" s="14"/>
      <c r="F62" s="14"/>
      <c r="G62" s="14"/>
      <c r="H62" s="14"/>
      <c r="I62" s="14"/>
      <c r="J62" s="14"/>
      <c r="K62" s="14"/>
      <c r="L62" s="14"/>
      <c r="M62" s="14"/>
      <c r="N62" s="25"/>
      <c r="O62" s="14"/>
    </row>
    <row r="63">
      <c r="B63" s="53"/>
      <c r="C63" s="14"/>
      <c r="D63" s="14"/>
      <c r="E63" s="14"/>
      <c r="F63" s="14"/>
      <c r="G63" s="14"/>
      <c r="H63" s="14"/>
      <c r="I63" s="14"/>
      <c r="J63" s="14"/>
      <c r="K63" s="14"/>
      <c r="L63" s="14"/>
      <c r="M63" s="14"/>
      <c r="N63" s="25"/>
      <c r="O63" s="14"/>
    </row>
    <row r="64">
      <c r="B64" s="53"/>
      <c r="C64" s="14"/>
      <c r="D64" s="14"/>
      <c r="E64" s="14"/>
      <c r="F64" s="14"/>
      <c r="G64" s="14"/>
      <c r="H64" s="14"/>
      <c r="I64" s="14"/>
      <c r="J64" s="14"/>
      <c r="K64" s="14"/>
      <c r="L64" s="14"/>
      <c r="M64" s="14"/>
      <c r="N64" s="25"/>
      <c r="O64" s="14"/>
    </row>
    <row r="65">
      <c r="B65" s="53"/>
      <c r="C65" s="14"/>
      <c r="D65" s="14"/>
      <c r="E65" s="14"/>
      <c r="F65" s="14"/>
      <c r="G65" s="14"/>
      <c r="H65" s="14"/>
      <c r="I65" s="14"/>
      <c r="J65" s="14"/>
      <c r="K65" s="14"/>
      <c r="L65" s="14"/>
      <c r="M65" s="14"/>
      <c r="N65" s="25"/>
      <c r="O65" s="14"/>
    </row>
    <row r="66">
      <c r="B66" s="53"/>
      <c r="C66" s="14"/>
      <c r="D66" s="14"/>
      <c r="E66" s="14"/>
      <c r="F66" s="14"/>
      <c r="G66" s="14"/>
      <c r="H66" s="14"/>
      <c r="I66" s="14"/>
      <c r="J66" s="14"/>
      <c r="K66" s="14"/>
      <c r="L66" s="14"/>
      <c r="M66" s="14"/>
      <c r="N66" s="25"/>
      <c r="O66" s="14"/>
    </row>
    <row r="67">
      <c r="B67" s="53"/>
      <c r="C67" s="14"/>
      <c r="D67" s="14"/>
      <c r="E67" s="14"/>
      <c r="F67" s="14"/>
      <c r="G67" s="14"/>
      <c r="H67" s="14"/>
      <c r="I67" s="14"/>
      <c r="J67" s="14"/>
      <c r="K67" s="14"/>
      <c r="L67" s="14"/>
      <c r="M67" s="14"/>
      <c r="N67" s="25"/>
      <c r="O67" s="14"/>
    </row>
    <row r="68">
      <c r="B68" s="53"/>
      <c r="C68" s="14"/>
      <c r="D68" s="14"/>
      <c r="E68" s="14"/>
      <c r="F68" s="14"/>
      <c r="G68" s="14"/>
      <c r="H68" s="14"/>
      <c r="I68" s="14"/>
      <c r="J68" s="14"/>
      <c r="K68" s="14"/>
      <c r="L68" s="14"/>
      <c r="M68" s="14"/>
      <c r="N68" s="25"/>
      <c r="O68" s="14"/>
    </row>
    <row r="69">
      <c r="B69" s="53"/>
      <c r="C69" s="14"/>
      <c r="D69" s="14"/>
      <c r="E69" s="14"/>
      <c r="F69" s="14"/>
      <c r="G69" s="14"/>
      <c r="H69" s="14"/>
      <c r="I69" s="14"/>
      <c r="J69" s="14"/>
      <c r="K69" s="14"/>
      <c r="L69" s="14"/>
      <c r="M69" s="14"/>
      <c r="N69" s="25"/>
      <c r="O69" s="14"/>
    </row>
    <row r="70">
      <c r="B70" s="53"/>
      <c r="C70" s="14"/>
      <c r="D70" s="14"/>
      <c r="E70" s="14"/>
      <c r="F70" s="14"/>
      <c r="G70" s="14"/>
      <c r="H70" s="14"/>
      <c r="I70" s="14"/>
      <c r="J70" s="14"/>
      <c r="K70" s="14"/>
      <c r="L70" s="14"/>
      <c r="M70" s="14"/>
      <c r="N70" s="25"/>
      <c r="O70" s="14"/>
    </row>
    <row r="71">
      <c r="B71" s="53"/>
      <c r="C71" s="14"/>
      <c r="D71" s="14"/>
      <c r="E71" s="14"/>
      <c r="F71" s="14"/>
      <c r="G71" s="14"/>
      <c r="H71" s="14"/>
      <c r="I71" s="14"/>
      <c r="J71" s="14"/>
      <c r="K71" s="14"/>
      <c r="L71" s="14"/>
      <c r="M71" s="14"/>
      <c r="N71" s="25"/>
      <c r="O71" s="14"/>
    </row>
    <row r="72">
      <c r="B72" s="53"/>
      <c r="C72" s="14"/>
      <c r="D72" s="14"/>
      <c r="E72" s="14"/>
      <c r="F72" s="14"/>
      <c r="G72" s="14"/>
      <c r="H72" s="14"/>
      <c r="I72" s="14"/>
      <c r="J72" s="14"/>
      <c r="K72" s="14"/>
      <c r="L72" s="14"/>
      <c r="M72" s="14"/>
      <c r="N72" s="25"/>
      <c r="O72" s="14"/>
    </row>
    <row r="73">
      <c r="B73" s="53"/>
      <c r="C73" s="14"/>
      <c r="D73" s="14"/>
      <c r="E73" s="14"/>
      <c r="F73" s="14"/>
      <c r="G73" s="14"/>
      <c r="H73" s="14"/>
      <c r="I73" s="14"/>
      <c r="J73" s="14"/>
      <c r="K73" s="14"/>
      <c r="L73" s="14"/>
      <c r="M73" s="14"/>
      <c r="N73" s="25"/>
      <c r="O73" s="14"/>
    </row>
    <row r="74">
      <c r="B74" s="53"/>
      <c r="C74" s="14"/>
      <c r="D74" s="14"/>
      <c r="E74" s="14"/>
      <c r="F74" s="14"/>
      <c r="G74" s="14"/>
      <c r="H74" s="14"/>
      <c r="I74" s="14"/>
      <c r="J74" s="14"/>
      <c r="K74" s="14"/>
      <c r="L74" s="14"/>
      <c r="M74" s="14"/>
      <c r="N74" s="25"/>
      <c r="O74" s="14"/>
    </row>
    <row r="75">
      <c r="B75" s="53"/>
      <c r="C75" s="14"/>
      <c r="D75" s="14"/>
      <c r="E75" s="14"/>
      <c r="F75" s="14"/>
      <c r="G75" s="14"/>
      <c r="H75" s="14"/>
      <c r="I75" s="14"/>
      <c r="J75" s="14"/>
      <c r="K75" s="14"/>
      <c r="L75" s="14"/>
      <c r="M75" s="14"/>
      <c r="N75" s="25"/>
      <c r="O75" s="14"/>
    </row>
    <row r="76">
      <c r="B76" s="53"/>
      <c r="C76" s="14"/>
      <c r="D76" s="14"/>
      <c r="E76" s="14"/>
      <c r="F76" s="14"/>
      <c r="G76" s="14"/>
      <c r="H76" s="14"/>
      <c r="I76" s="14"/>
      <c r="J76" s="14"/>
      <c r="K76" s="14"/>
      <c r="L76" s="14"/>
      <c r="M76" s="14"/>
      <c r="N76" s="25"/>
      <c r="O76" s="14"/>
    </row>
    <row r="77">
      <c r="B77" s="53"/>
      <c r="C77" s="14"/>
      <c r="D77" s="14"/>
      <c r="E77" s="14"/>
      <c r="F77" s="14"/>
      <c r="G77" s="14"/>
      <c r="H77" s="14"/>
      <c r="I77" s="14"/>
      <c r="J77" s="14"/>
      <c r="K77" s="14"/>
      <c r="L77" s="14"/>
      <c r="M77" s="14"/>
      <c r="N77" s="25"/>
      <c r="O77" s="14"/>
    </row>
    <row r="78">
      <c r="B78" s="53"/>
      <c r="C78" s="14"/>
      <c r="D78" s="14"/>
      <c r="E78" s="14"/>
      <c r="F78" s="14"/>
      <c r="G78" s="14"/>
      <c r="H78" s="14"/>
      <c r="I78" s="14"/>
      <c r="J78" s="14"/>
      <c r="K78" s="14"/>
      <c r="L78" s="14"/>
      <c r="M78" s="14"/>
      <c r="N78" s="25"/>
      <c r="O78" s="14"/>
    </row>
    <row r="79">
      <c r="B79" s="53"/>
      <c r="C79" s="14"/>
      <c r="D79" s="14"/>
      <c r="E79" s="14"/>
      <c r="F79" s="14"/>
      <c r="G79" s="14"/>
      <c r="H79" s="14"/>
      <c r="I79" s="14"/>
      <c r="J79" s="14"/>
      <c r="K79" s="14"/>
      <c r="L79" s="14"/>
      <c r="M79" s="14"/>
      <c r="N79" s="25"/>
      <c r="O79" s="14"/>
    </row>
    <row r="80">
      <c r="B80" s="53"/>
      <c r="C80" s="14"/>
      <c r="D80" s="14"/>
      <c r="E80" s="14"/>
      <c r="F80" s="14"/>
      <c r="G80" s="14"/>
      <c r="H80" s="14"/>
      <c r="I80" s="14"/>
      <c r="J80" s="14"/>
      <c r="K80" s="14"/>
      <c r="L80" s="14"/>
      <c r="M80" s="14"/>
      <c r="N80" s="25"/>
      <c r="O80" s="14"/>
    </row>
    <row r="81">
      <c r="B81" s="53"/>
      <c r="C81" s="14"/>
      <c r="D81" s="14"/>
      <c r="E81" s="14"/>
      <c r="F81" s="14"/>
      <c r="G81" s="14"/>
      <c r="H81" s="14"/>
      <c r="I81" s="14"/>
      <c r="J81" s="14"/>
      <c r="K81" s="14"/>
      <c r="L81" s="14"/>
      <c r="M81" s="14"/>
      <c r="N81" s="25"/>
      <c r="O81" s="14"/>
    </row>
    <row r="82">
      <c r="B82" s="53"/>
      <c r="C82" s="14"/>
      <c r="D82" s="14"/>
      <c r="E82" s="14"/>
      <c r="F82" s="14"/>
      <c r="G82" s="14"/>
      <c r="H82" s="14"/>
      <c r="I82" s="14"/>
      <c r="J82" s="14"/>
      <c r="K82" s="14"/>
      <c r="L82" s="14"/>
      <c r="M82" s="14"/>
      <c r="N82" s="25"/>
      <c r="O82" s="14"/>
    </row>
    <row r="83">
      <c r="B83" s="53"/>
      <c r="C83" s="14"/>
      <c r="D83" s="14"/>
      <c r="E83" s="14"/>
      <c r="F83" s="14"/>
      <c r="G83" s="14"/>
      <c r="H83" s="14"/>
      <c r="I83" s="14"/>
      <c r="J83" s="14"/>
      <c r="K83" s="14"/>
      <c r="L83" s="14"/>
      <c r="M83" s="14"/>
      <c r="N83" s="25"/>
      <c r="O83" s="14"/>
    </row>
    <row r="84">
      <c r="B84" s="53"/>
      <c r="C84" s="14"/>
      <c r="D84" s="14"/>
      <c r="E84" s="14"/>
      <c r="F84" s="14"/>
      <c r="G84" s="14"/>
      <c r="H84" s="14"/>
      <c r="I84" s="14"/>
      <c r="J84" s="14"/>
      <c r="K84" s="14"/>
      <c r="L84" s="14"/>
      <c r="M84" s="14"/>
      <c r="N84" s="25"/>
      <c r="O84" s="14"/>
    </row>
    <row r="85">
      <c r="B85" s="53"/>
      <c r="C85" s="14"/>
      <c r="D85" s="14"/>
      <c r="E85" s="14"/>
      <c r="F85" s="14"/>
      <c r="G85" s="14"/>
      <c r="H85" s="14"/>
      <c r="I85" s="14"/>
      <c r="J85" s="14"/>
      <c r="K85" s="14"/>
      <c r="L85" s="14"/>
      <c r="M85" s="14"/>
      <c r="N85" s="25"/>
      <c r="O85" s="14"/>
    </row>
    <row r="86">
      <c r="B86" s="53"/>
      <c r="C86" s="14"/>
      <c r="D86" s="14"/>
      <c r="E86" s="14"/>
      <c r="F86" s="14"/>
      <c r="G86" s="14"/>
      <c r="H86" s="14"/>
      <c r="I86" s="14"/>
      <c r="J86" s="14"/>
      <c r="K86" s="14"/>
      <c r="L86" s="14"/>
      <c r="M86" s="14"/>
      <c r="N86" s="25"/>
      <c r="O86" s="14"/>
    </row>
    <row r="87">
      <c r="B87" s="53"/>
      <c r="C87" s="14"/>
      <c r="D87" s="14"/>
      <c r="E87" s="14"/>
      <c r="F87" s="14"/>
      <c r="G87" s="14"/>
      <c r="H87" s="14"/>
      <c r="I87" s="14"/>
      <c r="J87" s="14"/>
      <c r="K87" s="14"/>
      <c r="L87" s="14"/>
      <c r="M87" s="14"/>
      <c r="N87" s="25"/>
      <c r="O87" s="14"/>
    </row>
    <row r="88">
      <c r="B88" s="53"/>
      <c r="C88" s="14"/>
      <c r="D88" s="14"/>
      <c r="E88" s="14"/>
      <c r="F88" s="14"/>
      <c r="G88" s="14"/>
      <c r="H88" s="14"/>
      <c r="I88" s="14"/>
      <c r="J88" s="14"/>
      <c r="K88" s="14"/>
      <c r="L88" s="14"/>
      <c r="M88" s="14"/>
      <c r="N88" s="25"/>
      <c r="O88" s="14"/>
    </row>
    <row r="89">
      <c r="B89" s="53"/>
      <c r="C89" s="14"/>
      <c r="D89" s="14"/>
      <c r="E89" s="14"/>
      <c r="F89" s="14"/>
      <c r="G89" s="14"/>
      <c r="H89" s="14"/>
      <c r="I89" s="14"/>
      <c r="J89" s="14"/>
      <c r="K89" s="14"/>
      <c r="L89" s="14"/>
      <c r="M89" s="14"/>
      <c r="N89" s="25"/>
      <c r="O89" s="14"/>
    </row>
    <row r="90">
      <c r="B90" s="53"/>
      <c r="C90" s="14"/>
      <c r="D90" s="14"/>
      <c r="E90" s="14"/>
      <c r="F90" s="14"/>
      <c r="G90" s="14"/>
      <c r="H90" s="14"/>
      <c r="I90" s="14"/>
      <c r="J90" s="14"/>
      <c r="K90" s="14"/>
      <c r="L90" s="14"/>
      <c r="M90" s="14"/>
      <c r="N90" s="25"/>
      <c r="O90" s="14"/>
    </row>
    <row r="91">
      <c r="B91" s="53"/>
      <c r="C91" s="14"/>
      <c r="D91" s="14"/>
      <c r="E91" s="14"/>
      <c r="F91" s="14"/>
      <c r="G91" s="14"/>
      <c r="H91" s="14"/>
      <c r="I91" s="14"/>
      <c r="J91" s="14"/>
      <c r="K91" s="14"/>
      <c r="L91" s="14"/>
      <c r="M91" s="14"/>
      <c r="N91" s="25"/>
      <c r="O91" s="14"/>
    </row>
    <row r="92">
      <c r="B92" s="53"/>
      <c r="C92" s="14"/>
      <c r="D92" s="14"/>
      <c r="E92" s="14"/>
      <c r="F92" s="14"/>
      <c r="G92" s="14"/>
      <c r="H92" s="14"/>
      <c r="I92" s="14"/>
      <c r="J92" s="14"/>
      <c r="K92" s="14"/>
      <c r="L92" s="14"/>
      <c r="M92" s="14"/>
      <c r="N92" s="25"/>
      <c r="O92" s="14"/>
    </row>
    <row r="93">
      <c r="B93" s="53"/>
      <c r="C93" s="14"/>
      <c r="D93" s="14"/>
      <c r="E93" s="14"/>
      <c r="F93" s="14"/>
      <c r="G93" s="14"/>
      <c r="H93" s="14"/>
      <c r="I93" s="14"/>
      <c r="J93" s="14"/>
      <c r="K93" s="14"/>
      <c r="L93" s="14"/>
      <c r="M93" s="14"/>
      <c r="N93" s="25"/>
      <c r="O93" s="14"/>
    </row>
    <row r="94">
      <c r="B94" s="53"/>
      <c r="C94" s="14"/>
      <c r="D94" s="14"/>
      <c r="E94" s="14"/>
      <c r="F94" s="14"/>
      <c r="G94" s="14"/>
      <c r="H94" s="14"/>
      <c r="I94" s="14"/>
      <c r="J94" s="14"/>
      <c r="K94" s="14"/>
      <c r="L94" s="14"/>
      <c r="M94" s="14"/>
      <c r="N94" s="25"/>
      <c r="O94" s="14"/>
    </row>
    <row r="95">
      <c r="B95" s="53"/>
      <c r="C95" s="14"/>
      <c r="D95" s="14"/>
      <c r="E95" s="14"/>
      <c r="F95" s="14"/>
      <c r="G95" s="14"/>
      <c r="H95" s="14"/>
      <c r="I95" s="14"/>
      <c r="J95" s="14"/>
      <c r="K95" s="14"/>
      <c r="L95" s="14"/>
      <c r="M95" s="14"/>
      <c r="N95" s="25"/>
      <c r="O95" s="14"/>
    </row>
    <row r="96">
      <c r="B96" s="53"/>
      <c r="C96" s="14"/>
      <c r="D96" s="14"/>
      <c r="E96" s="14"/>
      <c r="F96" s="14"/>
      <c r="G96" s="14"/>
      <c r="H96" s="14"/>
      <c r="I96" s="14"/>
      <c r="J96" s="14"/>
      <c r="K96" s="14"/>
      <c r="L96" s="14"/>
      <c r="M96" s="14"/>
      <c r="N96" s="25"/>
      <c r="O96" s="14"/>
    </row>
    <row r="97">
      <c r="B97" s="53"/>
      <c r="C97" s="14"/>
      <c r="D97" s="14"/>
      <c r="E97" s="14"/>
      <c r="F97" s="14"/>
      <c r="G97" s="14"/>
      <c r="H97" s="14"/>
      <c r="I97" s="14"/>
      <c r="J97" s="14"/>
      <c r="K97" s="14"/>
      <c r="L97" s="14"/>
      <c r="M97" s="14"/>
      <c r="N97" s="25"/>
      <c r="O97" s="14"/>
    </row>
    <row r="98">
      <c r="B98" s="53"/>
      <c r="C98" s="14"/>
      <c r="D98" s="14"/>
      <c r="E98" s="14"/>
      <c r="F98" s="14"/>
      <c r="G98" s="14"/>
      <c r="H98" s="14"/>
      <c r="I98" s="14"/>
      <c r="J98" s="14"/>
      <c r="K98" s="14"/>
      <c r="L98" s="14"/>
      <c r="M98" s="14"/>
      <c r="N98" s="25"/>
      <c r="O98" s="14"/>
    </row>
    <row r="99">
      <c r="B99" s="53"/>
      <c r="C99" s="14"/>
      <c r="D99" s="14"/>
      <c r="E99" s="14"/>
      <c r="F99" s="14"/>
      <c r="G99" s="14"/>
      <c r="H99" s="14"/>
      <c r="I99" s="14"/>
      <c r="J99" s="14"/>
      <c r="K99" s="14"/>
      <c r="L99" s="14"/>
      <c r="M99" s="14"/>
      <c r="N99" s="25"/>
      <c r="O99" s="14"/>
    </row>
    <row r="100">
      <c r="B100" s="53"/>
      <c r="C100" s="14"/>
      <c r="D100" s="14"/>
      <c r="E100" s="14"/>
      <c r="F100" s="14"/>
      <c r="G100" s="14"/>
      <c r="H100" s="14"/>
      <c r="I100" s="14"/>
      <c r="J100" s="14"/>
      <c r="K100" s="14"/>
      <c r="L100" s="14"/>
      <c r="M100" s="14"/>
      <c r="N100" s="25"/>
      <c r="O100" s="14"/>
    </row>
    <row r="101">
      <c r="B101" s="53"/>
      <c r="C101" s="14"/>
      <c r="D101" s="14"/>
      <c r="E101" s="14"/>
      <c r="F101" s="14"/>
      <c r="G101" s="14"/>
      <c r="H101" s="14"/>
      <c r="I101" s="14"/>
      <c r="J101" s="14"/>
      <c r="K101" s="14"/>
      <c r="L101" s="14"/>
      <c r="M101" s="14"/>
      <c r="N101" s="25"/>
      <c r="O101" s="14"/>
    </row>
    <row r="102">
      <c r="B102" s="53"/>
      <c r="C102" s="14"/>
      <c r="D102" s="14"/>
      <c r="E102" s="14"/>
      <c r="F102" s="14"/>
      <c r="G102" s="14"/>
      <c r="H102" s="14"/>
      <c r="I102" s="14"/>
      <c r="J102" s="14"/>
      <c r="K102" s="14"/>
      <c r="L102" s="14"/>
      <c r="M102" s="14"/>
      <c r="N102" s="25"/>
      <c r="O102" s="14"/>
    </row>
    <row r="103">
      <c r="B103" s="53"/>
      <c r="C103" s="14"/>
      <c r="D103" s="14"/>
      <c r="E103" s="14"/>
      <c r="F103" s="14"/>
      <c r="G103" s="14"/>
      <c r="H103" s="14"/>
      <c r="I103" s="14"/>
      <c r="J103" s="14"/>
      <c r="K103" s="14"/>
      <c r="L103" s="14"/>
      <c r="M103" s="14"/>
      <c r="N103" s="25"/>
      <c r="O103" s="14"/>
    </row>
    <row r="104">
      <c r="B104" s="53"/>
      <c r="C104" s="14"/>
      <c r="D104" s="14"/>
      <c r="E104" s="14"/>
      <c r="F104" s="14"/>
      <c r="G104" s="14"/>
      <c r="H104" s="14"/>
      <c r="I104" s="14"/>
      <c r="J104" s="14"/>
      <c r="K104" s="14"/>
      <c r="L104" s="14"/>
      <c r="M104" s="14"/>
      <c r="N104" s="25"/>
      <c r="O104" s="14"/>
    </row>
    <row r="105">
      <c r="B105" s="53"/>
      <c r="C105" s="14"/>
      <c r="D105" s="14"/>
      <c r="E105" s="14"/>
      <c r="F105" s="14"/>
      <c r="G105" s="14"/>
      <c r="H105" s="14"/>
      <c r="I105" s="14"/>
      <c r="J105" s="14"/>
      <c r="K105" s="14"/>
      <c r="L105" s="14"/>
      <c r="M105" s="14"/>
      <c r="N105" s="25"/>
      <c r="O105" s="14"/>
    </row>
    <row r="106">
      <c r="B106" s="53"/>
      <c r="C106" s="14"/>
      <c r="D106" s="14"/>
      <c r="E106" s="14"/>
      <c r="F106" s="14"/>
      <c r="G106" s="14"/>
      <c r="H106" s="14"/>
      <c r="I106" s="14"/>
      <c r="J106" s="14"/>
      <c r="K106" s="14"/>
      <c r="L106" s="14"/>
      <c r="M106" s="14"/>
      <c r="N106" s="25"/>
      <c r="O106" s="14"/>
    </row>
    <row r="107">
      <c r="B107" s="53"/>
      <c r="C107" s="14"/>
      <c r="D107" s="14"/>
      <c r="E107" s="14"/>
      <c r="F107" s="14"/>
      <c r="G107" s="14"/>
      <c r="H107" s="14"/>
      <c r="I107" s="14"/>
      <c r="J107" s="14"/>
      <c r="K107" s="14"/>
      <c r="L107" s="14"/>
      <c r="M107" s="14"/>
      <c r="N107" s="25"/>
      <c r="O107" s="14"/>
    </row>
    <row r="108">
      <c r="B108" s="53"/>
      <c r="C108" s="14"/>
      <c r="D108" s="14"/>
      <c r="E108" s="14"/>
      <c r="F108" s="14"/>
      <c r="G108" s="14"/>
      <c r="H108" s="14"/>
      <c r="I108" s="14"/>
      <c r="J108" s="14"/>
      <c r="K108" s="14"/>
      <c r="L108" s="14"/>
      <c r="M108" s="14"/>
      <c r="N108" s="25"/>
      <c r="O108" s="14"/>
    </row>
    <row r="109">
      <c r="B109" s="53"/>
      <c r="C109" s="14"/>
      <c r="D109" s="14"/>
      <c r="E109" s="14"/>
      <c r="F109" s="14"/>
      <c r="G109" s="14"/>
      <c r="H109" s="14"/>
      <c r="I109" s="14"/>
      <c r="J109" s="14"/>
      <c r="K109" s="14"/>
      <c r="L109" s="14"/>
      <c r="M109" s="14"/>
      <c r="N109" s="25"/>
      <c r="O109" s="14"/>
    </row>
    <row r="110">
      <c r="B110" s="53"/>
      <c r="C110" s="14"/>
      <c r="D110" s="14"/>
      <c r="E110" s="14"/>
      <c r="F110" s="14"/>
      <c r="G110" s="14"/>
      <c r="H110" s="14"/>
      <c r="I110" s="14"/>
      <c r="J110" s="14"/>
      <c r="K110" s="14"/>
      <c r="L110" s="14"/>
      <c r="M110" s="14"/>
      <c r="N110" s="25"/>
      <c r="O110" s="14"/>
    </row>
    <row r="111">
      <c r="B111" s="53"/>
      <c r="C111" s="14"/>
      <c r="D111" s="14"/>
      <c r="E111" s="14"/>
      <c r="F111" s="14"/>
      <c r="G111" s="14"/>
      <c r="H111" s="14"/>
      <c r="I111" s="14"/>
      <c r="J111" s="14"/>
      <c r="K111" s="14"/>
      <c r="L111" s="14"/>
      <c r="M111" s="14"/>
      <c r="N111" s="25"/>
      <c r="O111" s="14"/>
    </row>
    <row r="112">
      <c r="B112" s="53"/>
      <c r="C112" s="14"/>
      <c r="D112" s="14"/>
      <c r="E112" s="14"/>
      <c r="F112" s="14"/>
      <c r="G112" s="14"/>
      <c r="H112" s="14"/>
      <c r="I112" s="14"/>
      <c r="J112" s="14"/>
      <c r="K112" s="14"/>
      <c r="L112" s="14"/>
      <c r="M112" s="14"/>
      <c r="N112" s="25"/>
      <c r="O112" s="14"/>
    </row>
    <row r="113">
      <c r="B113" s="53"/>
      <c r="C113" s="14"/>
      <c r="D113" s="14"/>
      <c r="E113" s="14"/>
      <c r="F113" s="14"/>
      <c r="G113" s="14"/>
      <c r="H113" s="14"/>
      <c r="I113" s="14"/>
      <c r="J113" s="14"/>
      <c r="K113" s="14"/>
      <c r="L113" s="14"/>
      <c r="M113" s="14"/>
      <c r="N113" s="25"/>
      <c r="O113" s="14"/>
    </row>
    <row r="114">
      <c r="B114" s="53"/>
      <c r="C114" s="14"/>
      <c r="D114" s="14"/>
      <c r="E114" s="14"/>
      <c r="F114" s="14"/>
      <c r="G114" s="14"/>
      <c r="H114" s="14"/>
      <c r="I114" s="14"/>
      <c r="J114" s="14"/>
      <c r="K114" s="14"/>
      <c r="L114" s="14"/>
      <c r="M114" s="14"/>
      <c r="N114" s="25"/>
      <c r="O114" s="14"/>
    </row>
    <row r="115">
      <c r="B115" s="53"/>
      <c r="C115" s="14"/>
      <c r="D115" s="14"/>
      <c r="E115" s="14"/>
      <c r="F115" s="14"/>
      <c r="G115" s="14"/>
      <c r="H115" s="14"/>
      <c r="I115" s="14"/>
      <c r="J115" s="14"/>
      <c r="K115" s="14"/>
      <c r="L115" s="14"/>
      <c r="M115" s="14"/>
      <c r="N115" s="25"/>
      <c r="O115" s="14"/>
    </row>
    <row r="116">
      <c r="B116" s="53"/>
      <c r="C116" s="14"/>
      <c r="D116" s="14"/>
      <c r="E116" s="14"/>
      <c r="F116" s="14"/>
      <c r="G116" s="14"/>
      <c r="H116" s="14"/>
      <c r="I116" s="14"/>
      <c r="J116" s="14"/>
      <c r="K116" s="14"/>
      <c r="L116" s="14"/>
      <c r="M116" s="14"/>
      <c r="N116" s="25"/>
      <c r="O116" s="14"/>
    </row>
    <row r="117">
      <c r="B117" s="53"/>
      <c r="C117" s="14"/>
      <c r="D117" s="14"/>
      <c r="E117" s="14"/>
      <c r="F117" s="14"/>
      <c r="G117" s="14"/>
      <c r="H117" s="14"/>
      <c r="I117" s="14"/>
      <c r="J117" s="14"/>
      <c r="K117" s="14"/>
      <c r="L117" s="14"/>
      <c r="M117" s="14"/>
      <c r="N117" s="25"/>
      <c r="O117" s="14"/>
    </row>
    <row r="118">
      <c r="B118" s="53"/>
      <c r="C118" s="14"/>
      <c r="D118" s="14"/>
      <c r="E118" s="14"/>
      <c r="F118" s="14"/>
      <c r="G118" s="14"/>
      <c r="H118" s="14"/>
      <c r="I118" s="14"/>
      <c r="J118" s="14"/>
      <c r="K118" s="14"/>
      <c r="L118" s="14"/>
      <c r="M118" s="14"/>
      <c r="N118" s="25"/>
      <c r="O118" s="14"/>
    </row>
    <row r="119">
      <c r="B119" s="53"/>
      <c r="C119" s="14"/>
      <c r="D119" s="14"/>
      <c r="E119" s="14"/>
      <c r="F119" s="14"/>
      <c r="G119" s="14"/>
      <c r="H119" s="14"/>
      <c r="I119" s="14"/>
      <c r="J119" s="14"/>
      <c r="K119" s="14"/>
      <c r="L119" s="14"/>
      <c r="M119" s="14"/>
      <c r="N119" s="25"/>
      <c r="O119" s="14"/>
    </row>
    <row r="120">
      <c r="B120" s="53"/>
      <c r="C120" s="14"/>
      <c r="D120" s="14"/>
      <c r="E120" s="14"/>
      <c r="F120" s="14"/>
      <c r="G120" s="14"/>
      <c r="H120" s="14"/>
      <c r="I120" s="14"/>
      <c r="J120" s="14"/>
      <c r="K120" s="14"/>
      <c r="L120" s="14"/>
      <c r="M120" s="14"/>
      <c r="N120" s="25"/>
      <c r="O120" s="14"/>
    </row>
    <row r="121">
      <c r="B121" s="53"/>
      <c r="C121" s="14"/>
      <c r="D121" s="14"/>
      <c r="E121" s="14"/>
      <c r="F121" s="14"/>
      <c r="G121" s="14"/>
      <c r="H121" s="14"/>
      <c r="I121" s="14"/>
      <c r="J121" s="14"/>
      <c r="K121" s="14"/>
      <c r="L121" s="14"/>
      <c r="M121" s="14"/>
      <c r="N121" s="25"/>
      <c r="O121" s="14"/>
    </row>
    <row r="122">
      <c r="B122" s="53"/>
      <c r="C122" s="14"/>
      <c r="D122" s="14"/>
      <c r="E122" s="14"/>
      <c r="F122" s="14"/>
      <c r="G122" s="14"/>
      <c r="H122" s="14"/>
      <c r="I122" s="14"/>
      <c r="J122" s="14"/>
      <c r="K122" s="14"/>
      <c r="L122" s="14"/>
      <c r="M122" s="14"/>
      <c r="N122" s="25"/>
      <c r="O122" s="14"/>
    </row>
    <row r="123">
      <c r="B123" s="53"/>
      <c r="C123" s="14"/>
      <c r="D123" s="14"/>
      <c r="E123" s="14"/>
      <c r="F123" s="14"/>
      <c r="G123" s="14"/>
      <c r="H123" s="14"/>
      <c r="I123" s="14"/>
      <c r="J123" s="14"/>
      <c r="K123" s="14"/>
      <c r="L123" s="14"/>
      <c r="M123" s="14"/>
      <c r="N123" s="25"/>
      <c r="O123" s="14"/>
    </row>
    <row r="124">
      <c r="B124" s="53"/>
      <c r="C124" s="14"/>
      <c r="D124" s="14"/>
      <c r="E124" s="14"/>
      <c r="F124" s="14"/>
      <c r="G124" s="14"/>
      <c r="H124" s="14"/>
      <c r="I124" s="14"/>
      <c r="J124" s="14"/>
      <c r="K124" s="14"/>
      <c r="L124" s="14"/>
      <c r="M124" s="14"/>
      <c r="N124" s="25"/>
      <c r="O124" s="14"/>
    </row>
    <row r="125">
      <c r="B125" s="53"/>
      <c r="C125" s="14"/>
      <c r="D125" s="14"/>
      <c r="E125" s="14"/>
      <c r="F125" s="14"/>
      <c r="G125" s="14"/>
      <c r="H125" s="14"/>
      <c r="I125" s="14"/>
      <c r="J125" s="14"/>
      <c r="K125" s="14"/>
      <c r="L125" s="14"/>
      <c r="M125" s="14"/>
      <c r="N125" s="25"/>
      <c r="O125" s="14"/>
    </row>
    <row r="126">
      <c r="B126" s="53"/>
      <c r="C126" s="14"/>
      <c r="D126" s="14"/>
      <c r="E126" s="14"/>
      <c r="F126" s="14"/>
      <c r="G126" s="14"/>
      <c r="H126" s="14"/>
      <c r="I126" s="14"/>
      <c r="J126" s="14"/>
      <c r="K126" s="14"/>
      <c r="L126" s="14"/>
      <c r="M126" s="14"/>
      <c r="N126" s="25"/>
      <c r="O126" s="14"/>
    </row>
    <row r="127">
      <c r="B127" s="53"/>
      <c r="C127" s="14"/>
      <c r="D127" s="14"/>
      <c r="E127" s="14"/>
      <c r="F127" s="14"/>
      <c r="G127" s="14"/>
      <c r="H127" s="14"/>
      <c r="I127" s="14"/>
      <c r="J127" s="14"/>
      <c r="K127" s="14"/>
      <c r="L127" s="14"/>
      <c r="M127" s="14"/>
      <c r="N127" s="25"/>
      <c r="O127" s="14"/>
    </row>
    <row r="128">
      <c r="B128" s="53"/>
      <c r="C128" s="14"/>
      <c r="D128" s="14"/>
      <c r="E128" s="14"/>
      <c r="F128" s="14"/>
      <c r="G128" s="14"/>
      <c r="H128" s="14"/>
      <c r="I128" s="14"/>
      <c r="J128" s="14"/>
      <c r="K128" s="14"/>
      <c r="L128" s="14"/>
      <c r="M128" s="14"/>
      <c r="N128" s="25"/>
      <c r="O128" s="14"/>
    </row>
    <row r="129">
      <c r="B129" s="53"/>
      <c r="C129" s="14"/>
      <c r="D129" s="14"/>
      <c r="E129" s="14"/>
      <c r="F129" s="14"/>
      <c r="G129" s="14"/>
      <c r="H129" s="14"/>
      <c r="I129" s="14"/>
      <c r="J129" s="14"/>
      <c r="K129" s="14"/>
      <c r="L129" s="14"/>
      <c r="M129" s="14"/>
      <c r="N129" s="25"/>
      <c r="O129" s="14"/>
    </row>
    <row r="130">
      <c r="B130" s="53"/>
      <c r="C130" s="14"/>
      <c r="D130" s="14"/>
      <c r="E130" s="14"/>
      <c r="F130" s="14"/>
      <c r="G130" s="14"/>
      <c r="H130" s="14"/>
      <c r="I130" s="14"/>
      <c r="J130" s="14"/>
      <c r="K130" s="14"/>
      <c r="L130" s="14"/>
      <c r="M130" s="14"/>
      <c r="N130" s="25"/>
      <c r="O130" s="14"/>
    </row>
    <row r="131">
      <c r="B131" s="53"/>
      <c r="C131" s="14"/>
      <c r="D131" s="14"/>
      <c r="E131" s="14"/>
      <c r="F131" s="14"/>
      <c r="G131" s="14"/>
      <c r="H131" s="14"/>
      <c r="I131" s="14"/>
      <c r="J131" s="14"/>
      <c r="K131" s="14"/>
      <c r="L131" s="14"/>
      <c r="M131" s="14"/>
      <c r="N131" s="25"/>
      <c r="O131" s="14"/>
    </row>
    <row r="132">
      <c r="B132" s="53"/>
      <c r="C132" s="14"/>
      <c r="D132" s="14"/>
      <c r="E132" s="14"/>
      <c r="F132" s="14"/>
      <c r="G132" s="14"/>
      <c r="H132" s="14"/>
      <c r="I132" s="14"/>
      <c r="J132" s="14"/>
      <c r="K132" s="14"/>
      <c r="L132" s="14"/>
      <c r="M132" s="14"/>
      <c r="N132" s="25"/>
      <c r="O132" s="14"/>
    </row>
    <row r="133">
      <c r="B133" s="53"/>
      <c r="C133" s="14"/>
      <c r="D133" s="14"/>
      <c r="E133" s="14"/>
      <c r="F133" s="14"/>
      <c r="G133" s="14"/>
      <c r="H133" s="14"/>
      <c r="I133" s="14"/>
      <c r="J133" s="14"/>
      <c r="K133" s="14"/>
      <c r="L133" s="14"/>
      <c r="M133" s="14"/>
      <c r="N133" s="25"/>
      <c r="O133" s="14"/>
    </row>
    <row r="134">
      <c r="B134" s="53"/>
      <c r="C134" s="14"/>
      <c r="D134" s="14"/>
      <c r="E134" s="14"/>
      <c r="F134" s="14"/>
      <c r="G134" s="14"/>
      <c r="H134" s="14"/>
      <c r="I134" s="14"/>
      <c r="J134" s="14"/>
      <c r="K134" s="14"/>
      <c r="L134" s="14"/>
      <c r="M134" s="14"/>
      <c r="N134" s="25"/>
      <c r="O134" s="14"/>
    </row>
    <row r="135">
      <c r="B135" s="53"/>
      <c r="C135" s="14"/>
      <c r="D135" s="14"/>
      <c r="E135" s="14"/>
      <c r="F135" s="14"/>
      <c r="G135" s="14"/>
      <c r="H135" s="14"/>
      <c r="I135" s="14"/>
      <c r="J135" s="14"/>
      <c r="K135" s="14"/>
      <c r="L135" s="14"/>
      <c r="M135" s="14"/>
      <c r="N135" s="25"/>
      <c r="O135" s="14"/>
    </row>
    <row r="136">
      <c r="B136" s="53"/>
      <c r="C136" s="14"/>
      <c r="D136" s="14"/>
      <c r="E136" s="14"/>
      <c r="F136" s="14"/>
      <c r="G136" s="14"/>
      <c r="H136" s="14"/>
      <c r="I136" s="14"/>
      <c r="J136" s="14"/>
      <c r="K136" s="14"/>
      <c r="L136" s="14"/>
      <c r="M136" s="14"/>
      <c r="N136" s="25"/>
      <c r="O136" s="14"/>
    </row>
    <row r="137">
      <c r="B137" s="53"/>
      <c r="C137" s="14"/>
      <c r="D137" s="14"/>
      <c r="E137" s="14"/>
      <c r="F137" s="14"/>
      <c r="G137" s="14"/>
      <c r="H137" s="14"/>
      <c r="I137" s="14"/>
      <c r="J137" s="14"/>
      <c r="K137" s="14"/>
      <c r="L137" s="14"/>
      <c r="M137" s="14"/>
      <c r="N137" s="25"/>
      <c r="O137" s="14"/>
    </row>
    <row r="138">
      <c r="B138" s="53"/>
      <c r="C138" s="14"/>
      <c r="D138" s="14"/>
      <c r="E138" s="14"/>
      <c r="F138" s="14"/>
      <c r="G138" s="14"/>
      <c r="H138" s="14"/>
      <c r="I138" s="14"/>
      <c r="J138" s="14"/>
      <c r="K138" s="14"/>
      <c r="L138" s="14"/>
      <c r="M138" s="14"/>
      <c r="N138" s="25"/>
      <c r="O138" s="14"/>
    </row>
    <row r="139">
      <c r="B139" s="53"/>
      <c r="C139" s="14"/>
      <c r="D139" s="14"/>
      <c r="E139" s="14"/>
      <c r="F139" s="14"/>
      <c r="G139" s="14"/>
      <c r="H139" s="14"/>
      <c r="I139" s="14"/>
      <c r="J139" s="14"/>
      <c r="K139" s="14"/>
      <c r="L139" s="14"/>
      <c r="M139" s="14"/>
      <c r="N139" s="25"/>
      <c r="O139" s="14"/>
    </row>
    <row r="140">
      <c r="B140" s="53"/>
      <c r="C140" s="14"/>
      <c r="D140" s="14"/>
      <c r="E140" s="14"/>
      <c r="F140" s="14"/>
      <c r="G140" s="14"/>
      <c r="H140" s="14"/>
      <c r="I140" s="14"/>
      <c r="J140" s="14"/>
      <c r="K140" s="14"/>
      <c r="L140" s="14"/>
      <c r="M140" s="14"/>
      <c r="N140" s="25"/>
      <c r="O140" s="14"/>
    </row>
    <row r="141">
      <c r="B141" s="53"/>
      <c r="C141" s="14"/>
      <c r="D141" s="14"/>
      <c r="E141" s="14"/>
      <c r="F141" s="14"/>
      <c r="G141" s="14"/>
      <c r="H141" s="14"/>
      <c r="I141" s="14"/>
      <c r="J141" s="14"/>
      <c r="K141" s="14"/>
      <c r="L141" s="14"/>
      <c r="M141" s="14"/>
      <c r="N141" s="25"/>
      <c r="O141" s="14"/>
    </row>
    <row r="142">
      <c r="B142" s="53"/>
      <c r="C142" s="14"/>
      <c r="D142" s="14"/>
      <c r="E142" s="14"/>
      <c r="F142" s="14"/>
      <c r="G142" s="14"/>
      <c r="H142" s="14"/>
      <c r="I142" s="14"/>
      <c r="J142" s="14"/>
      <c r="K142" s="14"/>
      <c r="L142" s="14"/>
      <c r="M142" s="14"/>
      <c r="N142" s="25"/>
      <c r="O142" s="14"/>
    </row>
    <row r="143">
      <c r="B143" s="53"/>
      <c r="C143" s="14"/>
      <c r="D143" s="14"/>
      <c r="E143" s="14"/>
      <c r="F143" s="14"/>
      <c r="G143" s="14"/>
      <c r="H143" s="14"/>
      <c r="I143" s="14"/>
      <c r="J143" s="14"/>
      <c r="K143" s="14"/>
      <c r="L143" s="14"/>
      <c r="M143" s="14"/>
      <c r="N143" s="25"/>
      <c r="O143" s="14"/>
    </row>
    <row r="144">
      <c r="B144" s="53"/>
      <c r="C144" s="14"/>
      <c r="D144" s="14"/>
      <c r="E144" s="14"/>
      <c r="F144" s="14"/>
      <c r="G144" s="14"/>
      <c r="H144" s="14"/>
      <c r="I144" s="14"/>
      <c r="J144" s="14"/>
      <c r="K144" s="14"/>
      <c r="L144" s="14"/>
      <c r="M144" s="14"/>
      <c r="N144" s="25"/>
      <c r="O144" s="14"/>
    </row>
    <row r="145">
      <c r="B145" s="53"/>
      <c r="C145" s="14"/>
      <c r="D145" s="14"/>
      <c r="E145" s="14"/>
      <c r="F145" s="14"/>
      <c r="G145" s="14"/>
      <c r="H145" s="14"/>
      <c r="I145" s="14"/>
      <c r="J145" s="14"/>
      <c r="K145" s="14"/>
      <c r="L145" s="14"/>
      <c r="M145" s="14"/>
      <c r="N145" s="25"/>
      <c r="O145" s="14"/>
    </row>
    <row r="146">
      <c r="B146" s="53"/>
      <c r="C146" s="14"/>
      <c r="D146" s="14"/>
      <c r="E146" s="14"/>
      <c r="F146" s="14"/>
      <c r="G146" s="14"/>
      <c r="H146" s="14"/>
      <c r="I146" s="14"/>
      <c r="J146" s="14"/>
      <c r="K146" s="14"/>
      <c r="L146" s="14"/>
      <c r="M146" s="14"/>
      <c r="N146" s="25"/>
      <c r="O146" s="14"/>
    </row>
    <row r="147">
      <c r="B147" s="53"/>
      <c r="C147" s="14"/>
      <c r="D147" s="14"/>
      <c r="E147" s="14"/>
      <c r="F147" s="14"/>
      <c r="G147" s="14"/>
      <c r="H147" s="14"/>
      <c r="I147" s="14"/>
      <c r="J147" s="14"/>
      <c r="K147" s="14"/>
      <c r="L147" s="14"/>
      <c r="M147" s="14"/>
      <c r="N147" s="25"/>
      <c r="O147" s="14"/>
    </row>
    <row r="148">
      <c r="B148" s="53"/>
      <c r="C148" s="14"/>
      <c r="D148" s="14"/>
      <c r="E148" s="14"/>
      <c r="F148" s="14"/>
      <c r="G148" s="14"/>
      <c r="H148" s="14"/>
      <c r="I148" s="14"/>
      <c r="J148" s="14"/>
      <c r="K148" s="14"/>
      <c r="L148" s="14"/>
      <c r="M148" s="14"/>
      <c r="N148" s="25"/>
      <c r="O148" s="14"/>
    </row>
    <row r="149">
      <c r="B149" s="53"/>
      <c r="C149" s="14"/>
      <c r="D149" s="14"/>
      <c r="E149" s="14"/>
      <c r="F149" s="14"/>
      <c r="G149" s="14"/>
      <c r="H149" s="14"/>
      <c r="I149" s="14"/>
      <c r="J149" s="14"/>
      <c r="K149" s="14"/>
      <c r="L149" s="14"/>
      <c r="M149" s="14"/>
      <c r="N149" s="25"/>
      <c r="O149" s="14"/>
    </row>
    <row r="150">
      <c r="B150" s="53"/>
      <c r="C150" s="14"/>
      <c r="D150" s="14"/>
      <c r="E150" s="14"/>
      <c r="F150" s="14"/>
      <c r="G150" s="14"/>
      <c r="H150" s="14"/>
      <c r="I150" s="14"/>
      <c r="J150" s="14"/>
      <c r="K150" s="14"/>
      <c r="L150" s="14"/>
      <c r="M150" s="14"/>
      <c r="N150" s="25"/>
      <c r="O150" s="14"/>
    </row>
    <row r="151">
      <c r="B151" s="53"/>
      <c r="C151" s="14"/>
      <c r="D151" s="14"/>
      <c r="E151" s="14"/>
      <c r="F151" s="14"/>
      <c r="G151" s="14"/>
      <c r="H151" s="14"/>
      <c r="I151" s="14"/>
      <c r="J151" s="14"/>
      <c r="K151" s="14"/>
      <c r="L151" s="14"/>
      <c r="M151" s="14"/>
      <c r="N151" s="25"/>
      <c r="O151" s="14"/>
    </row>
    <row r="152">
      <c r="B152" s="53"/>
      <c r="C152" s="14"/>
      <c r="D152" s="14"/>
      <c r="E152" s="14"/>
      <c r="F152" s="14"/>
      <c r="G152" s="14"/>
      <c r="H152" s="14"/>
      <c r="I152" s="14"/>
      <c r="J152" s="14"/>
      <c r="K152" s="14"/>
      <c r="L152" s="14"/>
      <c r="M152" s="14"/>
      <c r="N152" s="25"/>
      <c r="O152" s="14"/>
    </row>
    <row r="153">
      <c r="B153" s="53"/>
      <c r="C153" s="14"/>
      <c r="D153" s="14"/>
      <c r="E153" s="14"/>
      <c r="F153" s="14"/>
      <c r="G153" s="14"/>
      <c r="H153" s="14"/>
      <c r="I153" s="14"/>
      <c r="J153" s="14"/>
      <c r="K153" s="14"/>
      <c r="L153" s="14"/>
      <c r="M153" s="14"/>
      <c r="N153" s="25"/>
      <c r="O153" s="14"/>
    </row>
    <row r="154">
      <c r="B154" s="53"/>
      <c r="C154" s="14"/>
      <c r="D154" s="14"/>
      <c r="E154" s="14"/>
      <c r="F154" s="14"/>
      <c r="G154" s="14"/>
      <c r="H154" s="14"/>
      <c r="I154" s="14"/>
      <c r="J154" s="14"/>
      <c r="K154" s="14"/>
      <c r="L154" s="14"/>
      <c r="M154" s="14"/>
      <c r="N154" s="25"/>
      <c r="O154" s="14"/>
    </row>
    <row r="155">
      <c r="B155" s="53"/>
      <c r="C155" s="14"/>
      <c r="D155" s="14"/>
      <c r="E155" s="14"/>
      <c r="F155" s="14"/>
      <c r="G155" s="14"/>
      <c r="H155" s="14"/>
      <c r="I155" s="14"/>
      <c r="J155" s="14"/>
      <c r="K155" s="14"/>
      <c r="L155" s="14"/>
      <c r="M155" s="14"/>
      <c r="N155" s="25"/>
      <c r="O155" s="14"/>
    </row>
    <row r="156">
      <c r="B156" s="53"/>
      <c r="C156" s="14"/>
      <c r="D156" s="14"/>
      <c r="E156" s="14"/>
      <c r="F156" s="14"/>
      <c r="G156" s="14"/>
      <c r="H156" s="14"/>
      <c r="I156" s="14"/>
      <c r="J156" s="14"/>
      <c r="K156" s="14"/>
      <c r="L156" s="14"/>
      <c r="M156" s="14"/>
      <c r="N156" s="25"/>
      <c r="O156" s="14"/>
    </row>
    <row r="157">
      <c r="B157" s="53"/>
      <c r="C157" s="14"/>
      <c r="D157" s="14"/>
      <c r="E157" s="14"/>
      <c r="F157" s="14"/>
      <c r="G157" s="14"/>
      <c r="H157" s="14"/>
      <c r="I157" s="14"/>
      <c r="J157" s="14"/>
      <c r="K157" s="14"/>
      <c r="L157" s="14"/>
      <c r="M157" s="14"/>
      <c r="N157" s="25"/>
      <c r="O157" s="14"/>
    </row>
    <row r="158">
      <c r="B158" s="53"/>
      <c r="C158" s="14"/>
      <c r="D158" s="14"/>
      <c r="E158" s="14"/>
      <c r="F158" s="14"/>
      <c r="G158" s="14"/>
      <c r="H158" s="14"/>
      <c r="I158" s="14"/>
      <c r="J158" s="14"/>
      <c r="K158" s="14"/>
      <c r="L158" s="14"/>
      <c r="M158" s="14"/>
      <c r="N158" s="25"/>
      <c r="O158" s="14"/>
    </row>
    <row r="159">
      <c r="B159" s="53"/>
      <c r="C159" s="14"/>
      <c r="D159" s="14"/>
      <c r="E159" s="14"/>
      <c r="F159" s="14"/>
      <c r="G159" s="14"/>
      <c r="H159" s="14"/>
      <c r="I159" s="14"/>
      <c r="J159" s="14"/>
      <c r="K159" s="14"/>
      <c r="L159" s="14"/>
      <c r="M159" s="14"/>
      <c r="N159" s="25"/>
      <c r="O159" s="14"/>
    </row>
    <row r="160">
      <c r="B160" s="53"/>
      <c r="C160" s="14"/>
      <c r="D160" s="14"/>
      <c r="E160" s="14"/>
      <c r="F160" s="14"/>
      <c r="G160" s="14"/>
      <c r="H160" s="14"/>
      <c r="I160" s="14"/>
      <c r="J160" s="14"/>
      <c r="K160" s="14"/>
      <c r="L160" s="14"/>
      <c r="M160" s="14"/>
      <c r="N160" s="25"/>
      <c r="O160" s="14"/>
    </row>
    <row r="161">
      <c r="B161" s="53"/>
      <c r="C161" s="14"/>
      <c r="D161" s="14"/>
      <c r="E161" s="14"/>
      <c r="F161" s="14"/>
      <c r="G161" s="14"/>
      <c r="H161" s="14"/>
      <c r="I161" s="14"/>
      <c r="J161" s="14"/>
      <c r="K161" s="14"/>
      <c r="L161" s="14"/>
      <c r="M161" s="14"/>
      <c r="N161" s="25"/>
      <c r="O161" s="14"/>
    </row>
    <row r="162">
      <c r="B162" s="53"/>
      <c r="C162" s="14"/>
      <c r="D162" s="14"/>
      <c r="E162" s="14"/>
      <c r="F162" s="14"/>
      <c r="G162" s="14"/>
      <c r="H162" s="14"/>
      <c r="I162" s="14"/>
      <c r="J162" s="14"/>
      <c r="K162" s="14"/>
      <c r="L162" s="14"/>
      <c r="M162" s="14"/>
      <c r="N162" s="25"/>
      <c r="O162" s="14"/>
    </row>
    <row r="163">
      <c r="B163" s="53"/>
      <c r="C163" s="14"/>
      <c r="D163" s="14"/>
      <c r="E163" s="14"/>
      <c r="F163" s="14"/>
      <c r="G163" s="14"/>
      <c r="H163" s="14"/>
      <c r="I163" s="14"/>
      <c r="J163" s="14"/>
      <c r="K163" s="14"/>
      <c r="L163" s="14"/>
      <c r="M163" s="14"/>
      <c r="N163" s="25"/>
      <c r="O163" s="14"/>
    </row>
    <row r="164">
      <c r="B164" s="53"/>
      <c r="C164" s="14"/>
      <c r="D164" s="14"/>
      <c r="E164" s="14"/>
      <c r="F164" s="14"/>
      <c r="G164" s="14"/>
      <c r="H164" s="14"/>
      <c r="I164" s="14"/>
      <c r="J164" s="14"/>
      <c r="K164" s="14"/>
      <c r="L164" s="14"/>
      <c r="M164" s="14"/>
      <c r="N164" s="25"/>
      <c r="O164" s="14"/>
    </row>
    <row r="165">
      <c r="B165" s="53"/>
      <c r="C165" s="14"/>
      <c r="D165" s="14"/>
      <c r="E165" s="14"/>
      <c r="F165" s="14"/>
      <c r="G165" s="14"/>
      <c r="H165" s="14"/>
      <c r="I165" s="14"/>
      <c r="J165" s="14"/>
      <c r="K165" s="14"/>
      <c r="L165" s="14"/>
      <c r="M165" s="14"/>
      <c r="N165" s="25"/>
      <c r="O165" s="14"/>
    </row>
    <row r="166">
      <c r="B166" s="53"/>
      <c r="C166" s="14"/>
      <c r="D166" s="14"/>
      <c r="E166" s="14"/>
      <c r="F166" s="14"/>
      <c r="G166" s="14"/>
      <c r="H166" s="14"/>
      <c r="I166" s="14"/>
      <c r="J166" s="14"/>
      <c r="K166" s="14"/>
      <c r="L166" s="14"/>
      <c r="M166" s="14"/>
      <c r="N166" s="25"/>
      <c r="O166" s="14"/>
    </row>
    <row r="167">
      <c r="B167" s="53"/>
      <c r="C167" s="14"/>
      <c r="D167" s="14"/>
      <c r="E167" s="14"/>
      <c r="F167" s="14"/>
      <c r="G167" s="14"/>
      <c r="H167" s="14"/>
      <c r="I167" s="14"/>
      <c r="J167" s="14"/>
      <c r="K167" s="14"/>
      <c r="L167" s="14"/>
      <c r="M167" s="14"/>
      <c r="N167" s="25"/>
      <c r="O167" s="14"/>
    </row>
    <row r="168">
      <c r="B168" s="53"/>
      <c r="C168" s="14"/>
      <c r="D168" s="14"/>
      <c r="E168" s="14"/>
      <c r="F168" s="14"/>
      <c r="G168" s="14"/>
      <c r="H168" s="14"/>
      <c r="I168" s="14"/>
      <c r="J168" s="14"/>
      <c r="K168" s="14"/>
      <c r="L168" s="14"/>
      <c r="M168" s="14"/>
      <c r="N168" s="25"/>
      <c r="O168" s="14"/>
    </row>
    <row r="169">
      <c r="B169" s="53"/>
      <c r="C169" s="14"/>
      <c r="D169" s="14"/>
      <c r="E169" s="14"/>
      <c r="F169" s="14"/>
      <c r="G169" s="14"/>
      <c r="H169" s="14"/>
      <c r="I169" s="14"/>
      <c r="J169" s="14"/>
      <c r="K169" s="14"/>
      <c r="L169" s="14"/>
      <c r="M169" s="14"/>
      <c r="N169" s="25"/>
      <c r="O169" s="14"/>
    </row>
    <row r="170">
      <c r="B170" s="53"/>
      <c r="C170" s="14"/>
      <c r="D170" s="14"/>
      <c r="E170" s="14"/>
      <c r="F170" s="14"/>
      <c r="G170" s="14"/>
      <c r="H170" s="14"/>
      <c r="I170" s="14"/>
      <c r="J170" s="14"/>
      <c r="K170" s="14"/>
      <c r="L170" s="14"/>
      <c r="M170" s="14"/>
      <c r="N170" s="25"/>
      <c r="O170" s="14"/>
    </row>
    <row r="171">
      <c r="B171" s="53"/>
      <c r="C171" s="14"/>
      <c r="D171" s="14"/>
      <c r="E171" s="14"/>
      <c r="F171" s="14"/>
      <c r="G171" s="14"/>
      <c r="H171" s="14"/>
      <c r="I171" s="14"/>
      <c r="J171" s="14"/>
      <c r="K171" s="14"/>
      <c r="L171" s="14"/>
      <c r="M171" s="14"/>
      <c r="N171" s="25"/>
      <c r="O171" s="14"/>
    </row>
    <row r="172">
      <c r="B172" s="53"/>
      <c r="C172" s="14"/>
      <c r="D172" s="14"/>
      <c r="E172" s="14"/>
      <c r="F172" s="14"/>
      <c r="G172" s="14"/>
      <c r="H172" s="14"/>
      <c r="I172" s="14"/>
      <c r="J172" s="14"/>
      <c r="K172" s="14"/>
      <c r="L172" s="14"/>
      <c r="M172" s="14"/>
      <c r="N172" s="25"/>
      <c r="O172" s="14"/>
    </row>
    <row r="173">
      <c r="B173" s="53"/>
      <c r="C173" s="14"/>
      <c r="D173" s="14"/>
      <c r="E173" s="14"/>
      <c r="F173" s="14"/>
      <c r="G173" s="14"/>
      <c r="H173" s="14"/>
      <c r="I173" s="14"/>
      <c r="J173" s="14"/>
      <c r="K173" s="14"/>
      <c r="L173" s="14"/>
      <c r="M173" s="14"/>
      <c r="N173" s="25"/>
      <c r="O173" s="14"/>
    </row>
    <row r="174">
      <c r="B174" s="53"/>
      <c r="C174" s="14"/>
      <c r="D174" s="14"/>
      <c r="E174" s="14"/>
      <c r="F174" s="14"/>
      <c r="G174" s="14"/>
      <c r="H174" s="14"/>
      <c r="I174" s="14"/>
      <c r="J174" s="14"/>
      <c r="K174" s="14"/>
      <c r="L174" s="14"/>
      <c r="M174" s="14"/>
      <c r="N174" s="25"/>
      <c r="O174" s="14"/>
    </row>
    <row r="175">
      <c r="B175" s="53"/>
      <c r="C175" s="14"/>
      <c r="D175" s="14"/>
      <c r="E175" s="14"/>
      <c r="F175" s="14"/>
      <c r="G175" s="14"/>
      <c r="H175" s="14"/>
      <c r="I175" s="14"/>
      <c r="J175" s="14"/>
      <c r="K175" s="14"/>
      <c r="L175" s="14"/>
      <c r="M175" s="14"/>
      <c r="N175" s="25"/>
      <c r="O175" s="14"/>
    </row>
    <row r="176">
      <c r="B176" s="53"/>
      <c r="C176" s="14"/>
      <c r="D176" s="14"/>
      <c r="E176" s="14"/>
      <c r="F176" s="14"/>
      <c r="G176" s="14"/>
      <c r="H176" s="14"/>
      <c r="I176" s="14"/>
      <c r="J176" s="14"/>
      <c r="K176" s="14"/>
      <c r="L176" s="14"/>
      <c r="M176" s="14"/>
      <c r="N176" s="25"/>
      <c r="O176" s="14"/>
    </row>
    <row r="177">
      <c r="B177" s="53"/>
      <c r="C177" s="14"/>
      <c r="D177" s="14"/>
      <c r="E177" s="14"/>
      <c r="F177" s="14"/>
      <c r="G177" s="14"/>
      <c r="H177" s="14"/>
      <c r="I177" s="14"/>
      <c r="J177" s="14"/>
      <c r="K177" s="14"/>
      <c r="L177" s="14"/>
      <c r="M177" s="14"/>
      <c r="N177" s="25"/>
      <c r="O177" s="14"/>
    </row>
    <row r="178">
      <c r="B178" s="53"/>
      <c r="C178" s="14"/>
      <c r="D178" s="14"/>
      <c r="E178" s="14"/>
      <c r="F178" s="14"/>
      <c r="G178" s="14"/>
      <c r="H178" s="14"/>
      <c r="I178" s="14"/>
      <c r="J178" s="14"/>
      <c r="K178" s="14"/>
      <c r="L178" s="14"/>
      <c r="M178" s="14"/>
      <c r="N178" s="25"/>
      <c r="O178" s="14"/>
    </row>
    <row r="179">
      <c r="B179" s="53"/>
      <c r="C179" s="14"/>
      <c r="D179" s="14"/>
      <c r="E179" s="14"/>
      <c r="F179" s="14"/>
      <c r="G179" s="14"/>
      <c r="H179" s="14"/>
      <c r="I179" s="14"/>
      <c r="J179" s="14"/>
      <c r="K179" s="14"/>
      <c r="L179" s="14"/>
      <c r="M179" s="14"/>
      <c r="N179" s="25"/>
      <c r="O179" s="14"/>
    </row>
    <row r="180">
      <c r="B180" s="53"/>
      <c r="C180" s="14"/>
      <c r="D180" s="14"/>
      <c r="E180" s="14"/>
      <c r="F180" s="14"/>
      <c r="G180" s="14"/>
      <c r="H180" s="14"/>
      <c r="I180" s="14"/>
      <c r="J180" s="14"/>
      <c r="K180" s="14"/>
      <c r="L180" s="14"/>
      <c r="M180" s="14"/>
      <c r="N180" s="25"/>
      <c r="O180" s="14"/>
    </row>
    <row r="181">
      <c r="B181" s="53"/>
      <c r="C181" s="14"/>
      <c r="D181" s="14"/>
      <c r="E181" s="14"/>
      <c r="F181" s="14"/>
      <c r="G181" s="14"/>
      <c r="H181" s="14"/>
      <c r="I181" s="14"/>
      <c r="J181" s="14"/>
      <c r="K181" s="14"/>
      <c r="L181" s="14"/>
      <c r="M181" s="14"/>
      <c r="N181" s="25"/>
      <c r="O181" s="14"/>
    </row>
    <row r="182">
      <c r="B182" s="53"/>
      <c r="C182" s="14"/>
      <c r="D182" s="14"/>
      <c r="E182" s="14"/>
      <c r="F182" s="14"/>
      <c r="G182" s="14"/>
      <c r="H182" s="14"/>
      <c r="I182" s="14"/>
      <c r="J182" s="14"/>
      <c r="K182" s="14"/>
      <c r="L182" s="14"/>
      <c r="M182" s="14"/>
      <c r="N182" s="25"/>
      <c r="O182" s="14"/>
    </row>
    <row r="183">
      <c r="B183" s="53"/>
      <c r="C183" s="14"/>
      <c r="D183" s="14"/>
      <c r="E183" s="14"/>
      <c r="F183" s="14"/>
      <c r="G183" s="14"/>
      <c r="H183" s="14"/>
      <c r="I183" s="14"/>
      <c r="J183" s="14"/>
      <c r="K183" s="14"/>
      <c r="L183" s="14"/>
      <c r="M183" s="14"/>
      <c r="N183" s="25"/>
      <c r="O183" s="14"/>
    </row>
    <row r="184">
      <c r="B184" s="53"/>
      <c r="C184" s="14"/>
      <c r="D184" s="14"/>
      <c r="E184" s="14"/>
      <c r="F184" s="14"/>
      <c r="G184" s="14"/>
      <c r="H184" s="14"/>
      <c r="I184" s="14"/>
      <c r="J184" s="14"/>
      <c r="K184" s="14"/>
      <c r="L184" s="14"/>
      <c r="M184" s="14"/>
      <c r="N184" s="25"/>
      <c r="O184" s="14"/>
    </row>
    <row r="185">
      <c r="B185" s="53"/>
      <c r="C185" s="14"/>
      <c r="D185" s="14"/>
      <c r="E185" s="14"/>
      <c r="F185" s="14"/>
      <c r="G185" s="14"/>
      <c r="H185" s="14"/>
      <c r="I185" s="14"/>
      <c r="J185" s="14"/>
      <c r="K185" s="14"/>
      <c r="L185" s="14"/>
      <c r="M185" s="14"/>
      <c r="N185" s="25"/>
      <c r="O185" s="14"/>
    </row>
    <row r="186">
      <c r="B186" s="53"/>
      <c r="C186" s="14"/>
      <c r="D186" s="14"/>
      <c r="E186" s="14"/>
      <c r="F186" s="14"/>
      <c r="G186" s="14"/>
      <c r="H186" s="14"/>
      <c r="I186" s="14"/>
      <c r="J186" s="14"/>
      <c r="K186" s="14"/>
      <c r="L186" s="14"/>
      <c r="M186" s="14"/>
      <c r="N186" s="25"/>
      <c r="O186" s="14"/>
    </row>
    <row r="187">
      <c r="B187" s="53"/>
      <c r="C187" s="14"/>
      <c r="D187" s="14"/>
      <c r="E187" s="14"/>
      <c r="F187" s="14"/>
      <c r="G187" s="14"/>
      <c r="H187" s="14"/>
      <c r="I187" s="14"/>
      <c r="J187" s="14"/>
      <c r="K187" s="14"/>
      <c r="L187" s="14"/>
      <c r="M187" s="14"/>
      <c r="N187" s="25"/>
      <c r="O187" s="14"/>
    </row>
    <row r="188">
      <c r="B188" s="53"/>
      <c r="C188" s="14"/>
      <c r="D188" s="14"/>
      <c r="E188" s="14"/>
      <c r="F188" s="14"/>
      <c r="G188" s="14"/>
      <c r="H188" s="14"/>
      <c r="I188" s="14"/>
      <c r="J188" s="14"/>
      <c r="K188" s="14"/>
      <c r="L188" s="14"/>
      <c r="M188" s="14"/>
      <c r="N188" s="25"/>
      <c r="O188" s="14"/>
    </row>
    <row r="189">
      <c r="B189" s="53"/>
      <c r="C189" s="14"/>
      <c r="D189" s="14"/>
      <c r="E189" s="14"/>
      <c r="F189" s="14"/>
      <c r="G189" s="14"/>
      <c r="H189" s="14"/>
      <c r="I189" s="14"/>
      <c r="J189" s="14"/>
      <c r="K189" s="14"/>
      <c r="L189" s="14"/>
      <c r="M189" s="14"/>
      <c r="N189" s="25"/>
      <c r="O189" s="14"/>
    </row>
    <row r="190">
      <c r="B190" s="53"/>
      <c r="C190" s="14"/>
      <c r="D190" s="14"/>
      <c r="E190" s="14"/>
      <c r="F190" s="14"/>
      <c r="G190" s="14"/>
      <c r="H190" s="14"/>
      <c r="I190" s="14"/>
      <c r="J190" s="14"/>
      <c r="K190" s="14"/>
      <c r="L190" s="14"/>
      <c r="M190" s="14"/>
      <c r="N190" s="25"/>
      <c r="O190" s="14"/>
    </row>
    <row r="191">
      <c r="B191" s="53"/>
      <c r="C191" s="14"/>
      <c r="D191" s="14"/>
      <c r="E191" s="14"/>
      <c r="F191" s="14"/>
      <c r="G191" s="14"/>
      <c r="H191" s="14"/>
      <c r="I191" s="14"/>
      <c r="J191" s="14"/>
      <c r="K191" s="14"/>
      <c r="L191" s="14"/>
      <c r="M191" s="14"/>
      <c r="N191" s="25"/>
      <c r="O191" s="14"/>
    </row>
    <row r="192">
      <c r="B192" s="53"/>
      <c r="C192" s="14"/>
      <c r="D192" s="14"/>
      <c r="E192" s="14"/>
      <c r="F192" s="14"/>
      <c r="G192" s="14"/>
      <c r="H192" s="14"/>
      <c r="I192" s="14"/>
      <c r="J192" s="14"/>
      <c r="K192" s="14"/>
      <c r="L192" s="14"/>
      <c r="M192" s="14"/>
      <c r="N192" s="25"/>
      <c r="O192" s="14"/>
    </row>
    <row r="193">
      <c r="B193" s="53"/>
      <c r="C193" s="14"/>
      <c r="D193" s="14"/>
      <c r="E193" s="14"/>
      <c r="F193" s="14"/>
      <c r="G193" s="14"/>
      <c r="H193" s="14"/>
      <c r="I193" s="14"/>
      <c r="J193" s="14"/>
      <c r="K193" s="14"/>
      <c r="L193" s="14"/>
      <c r="M193" s="14"/>
      <c r="N193" s="25"/>
      <c r="O193" s="14"/>
    </row>
    <row r="194">
      <c r="B194" s="53"/>
      <c r="C194" s="14"/>
      <c r="D194" s="14"/>
      <c r="E194" s="14"/>
      <c r="F194" s="14"/>
      <c r="G194" s="14"/>
      <c r="H194" s="14"/>
      <c r="I194" s="14"/>
      <c r="J194" s="14"/>
      <c r="K194" s="14"/>
      <c r="L194" s="14"/>
      <c r="M194" s="14"/>
      <c r="N194" s="25"/>
      <c r="O194" s="14"/>
    </row>
    <row r="195">
      <c r="B195" s="53"/>
      <c r="C195" s="14"/>
      <c r="D195" s="14"/>
      <c r="E195" s="14"/>
      <c r="F195" s="14"/>
      <c r="G195" s="14"/>
      <c r="H195" s="14"/>
      <c r="I195" s="14"/>
      <c r="J195" s="14"/>
      <c r="K195" s="14"/>
      <c r="L195" s="14"/>
      <c r="M195" s="14"/>
      <c r="N195" s="25"/>
      <c r="O195" s="14"/>
    </row>
    <row r="196">
      <c r="B196" s="53"/>
      <c r="C196" s="14"/>
      <c r="D196" s="14"/>
      <c r="E196" s="14"/>
      <c r="F196" s="14"/>
      <c r="G196" s="14"/>
      <c r="H196" s="14"/>
      <c r="I196" s="14"/>
      <c r="J196" s="14"/>
      <c r="K196" s="14"/>
      <c r="L196" s="14"/>
      <c r="M196" s="14"/>
      <c r="N196" s="25"/>
      <c r="O196" s="14"/>
    </row>
    <row r="197">
      <c r="B197" s="53"/>
      <c r="C197" s="14"/>
      <c r="D197" s="14"/>
      <c r="E197" s="14"/>
      <c r="F197" s="14"/>
      <c r="G197" s="14"/>
      <c r="H197" s="14"/>
      <c r="I197" s="14"/>
      <c r="J197" s="14"/>
      <c r="K197" s="14"/>
      <c r="L197" s="14"/>
      <c r="M197" s="14"/>
      <c r="N197" s="25"/>
      <c r="O197" s="14"/>
    </row>
    <row r="198">
      <c r="B198" s="53"/>
      <c r="C198" s="14"/>
      <c r="D198" s="14"/>
      <c r="E198" s="14"/>
      <c r="F198" s="14"/>
      <c r="G198" s="14"/>
      <c r="H198" s="14"/>
      <c r="I198" s="14"/>
      <c r="J198" s="14"/>
      <c r="K198" s="14"/>
      <c r="L198" s="14"/>
      <c r="M198" s="14"/>
      <c r="N198" s="25"/>
      <c r="O198" s="14"/>
    </row>
    <row r="199">
      <c r="B199" s="53"/>
      <c r="C199" s="14"/>
      <c r="D199" s="14"/>
      <c r="E199" s="14"/>
      <c r="F199" s="14"/>
      <c r="G199" s="14"/>
      <c r="H199" s="14"/>
      <c r="I199" s="14"/>
      <c r="J199" s="14"/>
      <c r="K199" s="14"/>
      <c r="L199" s="14"/>
      <c r="M199" s="14"/>
      <c r="N199" s="25"/>
      <c r="O199" s="14"/>
    </row>
    <row r="200">
      <c r="B200" s="53"/>
      <c r="C200" s="14"/>
      <c r="D200" s="14"/>
      <c r="E200" s="14"/>
      <c r="F200" s="14"/>
      <c r="G200" s="14"/>
      <c r="H200" s="14"/>
      <c r="I200" s="14"/>
      <c r="J200" s="14"/>
      <c r="K200" s="14"/>
      <c r="L200" s="14"/>
      <c r="M200" s="14"/>
      <c r="N200" s="25"/>
      <c r="O200" s="14"/>
    </row>
    <row r="201">
      <c r="B201" s="53"/>
      <c r="C201" s="14"/>
      <c r="D201" s="14"/>
      <c r="E201" s="14"/>
      <c r="F201" s="14"/>
      <c r="G201" s="14"/>
      <c r="H201" s="14"/>
      <c r="I201" s="14"/>
      <c r="J201" s="14"/>
      <c r="K201" s="14"/>
      <c r="L201" s="14"/>
      <c r="M201" s="14"/>
      <c r="N201" s="25"/>
      <c r="O201" s="14"/>
    </row>
    <row r="202">
      <c r="B202" s="53"/>
      <c r="C202" s="14"/>
      <c r="D202" s="14"/>
      <c r="E202" s="14"/>
      <c r="F202" s="14"/>
      <c r="G202" s="14"/>
      <c r="H202" s="14"/>
      <c r="I202" s="14"/>
      <c r="J202" s="14"/>
      <c r="K202" s="14"/>
      <c r="L202" s="14"/>
      <c r="M202" s="14"/>
      <c r="N202" s="25"/>
      <c r="O202" s="14"/>
    </row>
    <row r="203">
      <c r="B203" s="53"/>
      <c r="C203" s="14"/>
      <c r="D203" s="14"/>
      <c r="E203" s="14"/>
      <c r="F203" s="14"/>
      <c r="G203" s="14"/>
      <c r="H203" s="14"/>
      <c r="I203" s="14"/>
      <c r="J203" s="14"/>
      <c r="K203" s="14"/>
      <c r="L203" s="14"/>
      <c r="M203" s="14"/>
      <c r="N203" s="25"/>
      <c r="O203" s="14"/>
    </row>
    <row r="204">
      <c r="B204" s="53"/>
      <c r="C204" s="14"/>
      <c r="D204" s="14"/>
      <c r="E204" s="14"/>
      <c r="F204" s="14"/>
      <c r="G204" s="14"/>
      <c r="H204" s="14"/>
      <c r="I204" s="14"/>
      <c r="J204" s="14"/>
      <c r="K204" s="14"/>
      <c r="L204" s="14"/>
      <c r="M204" s="14"/>
      <c r="N204" s="25"/>
      <c r="O204" s="14"/>
    </row>
    <row r="205">
      <c r="B205" s="53"/>
      <c r="C205" s="14"/>
      <c r="D205" s="14"/>
      <c r="E205" s="14"/>
      <c r="F205" s="14"/>
      <c r="G205" s="14"/>
      <c r="H205" s="14"/>
      <c r="I205" s="14"/>
      <c r="J205" s="14"/>
      <c r="K205" s="14"/>
      <c r="L205" s="14"/>
      <c r="M205" s="14"/>
      <c r="N205" s="25"/>
      <c r="O205" s="14"/>
    </row>
    <row r="206">
      <c r="B206" s="53"/>
      <c r="C206" s="14"/>
      <c r="D206" s="14"/>
      <c r="E206" s="14"/>
      <c r="F206" s="14"/>
      <c r="G206" s="14"/>
      <c r="H206" s="14"/>
      <c r="I206" s="14"/>
      <c r="J206" s="14"/>
      <c r="K206" s="14"/>
      <c r="L206" s="14"/>
      <c r="M206" s="14"/>
      <c r="N206" s="25"/>
      <c r="O206" s="14"/>
    </row>
    <row r="207">
      <c r="B207" s="53"/>
      <c r="C207" s="14"/>
      <c r="D207" s="14"/>
      <c r="E207" s="14"/>
      <c r="F207" s="14"/>
      <c r="G207" s="14"/>
      <c r="H207" s="14"/>
      <c r="I207" s="14"/>
      <c r="J207" s="14"/>
      <c r="K207" s="14"/>
      <c r="L207" s="14"/>
      <c r="M207" s="14"/>
      <c r="N207" s="25"/>
      <c r="O207" s="14"/>
    </row>
    <row r="208">
      <c r="B208" s="53"/>
      <c r="C208" s="14"/>
      <c r="D208" s="14"/>
      <c r="E208" s="14"/>
      <c r="F208" s="14"/>
      <c r="G208" s="14"/>
      <c r="H208" s="14"/>
      <c r="I208" s="14"/>
      <c r="J208" s="14"/>
      <c r="K208" s="14"/>
      <c r="L208" s="14"/>
      <c r="M208" s="14"/>
      <c r="N208" s="25"/>
      <c r="O208" s="14"/>
    </row>
    <row r="209">
      <c r="B209" s="53"/>
      <c r="C209" s="14"/>
      <c r="D209" s="14"/>
      <c r="E209" s="14"/>
      <c r="F209" s="14"/>
      <c r="G209" s="14"/>
      <c r="H209" s="14"/>
      <c r="I209" s="14"/>
      <c r="J209" s="14"/>
      <c r="K209" s="14"/>
      <c r="L209" s="14"/>
      <c r="M209" s="14"/>
      <c r="N209" s="25"/>
      <c r="O209" s="14"/>
    </row>
    <row r="210">
      <c r="B210" s="53"/>
      <c r="C210" s="14"/>
      <c r="D210" s="14"/>
      <c r="E210" s="14"/>
      <c r="F210" s="14"/>
      <c r="G210" s="14"/>
      <c r="H210" s="14"/>
      <c r="I210" s="14"/>
      <c r="J210" s="14"/>
      <c r="K210" s="14"/>
      <c r="L210" s="14"/>
      <c r="M210" s="14"/>
      <c r="N210" s="25"/>
      <c r="O210" s="14"/>
    </row>
    <row r="211">
      <c r="B211" s="53"/>
      <c r="C211" s="14"/>
      <c r="D211" s="14"/>
      <c r="E211" s="14"/>
      <c r="F211" s="14"/>
      <c r="G211" s="14"/>
      <c r="H211" s="14"/>
      <c r="I211" s="14"/>
      <c r="J211" s="14"/>
      <c r="K211" s="14"/>
      <c r="L211" s="14"/>
      <c r="M211" s="14"/>
      <c r="N211" s="25"/>
      <c r="O211" s="14"/>
    </row>
    <row r="212">
      <c r="B212" s="53"/>
      <c r="C212" s="14"/>
      <c r="D212" s="14"/>
      <c r="E212" s="14"/>
      <c r="F212" s="14"/>
      <c r="G212" s="14"/>
      <c r="H212" s="14"/>
      <c r="I212" s="14"/>
      <c r="J212" s="14"/>
      <c r="K212" s="14"/>
      <c r="L212" s="14"/>
      <c r="M212" s="14"/>
      <c r="N212" s="25"/>
      <c r="O212" s="14"/>
    </row>
    <row r="213">
      <c r="B213" s="53"/>
      <c r="C213" s="14"/>
      <c r="D213" s="14"/>
      <c r="E213" s="14"/>
      <c r="F213" s="14"/>
      <c r="G213" s="14"/>
      <c r="H213" s="14"/>
      <c r="I213" s="14"/>
      <c r="J213" s="14"/>
      <c r="K213" s="14"/>
      <c r="L213" s="14"/>
      <c r="M213" s="14"/>
      <c r="N213" s="25"/>
      <c r="O213" s="14"/>
    </row>
    <row r="214">
      <c r="B214" s="53"/>
      <c r="C214" s="14"/>
      <c r="D214" s="14"/>
      <c r="E214" s="14"/>
      <c r="F214" s="14"/>
      <c r="G214" s="14"/>
      <c r="H214" s="14"/>
      <c r="I214" s="14"/>
      <c r="J214" s="14"/>
      <c r="K214" s="14"/>
      <c r="L214" s="14"/>
      <c r="M214" s="14"/>
      <c r="N214" s="25"/>
      <c r="O214" s="14"/>
    </row>
    <row r="215">
      <c r="B215" s="53"/>
      <c r="C215" s="14"/>
      <c r="D215" s="14"/>
      <c r="E215" s="14"/>
      <c r="F215" s="14"/>
      <c r="G215" s="14"/>
      <c r="H215" s="14"/>
      <c r="I215" s="14"/>
      <c r="J215" s="14"/>
      <c r="K215" s="14"/>
      <c r="L215" s="14"/>
      <c r="M215" s="14"/>
      <c r="N215" s="25"/>
      <c r="O215" s="14"/>
    </row>
    <row r="216">
      <c r="B216" s="53"/>
      <c r="C216" s="14"/>
      <c r="D216" s="14"/>
      <c r="E216" s="14"/>
      <c r="F216" s="14"/>
      <c r="G216" s="14"/>
      <c r="H216" s="14"/>
      <c r="I216" s="14"/>
      <c r="J216" s="14"/>
      <c r="K216" s="14"/>
      <c r="L216" s="14"/>
      <c r="M216" s="14"/>
      <c r="N216" s="25"/>
      <c r="O216" s="14"/>
    </row>
    <row r="217">
      <c r="B217" s="53"/>
      <c r="C217" s="14"/>
      <c r="D217" s="14"/>
      <c r="E217" s="14"/>
      <c r="F217" s="14"/>
      <c r="G217" s="14"/>
      <c r="H217" s="14"/>
      <c r="I217" s="14"/>
      <c r="J217" s="14"/>
      <c r="K217" s="14"/>
      <c r="L217" s="14"/>
      <c r="M217" s="14"/>
      <c r="N217" s="25"/>
      <c r="O217" s="14"/>
    </row>
    <row r="218">
      <c r="B218" s="53"/>
      <c r="C218" s="14"/>
      <c r="D218" s="14"/>
      <c r="E218" s="14"/>
      <c r="F218" s="14"/>
      <c r="G218" s="14"/>
      <c r="H218" s="14"/>
      <c r="I218" s="14"/>
      <c r="J218" s="14"/>
      <c r="K218" s="14"/>
      <c r="L218" s="14"/>
      <c r="M218" s="14"/>
      <c r="N218" s="25"/>
      <c r="O218" s="14"/>
    </row>
    <row r="219">
      <c r="B219" s="53"/>
      <c r="C219" s="14"/>
      <c r="D219" s="14"/>
      <c r="E219" s="14"/>
      <c r="F219" s="14"/>
      <c r="G219" s="14"/>
      <c r="H219" s="14"/>
      <c r="I219" s="14"/>
      <c r="J219" s="14"/>
      <c r="K219" s="14"/>
      <c r="L219" s="14"/>
      <c r="M219" s="14"/>
      <c r="N219" s="25"/>
      <c r="O219" s="14"/>
    </row>
    <row r="220">
      <c r="B220" s="53"/>
      <c r="C220" s="14"/>
      <c r="D220" s="14"/>
      <c r="E220" s="14"/>
      <c r="F220" s="14"/>
      <c r="G220" s="14"/>
      <c r="H220" s="14"/>
      <c r="I220" s="14"/>
      <c r="J220" s="14"/>
      <c r="K220" s="14"/>
      <c r="L220" s="14"/>
      <c r="M220" s="14"/>
      <c r="N220" s="25"/>
      <c r="O220" s="14"/>
    </row>
    <row r="221">
      <c r="B221" s="53"/>
      <c r="C221" s="14"/>
      <c r="D221" s="14"/>
      <c r="E221" s="14"/>
      <c r="F221" s="14"/>
      <c r="G221" s="14"/>
      <c r="H221" s="14"/>
      <c r="I221" s="14"/>
      <c r="J221" s="14"/>
      <c r="K221" s="14"/>
      <c r="L221" s="14"/>
      <c r="M221" s="14"/>
      <c r="N221" s="25"/>
      <c r="O221" s="14"/>
    </row>
    <row r="222">
      <c r="B222" s="53"/>
      <c r="C222" s="14"/>
      <c r="D222" s="14"/>
      <c r="E222" s="14"/>
      <c r="F222" s="14"/>
      <c r="G222" s="14"/>
      <c r="H222" s="14"/>
      <c r="I222" s="14"/>
      <c r="J222" s="14"/>
      <c r="K222" s="14"/>
      <c r="L222" s="14"/>
      <c r="M222" s="14"/>
      <c r="N222" s="25"/>
      <c r="O222" s="14"/>
    </row>
    <row r="223">
      <c r="B223" s="53"/>
      <c r="C223" s="14"/>
      <c r="D223" s="14"/>
      <c r="E223" s="14"/>
      <c r="F223" s="14"/>
      <c r="G223" s="14"/>
      <c r="H223" s="14"/>
      <c r="I223" s="14"/>
      <c r="J223" s="14"/>
      <c r="K223" s="14"/>
      <c r="L223" s="14"/>
      <c r="M223" s="14"/>
      <c r="N223" s="25"/>
      <c r="O223" s="14"/>
    </row>
    <row r="224">
      <c r="B224" s="53"/>
      <c r="C224" s="14"/>
      <c r="D224" s="14"/>
      <c r="E224" s="14"/>
      <c r="F224" s="14"/>
      <c r="G224" s="14"/>
      <c r="H224" s="14"/>
      <c r="I224" s="14"/>
      <c r="J224" s="14"/>
      <c r="K224" s="14"/>
      <c r="L224" s="14"/>
      <c r="M224" s="14"/>
      <c r="N224" s="25"/>
      <c r="O224" s="14"/>
    </row>
    <row r="225">
      <c r="B225" s="53"/>
      <c r="C225" s="14"/>
      <c r="D225" s="14"/>
      <c r="E225" s="14"/>
      <c r="F225" s="14"/>
      <c r="G225" s="14"/>
      <c r="H225" s="14"/>
      <c r="I225" s="14"/>
      <c r="J225" s="14"/>
      <c r="K225" s="14"/>
      <c r="L225" s="14"/>
      <c r="M225" s="14"/>
      <c r="N225" s="25"/>
      <c r="O225" s="14"/>
    </row>
    <row r="226">
      <c r="B226" s="53"/>
      <c r="C226" s="14"/>
      <c r="D226" s="14"/>
      <c r="E226" s="14"/>
      <c r="F226" s="14"/>
      <c r="G226" s="14"/>
      <c r="H226" s="14"/>
      <c r="I226" s="14"/>
      <c r="J226" s="14"/>
      <c r="K226" s="14"/>
      <c r="L226" s="14"/>
      <c r="M226" s="14"/>
      <c r="N226" s="25"/>
      <c r="O226" s="14"/>
    </row>
    <row r="227">
      <c r="B227" s="53"/>
      <c r="C227" s="14"/>
      <c r="D227" s="14"/>
      <c r="E227" s="14"/>
      <c r="F227" s="14"/>
      <c r="G227" s="14"/>
      <c r="H227" s="14"/>
      <c r="I227" s="14"/>
      <c r="J227" s="14"/>
      <c r="K227" s="14"/>
      <c r="L227" s="14"/>
      <c r="M227" s="14"/>
      <c r="N227" s="25"/>
      <c r="O227" s="14"/>
    </row>
    <row r="228">
      <c r="B228" s="53"/>
      <c r="C228" s="14"/>
      <c r="D228" s="14"/>
      <c r="E228" s="14"/>
      <c r="F228" s="14"/>
      <c r="G228" s="14"/>
      <c r="H228" s="14"/>
      <c r="I228" s="14"/>
      <c r="J228" s="14"/>
      <c r="K228" s="14"/>
      <c r="L228" s="14"/>
      <c r="M228" s="14"/>
      <c r="N228" s="25"/>
      <c r="O228" s="14"/>
    </row>
    <row r="229">
      <c r="B229" s="53"/>
      <c r="C229" s="14"/>
      <c r="D229" s="14"/>
      <c r="E229" s="14"/>
      <c r="F229" s="14"/>
      <c r="G229" s="14"/>
      <c r="H229" s="14"/>
      <c r="I229" s="14"/>
      <c r="J229" s="14"/>
      <c r="K229" s="14"/>
      <c r="L229" s="14"/>
      <c r="M229" s="14"/>
      <c r="N229" s="25"/>
      <c r="O229" s="14"/>
    </row>
    <row r="230">
      <c r="B230" s="53"/>
      <c r="C230" s="14"/>
      <c r="D230" s="14"/>
      <c r="E230" s="14"/>
      <c r="F230" s="14"/>
      <c r="G230" s="14"/>
      <c r="H230" s="14"/>
      <c r="I230" s="14"/>
      <c r="J230" s="14"/>
      <c r="K230" s="14"/>
      <c r="L230" s="14"/>
      <c r="M230" s="14"/>
      <c r="N230" s="25"/>
      <c r="O230" s="14"/>
    </row>
    <row r="231">
      <c r="B231" s="53"/>
      <c r="C231" s="14"/>
      <c r="D231" s="14"/>
      <c r="E231" s="14"/>
      <c r="F231" s="14"/>
      <c r="G231" s="14"/>
      <c r="H231" s="14"/>
      <c r="I231" s="14"/>
      <c r="J231" s="14"/>
      <c r="K231" s="14"/>
      <c r="L231" s="14"/>
      <c r="M231" s="14"/>
      <c r="N231" s="25"/>
      <c r="O231" s="14"/>
    </row>
    <row r="232">
      <c r="B232" s="53"/>
      <c r="C232" s="14"/>
      <c r="D232" s="14"/>
      <c r="E232" s="14"/>
      <c r="F232" s="14"/>
      <c r="G232" s="14"/>
      <c r="H232" s="14"/>
      <c r="I232" s="14"/>
      <c r="J232" s="14"/>
      <c r="K232" s="14"/>
      <c r="L232" s="14"/>
      <c r="M232" s="14"/>
      <c r="N232" s="25"/>
      <c r="O232" s="14"/>
    </row>
    <row r="233">
      <c r="B233" s="53"/>
      <c r="C233" s="14"/>
      <c r="D233" s="14"/>
      <c r="E233" s="14"/>
      <c r="F233" s="14"/>
      <c r="G233" s="14"/>
      <c r="H233" s="14"/>
      <c r="I233" s="14"/>
      <c r="J233" s="14"/>
      <c r="K233" s="14"/>
      <c r="L233" s="14"/>
      <c r="M233" s="14"/>
      <c r="N233" s="25"/>
      <c r="O233" s="14"/>
    </row>
    <row r="234">
      <c r="B234" s="53"/>
      <c r="C234" s="14"/>
      <c r="D234" s="14"/>
      <c r="E234" s="14"/>
      <c r="F234" s="14"/>
      <c r="G234" s="14"/>
      <c r="H234" s="14"/>
      <c r="I234" s="14"/>
      <c r="J234" s="14"/>
      <c r="K234" s="14"/>
      <c r="L234" s="14"/>
      <c r="M234" s="14"/>
      <c r="N234" s="25"/>
      <c r="O234" s="14"/>
    </row>
    <row r="235">
      <c r="B235" s="53"/>
      <c r="C235" s="14"/>
      <c r="D235" s="14"/>
      <c r="E235" s="14"/>
      <c r="F235" s="14"/>
      <c r="G235" s="14"/>
      <c r="H235" s="14"/>
      <c r="I235" s="14"/>
      <c r="J235" s="14"/>
      <c r="K235" s="14"/>
      <c r="L235" s="14"/>
      <c r="M235" s="14"/>
      <c r="N235" s="25"/>
      <c r="O235" s="14"/>
    </row>
    <row r="236">
      <c r="B236" s="53"/>
      <c r="C236" s="14"/>
      <c r="D236" s="14"/>
      <c r="E236" s="14"/>
      <c r="F236" s="14"/>
      <c r="G236" s="14"/>
      <c r="H236" s="14"/>
      <c r="I236" s="14"/>
      <c r="J236" s="14"/>
      <c r="K236" s="14"/>
      <c r="L236" s="14"/>
      <c r="M236" s="14"/>
      <c r="N236" s="25"/>
      <c r="O236" s="14"/>
    </row>
    <row r="237">
      <c r="B237" s="53"/>
      <c r="C237" s="14"/>
      <c r="D237" s="14"/>
      <c r="E237" s="14"/>
      <c r="F237" s="14"/>
      <c r="G237" s="14"/>
      <c r="H237" s="14"/>
      <c r="I237" s="14"/>
      <c r="J237" s="14"/>
      <c r="K237" s="14"/>
      <c r="L237" s="14"/>
      <c r="M237" s="14"/>
      <c r="N237" s="25"/>
      <c r="O237" s="14"/>
    </row>
    <row r="238">
      <c r="B238" s="53"/>
      <c r="C238" s="14"/>
      <c r="D238" s="14"/>
      <c r="E238" s="14"/>
      <c r="F238" s="14"/>
      <c r="G238" s="14"/>
      <c r="H238" s="14"/>
      <c r="I238" s="14"/>
      <c r="J238" s="14"/>
      <c r="K238" s="14"/>
      <c r="L238" s="14"/>
      <c r="M238" s="14"/>
      <c r="N238" s="25"/>
      <c r="O238" s="14"/>
    </row>
    <row r="239">
      <c r="B239" s="53"/>
      <c r="C239" s="14"/>
      <c r="D239" s="14"/>
      <c r="E239" s="14"/>
      <c r="F239" s="14"/>
      <c r="G239" s="14"/>
      <c r="H239" s="14"/>
      <c r="I239" s="14"/>
      <c r="J239" s="14"/>
      <c r="K239" s="14"/>
      <c r="L239" s="14"/>
      <c r="M239" s="14"/>
      <c r="N239" s="25"/>
      <c r="O239" s="14"/>
    </row>
    <row r="240">
      <c r="B240" s="53"/>
      <c r="C240" s="14"/>
      <c r="D240" s="14"/>
      <c r="E240" s="14"/>
      <c r="F240" s="14"/>
      <c r="G240" s="14"/>
      <c r="H240" s="14"/>
      <c r="I240" s="14"/>
      <c r="J240" s="14"/>
      <c r="K240" s="14"/>
      <c r="L240" s="14"/>
      <c r="M240" s="14"/>
      <c r="N240" s="25"/>
      <c r="O240" s="14"/>
    </row>
    <row r="241">
      <c r="B241" s="53"/>
      <c r="C241" s="14"/>
      <c r="D241" s="14"/>
      <c r="E241" s="14"/>
      <c r="F241" s="14"/>
      <c r="G241" s="14"/>
      <c r="H241" s="14"/>
      <c r="I241" s="14"/>
      <c r="J241" s="14"/>
      <c r="K241" s="14"/>
      <c r="L241" s="14"/>
      <c r="M241" s="14"/>
      <c r="N241" s="25"/>
      <c r="O241" s="14"/>
    </row>
    <row r="242">
      <c r="B242" s="53"/>
      <c r="C242" s="14"/>
      <c r="D242" s="14"/>
      <c r="E242" s="14"/>
      <c r="F242" s="14"/>
      <c r="G242" s="14"/>
      <c r="H242" s="14"/>
      <c r="I242" s="14"/>
      <c r="J242" s="14"/>
      <c r="K242" s="14"/>
      <c r="L242" s="14"/>
      <c r="M242" s="14"/>
      <c r="N242" s="25"/>
      <c r="O242" s="14"/>
    </row>
    <row r="243">
      <c r="B243" s="53"/>
      <c r="C243" s="14"/>
      <c r="D243" s="14"/>
      <c r="E243" s="14"/>
      <c r="F243" s="14"/>
      <c r="G243" s="14"/>
      <c r="H243" s="14"/>
      <c r="I243" s="14"/>
      <c r="J243" s="14"/>
      <c r="K243" s="14"/>
      <c r="L243" s="14"/>
      <c r="M243" s="14"/>
      <c r="N243" s="25"/>
      <c r="O243" s="14"/>
    </row>
    <row r="244">
      <c r="B244" s="53"/>
      <c r="C244" s="14"/>
      <c r="D244" s="14"/>
      <c r="E244" s="14"/>
      <c r="F244" s="14"/>
      <c r="G244" s="14"/>
      <c r="H244" s="14"/>
      <c r="I244" s="14"/>
      <c r="J244" s="14"/>
      <c r="K244" s="14"/>
      <c r="L244" s="14"/>
      <c r="M244" s="14"/>
      <c r="N244" s="25"/>
      <c r="O244" s="14"/>
    </row>
    <row r="245">
      <c r="B245" s="53"/>
      <c r="C245" s="14"/>
      <c r="D245" s="14"/>
      <c r="E245" s="14"/>
      <c r="F245" s="14"/>
      <c r="G245" s="14"/>
      <c r="H245" s="14"/>
      <c r="I245" s="14"/>
      <c r="J245" s="14"/>
      <c r="K245" s="14"/>
      <c r="L245" s="14"/>
      <c r="M245" s="14"/>
      <c r="N245" s="25"/>
      <c r="O245" s="14"/>
    </row>
    <row r="246">
      <c r="B246" s="53"/>
      <c r="C246" s="14"/>
      <c r="D246" s="14"/>
      <c r="E246" s="14"/>
      <c r="F246" s="14"/>
      <c r="G246" s="14"/>
      <c r="H246" s="14"/>
      <c r="I246" s="14"/>
      <c r="J246" s="14"/>
      <c r="K246" s="14"/>
      <c r="L246" s="14"/>
      <c r="M246" s="14"/>
      <c r="N246" s="25"/>
      <c r="O246" s="14"/>
    </row>
    <row r="247">
      <c r="B247" s="53"/>
      <c r="C247" s="14"/>
      <c r="D247" s="14"/>
      <c r="E247" s="14"/>
      <c r="F247" s="14"/>
      <c r="G247" s="14"/>
      <c r="H247" s="14"/>
      <c r="I247" s="14"/>
      <c r="J247" s="14"/>
      <c r="K247" s="14"/>
      <c r="L247" s="14"/>
      <c r="M247" s="14"/>
      <c r="N247" s="25"/>
      <c r="O247" s="14"/>
    </row>
    <row r="248">
      <c r="B248" s="53"/>
      <c r="C248" s="14"/>
      <c r="D248" s="14"/>
      <c r="E248" s="14"/>
      <c r="F248" s="14"/>
      <c r="G248" s="14"/>
      <c r="H248" s="14"/>
      <c r="I248" s="14"/>
      <c r="J248" s="14"/>
      <c r="K248" s="14"/>
      <c r="L248" s="14"/>
      <c r="M248" s="14"/>
      <c r="N248" s="25"/>
      <c r="O248" s="14"/>
    </row>
    <row r="249">
      <c r="B249" s="53"/>
      <c r="C249" s="14"/>
      <c r="D249" s="14"/>
      <c r="E249" s="14"/>
      <c r="F249" s="14"/>
      <c r="G249" s="14"/>
      <c r="H249" s="14"/>
      <c r="I249" s="14"/>
      <c r="J249" s="14"/>
      <c r="K249" s="14"/>
      <c r="L249" s="14"/>
      <c r="M249" s="14"/>
      <c r="N249" s="25"/>
      <c r="O249" s="14"/>
    </row>
    <row r="250">
      <c r="B250" s="53"/>
      <c r="C250" s="14"/>
      <c r="D250" s="14"/>
      <c r="E250" s="14"/>
      <c r="F250" s="14"/>
      <c r="G250" s="14"/>
      <c r="H250" s="14"/>
      <c r="I250" s="14"/>
      <c r="J250" s="14"/>
      <c r="K250" s="14"/>
      <c r="L250" s="14"/>
      <c r="M250" s="14"/>
      <c r="N250" s="25"/>
      <c r="O250" s="14"/>
    </row>
    <row r="251">
      <c r="B251" s="53"/>
      <c r="C251" s="14"/>
      <c r="D251" s="14"/>
      <c r="E251" s="14"/>
      <c r="F251" s="14"/>
      <c r="G251" s="14"/>
      <c r="H251" s="14"/>
      <c r="I251" s="14"/>
      <c r="J251" s="14"/>
      <c r="K251" s="14"/>
      <c r="L251" s="14"/>
      <c r="M251" s="14"/>
      <c r="N251" s="25"/>
      <c r="O251" s="14"/>
    </row>
    <row r="252">
      <c r="B252" s="53"/>
      <c r="C252" s="14"/>
      <c r="D252" s="14"/>
      <c r="E252" s="14"/>
      <c r="F252" s="14"/>
      <c r="G252" s="14"/>
      <c r="H252" s="14"/>
      <c r="I252" s="14"/>
      <c r="J252" s="14"/>
      <c r="K252" s="14"/>
      <c r="L252" s="14"/>
      <c r="M252" s="14"/>
      <c r="N252" s="25"/>
      <c r="O252" s="14"/>
    </row>
    <row r="253">
      <c r="B253" s="53"/>
      <c r="C253" s="14"/>
      <c r="D253" s="14"/>
      <c r="E253" s="14"/>
      <c r="F253" s="14"/>
      <c r="G253" s="14"/>
      <c r="H253" s="14"/>
      <c r="I253" s="14"/>
      <c r="J253" s="14"/>
      <c r="K253" s="14"/>
      <c r="L253" s="14"/>
      <c r="M253" s="14"/>
      <c r="N253" s="25"/>
      <c r="O253" s="14"/>
    </row>
    <row r="254">
      <c r="B254" s="53"/>
      <c r="C254" s="14"/>
      <c r="D254" s="14"/>
      <c r="E254" s="14"/>
      <c r="F254" s="14"/>
      <c r="G254" s="14"/>
      <c r="H254" s="14"/>
      <c r="I254" s="14"/>
      <c r="J254" s="14"/>
      <c r="K254" s="14"/>
      <c r="L254" s="14"/>
      <c r="M254" s="14"/>
      <c r="N254" s="25"/>
      <c r="O254" s="14"/>
    </row>
    <row r="255">
      <c r="B255" s="53"/>
      <c r="C255" s="14"/>
      <c r="D255" s="14"/>
      <c r="E255" s="14"/>
      <c r="F255" s="14"/>
      <c r="G255" s="14"/>
      <c r="H255" s="14"/>
      <c r="I255" s="14"/>
      <c r="J255" s="14"/>
      <c r="K255" s="14"/>
      <c r="L255" s="14"/>
      <c r="M255" s="14"/>
      <c r="N255" s="25"/>
      <c r="O255" s="14"/>
    </row>
    <row r="256">
      <c r="B256" s="53"/>
      <c r="C256" s="14"/>
      <c r="D256" s="14"/>
      <c r="E256" s="14"/>
      <c r="F256" s="14"/>
      <c r="G256" s="14"/>
      <c r="H256" s="14"/>
      <c r="I256" s="14"/>
      <c r="J256" s="14"/>
      <c r="K256" s="14"/>
      <c r="L256" s="14"/>
      <c r="M256" s="14"/>
      <c r="N256" s="25"/>
      <c r="O256" s="14"/>
    </row>
    <row r="257">
      <c r="B257" s="53"/>
      <c r="C257" s="14"/>
      <c r="D257" s="14"/>
      <c r="E257" s="14"/>
      <c r="F257" s="14"/>
      <c r="G257" s="14"/>
      <c r="H257" s="14"/>
      <c r="I257" s="14"/>
      <c r="J257" s="14"/>
      <c r="K257" s="14"/>
      <c r="L257" s="14"/>
      <c r="M257" s="14"/>
      <c r="N257" s="25"/>
      <c r="O257" s="14"/>
    </row>
    <row r="258">
      <c r="B258" s="53"/>
      <c r="C258" s="14"/>
      <c r="D258" s="14"/>
      <c r="E258" s="14"/>
      <c r="F258" s="14"/>
      <c r="G258" s="14"/>
      <c r="H258" s="14"/>
      <c r="I258" s="14"/>
      <c r="J258" s="14"/>
      <c r="K258" s="14"/>
      <c r="L258" s="14"/>
      <c r="M258" s="14"/>
      <c r="N258" s="25"/>
      <c r="O258" s="14"/>
    </row>
    <row r="259">
      <c r="B259" s="53"/>
      <c r="C259" s="14"/>
      <c r="D259" s="14"/>
      <c r="E259" s="14"/>
      <c r="F259" s="14"/>
      <c r="G259" s="14"/>
      <c r="H259" s="14"/>
      <c r="I259" s="14"/>
      <c r="J259" s="14"/>
      <c r="K259" s="14"/>
      <c r="L259" s="14"/>
      <c r="M259" s="14"/>
      <c r="N259" s="25"/>
      <c r="O259" s="14"/>
    </row>
    <row r="260">
      <c r="B260" s="53"/>
      <c r="C260" s="14"/>
      <c r="D260" s="14"/>
      <c r="E260" s="14"/>
      <c r="F260" s="14"/>
      <c r="G260" s="14"/>
      <c r="H260" s="14"/>
      <c r="I260" s="14"/>
      <c r="J260" s="14"/>
      <c r="K260" s="14"/>
      <c r="L260" s="14"/>
      <c r="M260" s="14"/>
      <c r="N260" s="25"/>
      <c r="O260" s="14"/>
    </row>
    <row r="261">
      <c r="B261" s="53"/>
      <c r="C261" s="14"/>
      <c r="D261" s="14"/>
      <c r="E261" s="14"/>
      <c r="F261" s="14"/>
      <c r="G261" s="14"/>
      <c r="H261" s="14"/>
      <c r="I261" s="14"/>
      <c r="J261" s="14"/>
      <c r="K261" s="14"/>
      <c r="L261" s="14"/>
      <c r="M261" s="14"/>
      <c r="N261" s="25"/>
      <c r="O261" s="14"/>
    </row>
    <row r="262">
      <c r="B262" s="53"/>
      <c r="C262" s="14"/>
      <c r="D262" s="14"/>
      <c r="E262" s="14"/>
      <c r="F262" s="14"/>
      <c r="G262" s="14"/>
      <c r="H262" s="14"/>
      <c r="I262" s="14"/>
      <c r="J262" s="14"/>
      <c r="K262" s="14"/>
      <c r="L262" s="14"/>
      <c r="M262" s="14"/>
      <c r="N262" s="25"/>
      <c r="O262" s="14"/>
    </row>
    <row r="263">
      <c r="B263" s="53"/>
      <c r="C263" s="14"/>
      <c r="D263" s="14"/>
      <c r="E263" s="14"/>
      <c r="F263" s="14"/>
      <c r="G263" s="14"/>
      <c r="H263" s="14"/>
      <c r="I263" s="14"/>
      <c r="J263" s="14"/>
      <c r="K263" s="14"/>
      <c r="L263" s="14"/>
      <c r="M263" s="14"/>
      <c r="N263" s="25"/>
      <c r="O263" s="14"/>
    </row>
    <row r="264">
      <c r="B264" s="53"/>
      <c r="C264" s="14"/>
      <c r="D264" s="14"/>
      <c r="E264" s="14"/>
      <c r="F264" s="14"/>
      <c r="G264" s="14"/>
      <c r="H264" s="14"/>
      <c r="I264" s="14"/>
      <c r="J264" s="14"/>
      <c r="K264" s="14"/>
      <c r="L264" s="14"/>
      <c r="M264" s="14"/>
      <c r="N264" s="25"/>
      <c r="O264" s="14"/>
    </row>
    <row r="265">
      <c r="B265" s="53"/>
      <c r="C265" s="14"/>
      <c r="D265" s="14"/>
      <c r="E265" s="14"/>
      <c r="F265" s="14"/>
      <c r="G265" s="14"/>
      <c r="H265" s="14"/>
      <c r="I265" s="14"/>
      <c r="J265" s="14"/>
      <c r="K265" s="14"/>
      <c r="L265" s="14"/>
      <c r="M265" s="14"/>
      <c r="N265" s="25"/>
      <c r="O265" s="14"/>
    </row>
    <row r="266">
      <c r="B266" s="53"/>
      <c r="C266" s="14"/>
      <c r="D266" s="14"/>
      <c r="E266" s="14"/>
      <c r="F266" s="14"/>
      <c r="G266" s="14"/>
      <c r="H266" s="14"/>
      <c r="I266" s="14"/>
      <c r="J266" s="14"/>
      <c r="K266" s="14"/>
      <c r="L266" s="14"/>
      <c r="M266" s="14"/>
      <c r="N266" s="25"/>
      <c r="O266" s="14"/>
    </row>
    <row r="267">
      <c r="B267" s="53"/>
      <c r="C267" s="14"/>
      <c r="D267" s="14"/>
      <c r="E267" s="14"/>
      <c r="F267" s="14"/>
      <c r="G267" s="14"/>
      <c r="H267" s="14"/>
      <c r="I267" s="14"/>
      <c r="J267" s="14"/>
      <c r="K267" s="14"/>
      <c r="L267" s="14"/>
      <c r="M267" s="14"/>
      <c r="N267" s="25"/>
      <c r="O267" s="14"/>
    </row>
    <row r="268">
      <c r="B268" s="53"/>
      <c r="C268" s="14"/>
      <c r="D268" s="14"/>
      <c r="E268" s="14"/>
      <c r="F268" s="14"/>
      <c r="G268" s="14"/>
      <c r="H268" s="14"/>
      <c r="I268" s="14"/>
      <c r="J268" s="14"/>
      <c r="K268" s="14"/>
      <c r="L268" s="14"/>
      <c r="M268" s="14"/>
      <c r="N268" s="25"/>
      <c r="O268" s="14"/>
    </row>
    <row r="269">
      <c r="B269" s="53"/>
      <c r="C269" s="14"/>
      <c r="D269" s="14"/>
      <c r="E269" s="14"/>
      <c r="F269" s="14"/>
      <c r="G269" s="14"/>
      <c r="H269" s="14"/>
      <c r="I269" s="14"/>
      <c r="J269" s="14"/>
      <c r="K269" s="14"/>
      <c r="L269" s="14"/>
      <c r="M269" s="14"/>
      <c r="N269" s="25"/>
      <c r="O269" s="14"/>
    </row>
    <row r="270">
      <c r="B270" s="53"/>
      <c r="C270" s="14"/>
      <c r="D270" s="14"/>
      <c r="E270" s="14"/>
      <c r="F270" s="14"/>
      <c r="G270" s="14"/>
      <c r="H270" s="14"/>
      <c r="I270" s="14"/>
      <c r="J270" s="14"/>
      <c r="K270" s="14"/>
      <c r="L270" s="14"/>
      <c r="M270" s="14"/>
      <c r="N270" s="25"/>
      <c r="O270" s="14"/>
    </row>
    <row r="271">
      <c r="B271" s="53"/>
      <c r="C271" s="14"/>
      <c r="D271" s="14"/>
      <c r="E271" s="14"/>
      <c r="F271" s="14"/>
      <c r="G271" s="14"/>
      <c r="H271" s="14"/>
      <c r="I271" s="14"/>
      <c r="J271" s="14"/>
      <c r="K271" s="14"/>
      <c r="L271" s="14"/>
      <c r="M271" s="14"/>
      <c r="N271" s="25"/>
      <c r="O271" s="14"/>
    </row>
    <row r="272">
      <c r="B272" s="53"/>
      <c r="C272" s="14"/>
      <c r="D272" s="14"/>
      <c r="E272" s="14"/>
      <c r="F272" s="14"/>
      <c r="G272" s="14"/>
      <c r="H272" s="14"/>
      <c r="I272" s="14"/>
      <c r="J272" s="14"/>
      <c r="K272" s="14"/>
      <c r="L272" s="14"/>
      <c r="M272" s="14"/>
      <c r="N272" s="25"/>
      <c r="O272" s="14"/>
    </row>
    <row r="273">
      <c r="B273" s="53"/>
      <c r="C273" s="14"/>
      <c r="D273" s="14"/>
      <c r="E273" s="14"/>
      <c r="F273" s="14"/>
      <c r="G273" s="14"/>
      <c r="H273" s="14"/>
      <c r="I273" s="14"/>
      <c r="J273" s="14"/>
      <c r="K273" s="14"/>
      <c r="L273" s="14"/>
      <c r="M273" s="14"/>
      <c r="N273" s="25"/>
      <c r="O273" s="14"/>
    </row>
    <row r="274">
      <c r="B274" s="53"/>
      <c r="C274" s="14"/>
      <c r="D274" s="14"/>
      <c r="E274" s="14"/>
      <c r="F274" s="14"/>
      <c r="G274" s="14"/>
      <c r="H274" s="14"/>
      <c r="I274" s="14"/>
      <c r="J274" s="14"/>
      <c r="K274" s="14"/>
      <c r="L274" s="14"/>
      <c r="M274" s="14"/>
      <c r="N274" s="25"/>
      <c r="O274" s="14"/>
    </row>
    <row r="275">
      <c r="B275" s="53"/>
      <c r="C275" s="14"/>
      <c r="D275" s="14"/>
      <c r="E275" s="14"/>
      <c r="F275" s="14"/>
      <c r="G275" s="14"/>
      <c r="H275" s="14"/>
      <c r="I275" s="14"/>
      <c r="J275" s="14"/>
      <c r="K275" s="14"/>
      <c r="L275" s="14"/>
      <c r="M275" s="14"/>
      <c r="N275" s="25"/>
      <c r="O275" s="14"/>
    </row>
    <row r="276">
      <c r="B276" s="53"/>
      <c r="C276" s="14"/>
      <c r="D276" s="14"/>
      <c r="E276" s="14"/>
      <c r="F276" s="14"/>
      <c r="G276" s="14"/>
      <c r="H276" s="14"/>
      <c r="I276" s="14"/>
      <c r="J276" s="14"/>
      <c r="K276" s="14"/>
      <c r="L276" s="14"/>
      <c r="M276" s="14"/>
      <c r="N276" s="25"/>
      <c r="O276" s="14"/>
    </row>
    <row r="277">
      <c r="B277" s="53"/>
      <c r="C277" s="14"/>
      <c r="D277" s="14"/>
      <c r="E277" s="14"/>
      <c r="F277" s="14"/>
      <c r="G277" s="14"/>
      <c r="H277" s="14"/>
      <c r="I277" s="14"/>
      <c r="J277" s="14"/>
      <c r="K277" s="14"/>
      <c r="L277" s="14"/>
      <c r="M277" s="14"/>
      <c r="N277" s="25"/>
      <c r="O277" s="14"/>
    </row>
    <row r="278">
      <c r="B278" s="53"/>
      <c r="C278" s="14"/>
      <c r="D278" s="14"/>
      <c r="E278" s="14"/>
      <c r="F278" s="14"/>
      <c r="G278" s="14"/>
      <c r="H278" s="14"/>
      <c r="I278" s="14"/>
      <c r="J278" s="14"/>
      <c r="K278" s="14"/>
      <c r="L278" s="14"/>
      <c r="M278" s="14"/>
      <c r="N278" s="25"/>
      <c r="O278" s="14"/>
    </row>
    <row r="279">
      <c r="B279" s="53"/>
      <c r="C279" s="14"/>
      <c r="D279" s="14"/>
      <c r="E279" s="14"/>
      <c r="F279" s="14"/>
      <c r="G279" s="14"/>
      <c r="H279" s="14"/>
      <c r="I279" s="14"/>
      <c r="J279" s="14"/>
      <c r="K279" s="14"/>
      <c r="L279" s="14"/>
      <c r="M279" s="14"/>
      <c r="N279" s="25"/>
      <c r="O279" s="14"/>
    </row>
    <row r="280">
      <c r="B280" s="53"/>
      <c r="C280" s="14"/>
      <c r="D280" s="14"/>
      <c r="E280" s="14"/>
      <c r="F280" s="14"/>
      <c r="G280" s="14"/>
      <c r="H280" s="14"/>
      <c r="I280" s="14"/>
      <c r="J280" s="14"/>
      <c r="K280" s="14"/>
      <c r="L280" s="14"/>
      <c r="M280" s="14"/>
      <c r="N280" s="25"/>
      <c r="O280" s="14"/>
    </row>
    <row r="281">
      <c r="B281" s="53"/>
      <c r="C281" s="14"/>
      <c r="D281" s="14"/>
      <c r="E281" s="14"/>
      <c r="F281" s="14"/>
      <c r="G281" s="14"/>
      <c r="H281" s="14"/>
      <c r="I281" s="14"/>
      <c r="J281" s="14"/>
      <c r="K281" s="14"/>
      <c r="L281" s="14"/>
      <c r="M281" s="14"/>
      <c r="N281" s="25"/>
      <c r="O281" s="14"/>
    </row>
    <row r="282">
      <c r="B282" s="53"/>
      <c r="C282" s="14"/>
      <c r="D282" s="14"/>
      <c r="E282" s="14"/>
      <c r="F282" s="14"/>
      <c r="G282" s="14"/>
      <c r="H282" s="14"/>
      <c r="I282" s="14"/>
      <c r="J282" s="14"/>
      <c r="K282" s="14"/>
      <c r="L282" s="14"/>
      <c r="M282" s="14"/>
      <c r="N282" s="25"/>
      <c r="O282" s="14"/>
    </row>
    <row r="283">
      <c r="B283" s="53"/>
      <c r="C283" s="14"/>
      <c r="D283" s="14"/>
      <c r="E283" s="14"/>
      <c r="F283" s="14"/>
      <c r="G283" s="14"/>
      <c r="H283" s="14"/>
      <c r="I283" s="14"/>
      <c r="J283" s="14"/>
      <c r="K283" s="14"/>
      <c r="L283" s="14"/>
      <c r="M283" s="14"/>
      <c r="N283" s="25"/>
      <c r="O283" s="14"/>
    </row>
    <row r="284">
      <c r="B284" s="53"/>
      <c r="C284" s="14"/>
      <c r="D284" s="14"/>
      <c r="E284" s="14"/>
      <c r="F284" s="14"/>
      <c r="G284" s="14"/>
      <c r="H284" s="14"/>
      <c r="I284" s="14"/>
      <c r="J284" s="14"/>
      <c r="K284" s="14"/>
      <c r="L284" s="14"/>
      <c r="M284" s="14"/>
      <c r="N284" s="25"/>
      <c r="O284" s="14"/>
    </row>
    <row r="285">
      <c r="B285" s="53"/>
      <c r="C285" s="14"/>
      <c r="D285" s="14"/>
      <c r="E285" s="14"/>
      <c r="F285" s="14"/>
      <c r="G285" s="14"/>
      <c r="H285" s="14"/>
      <c r="I285" s="14"/>
      <c r="J285" s="14"/>
      <c r="K285" s="14"/>
      <c r="L285" s="14"/>
      <c r="M285" s="14"/>
      <c r="N285" s="25"/>
      <c r="O285" s="14"/>
    </row>
    <row r="286">
      <c r="B286" s="53"/>
      <c r="C286" s="14"/>
      <c r="D286" s="14"/>
      <c r="E286" s="14"/>
      <c r="F286" s="14"/>
      <c r="G286" s="14"/>
      <c r="H286" s="14"/>
      <c r="I286" s="14"/>
      <c r="J286" s="14"/>
      <c r="K286" s="14"/>
      <c r="L286" s="14"/>
      <c r="M286" s="14"/>
      <c r="N286" s="25"/>
      <c r="O286" s="14"/>
    </row>
    <row r="287">
      <c r="B287" s="53"/>
      <c r="C287" s="14"/>
      <c r="D287" s="14"/>
      <c r="E287" s="14"/>
      <c r="F287" s="14"/>
      <c r="G287" s="14"/>
      <c r="H287" s="14"/>
      <c r="I287" s="14"/>
      <c r="J287" s="14"/>
      <c r="K287" s="14"/>
      <c r="L287" s="14"/>
      <c r="M287" s="14"/>
      <c r="N287" s="25"/>
      <c r="O287" s="14"/>
    </row>
    <row r="288">
      <c r="B288" s="53"/>
      <c r="C288" s="14"/>
      <c r="D288" s="14"/>
      <c r="E288" s="14"/>
      <c r="F288" s="14"/>
      <c r="G288" s="14"/>
      <c r="H288" s="14"/>
      <c r="I288" s="14"/>
      <c r="J288" s="14"/>
      <c r="K288" s="14"/>
      <c r="L288" s="14"/>
      <c r="M288" s="14"/>
      <c r="N288" s="25"/>
      <c r="O288" s="14"/>
    </row>
    <row r="289">
      <c r="B289" s="53"/>
      <c r="C289" s="14"/>
      <c r="D289" s="14"/>
      <c r="E289" s="14"/>
      <c r="F289" s="14"/>
      <c r="G289" s="14"/>
      <c r="H289" s="14"/>
      <c r="I289" s="14"/>
      <c r="J289" s="14"/>
      <c r="K289" s="14"/>
      <c r="L289" s="14"/>
      <c r="M289" s="14"/>
      <c r="N289" s="25"/>
      <c r="O289" s="14"/>
    </row>
    <row r="290">
      <c r="B290" s="53"/>
      <c r="C290" s="14"/>
      <c r="D290" s="14"/>
      <c r="E290" s="14"/>
      <c r="F290" s="14"/>
      <c r="G290" s="14"/>
      <c r="H290" s="14"/>
      <c r="I290" s="14"/>
      <c r="J290" s="14"/>
      <c r="K290" s="14"/>
      <c r="L290" s="14"/>
      <c r="M290" s="14"/>
      <c r="N290" s="25"/>
      <c r="O290" s="14"/>
    </row>
    <row r="291">
      <c r="B291" s="53"/>
      <c r="C291" s="14"/>
      <c r="D291" s="14"/>
      <c r="E291" s="14"/>
      <c r="F291" s="14"/>
      <c r="G291" s="14"/>
      <c r="H291" s="14"/>
      <c r="I291" s="14"/>
      <c r="J291" s="14"/>
      <c r="K291" s="14"/>
      <c r="L291" s="14"/>
      <c r="M291" s="14"/>
      <c r="N291" s="25"/>
      <c r="O291" s="14"/>
    </row>
    <row r="292">
      <c r="B292" s="53"/>
      <c r="C292" s="14"/>
      <c r="D292" s="14"/>
      <c r="E292" s="14"/>
      <c r="F292" s="14"/>
      <c r="G292" s="14"/>
      <c r="H292" s="14"/>
      <c r="I292" s="14"/>
      <c r="J292" s="14"/>
      <c r="K292" s="14"/>
      <c r="L292" s="14"/>
      <c r="M292" s="14"/>
      <c r="N292" s="25"/>
      <c r="O292" s="14"/>
    </row>
    <row r="293">
      <c r="B293" s="53"/>
      <c r="C293" s="14"/>
      <c r="D293" s="14"/>
      <c r="E293" s="14"/>
      <c r="F293" s="14"/>
      <c r="G293" s="14"/>
      <c r="H293" s="14"/>
      <c r="I293" s="14"/>
      <c r="J293" s="14"/>
      <c r="K293" s="14"/>
      <c r="L293" s="14"/>
      <c r="M293" s="14"/>
      <c r="N293" s="25"/>
      <c r="O293" s="14"/>
    </row>
    <row r="294">
      <c r="B294" s="53"/>
      <c r="C294" s="14"/>
      <c r="D294" s="14"/>
      <c r="E294" s="14"/>
      <c r="F294" s="14"/>
      <c r="G294" s="14"/>
      <c r="H294" s="14"/>
      <c r="I294" s="14"/>
      <c r="J294" s="14"/>
      <c r="K294" s="14"/>
      <c r="L294" s="14"/>
      <c r="M294" s="14"/>
      <c r="N294" s="25"/>
      <c r="O294" s="14"/>
    </row>
    <row r="295">
      <c r="B295" s="53"/>
      <c r="C295" s="14"/>
      <c r="D295" s="14"/>
      <c r="E295" s="14"/>
      <c r="F295" s="14"/>
      <c r="G295" s="14"/>
      <c r="H295" s="14"/>
      <c r="I295" s="14"/>
      <c r="J295" s="14"/>
      <c r="K295" s="14"/>
      <c r="L295" s="14"/>
      <c r="M295" s="14"/>
      <c r="N295" s="25"/>
      <c r="O295" s="14"/>
    </row>
    <row r="296">
      <c r="B296" s="53"/>
      <c r="C296" s="14"/>
      <c r="D296" s="14"/>
      <c r="E296" s="14"/>
      <c r="F296" s="14"/>
      <c r="G296" s="14"/>
      <c r="H296" s="14"/>
      <c r="I296" s="14"/>
      <c r="J296" s="14"/>
      <c r="K296" s="14"/>
      <c r="L296" s="14"/>
      <c r="M296" s="14"/>
      <c r="N296" s="25"/>
      <c r="O296" s="14"/>
    </row>
    <row r="297">
      <c r="B297" s="53"/>
      <c r="C297" s="14"/>
      <c r="D297" s="14"/>
      <c r="E297" s="14"/>
      <c r="F297" s="14"/>
      <c r="G297" s="14"/>
      <c r="H297" s="14"/>
      <c r="I297" s="14"/>
      <c r="J297" s="14"/>
      <c r="K297" s="14"/>
      <c r="L297" s="14"/>
      <c r="M297" s="14"/>
      <c r="N297" s="25"/>
      <c r="O297" s="14"/>
    </row>
    <row r="298">
      <c r="B298" s="53"/>
      <c r="C298" s="14"/>
      <c r="D298" s="14"/>
      <c r="E298" s="14"/>
      <c r="F298" s="14"/>
      <c r="G298" s="14"/>
      <c r="H298" s="14"/>
      <c r="I298" s="14"/>
      <c r="J298" s="14"/>
      <c r="K298" s="14"/>
      <c r="L298" s="14"/>
      <c r="M298" s="14"/>
      <c r="N298" s="25"/>
      <c r="O298" s="14"/>
    </row>
    <row r="299">
      <c r="B299" s="53"/>
      <c r="C299" s="14"/>
      <c r="D299" s="14"/>
      <c r="E299" s="14"/>
      <c r="F299" s="14"/>
      <c r="G299" s="14"/>
      <c r="H299" s="14"/>
      <c r="I299" s="14"/>
      <c r="J299" s="14"/>
      <c r="K299" s="14"/>
      <c r="L299" s="14"/>
      <c r="M299" s="14"/>
      <c r="N299" s="25"/>
      <c r="O299" s="14"/>
    </row>
    <row r="300">
      <c r="B300" s="53"/>
      <c r="C300" s="14"/>
      <c r="D300" s="14"/>
      <c r="E300" s="14"/>
      <c r="F300" s="14"/>
      <c r="G300" s="14"/>
      <c r="H300" s="14"/>
      <c r="I300" s="14"/>
      <c r="J300" s="14"/>
      <c r="K300" s="14"/>
      <c r="L300" s="14"/>
      <c r="M300" s="14"/>
      <c r="N300" s="25"/>
      <c r="O300" s="14"/>
    </row>
    <row r="301">
      <c r="B301" s="53"/>
      <c r="C301" s="14"/>
      <c r="D301" s="14"/>
      <c r="E301" s="14"/>
      <c r="F301" s="14"/>
      <c r="G301" s="14"/>
      <c r="H301" s="14"/>
      <c r="I301" s="14"/>
      <c r="J301" s="14"/>
      <c r="K301" s="14"/>
      <c r="L301" s="14"/>
      <c r="M301" s="14"/>
      <c r="N301" s="25"/>
      <c r="O301" s="14"/>
    </row>
    <row r="302">
      <c r="B302" s="53"/>
      <c r="C302" s="14"/>
      <c r="D302" s="14"/>
      <c r="E302" s="14"/>
      <c r="F302" s="14"/>
      <c r="G302" s="14"/>
      <c r="H302" s="14"/>
      <c r="I302" s="14"/>
      <c r="J302" s="14"/>
      <c r="K302" s="14"/>
      <c r="L302" s="14"/>
      <c r="M302" s="14"/>
      <c r="N302" s="25"/>
      <c r="O302" s="14"/>
    </row>
    <row r="303">
      <c r="B303" s="53"/>
      <c r="C303" s="14"/>
      <c r="D303" s="14"/>
      <c r="E303" s="14"/>
      <c r="F303" s="14"/>
      <c r="G303" s="14"/>
      <c r="H303" s="14"/>
      <c r="I303" s="14"/>
      <c r="J303" s="14"/>
      <c r="K303" s="14"/>
      <c r="L303" s="14"/>
      <c r="M303" s="14"/>
      <c r="N303" s="25"/>
      <c r="O303" s="14"/>
    </row>
    <row r="304">
      <c r="B304" s="53"/>
      <c r="C304" s="14"/>
      <c r="D304" s="14"/>
      <c r="E304" s="14"/>
      <c r="F304" s="14"/>
      <c r="G304" s="14"/>
      <c r="H304" s="14"/>
      <c r="I304" s="14"/>
      <c r="J304" s="14"/>
      <c r="K304" s="14"/>
      <c r="L304" s="14"/>
      <c r="M304" s="14"/>
      <c r="N304" s="25"/>
      <c r="O304" s="14"/>
    </row>
    <row r="305">
      <c r="B305" s="53"/>
      <c r="C305" s="14"/>
      <c r="D305" s="14"/>
      <c r="E305" s="14"/>
      <c r="F305" s="14"/>
      <c r="G305" s="14"/>
      <c r="H305" s="14"/>
      <c r="I305" s="14"/>
      <c r="J305" s="14"/>
      <c r="K305" s="14"/>
      <c r="L305" s="14"/>
      <c r="M305" s="14"/>
      <c r="N305" s="25"/>
      <c r="O305" s="14"/>
    </row>
    <row r="306">
      <c r="B306" s="53"/>
      <c r="C306" s="14"/>
      <c r="D306" s="14"/>
      <c r="E306" s="14"/>
      <c r="F306" s="14"/>
      <c r="G306" s="14"/>
      <c r="H306" s="14"/>
      <c r="I306" s="14"/>
      <c r="J306" s="14"/>
      <c r="K306" s="14"/>
      <c r="L306" s="14"/>
      <c r="M306" s="14"/>
      <c r="N306" s="25"/>
      <c r="O306" s="14"/>
    </row>
    <row r="307">
      <c r="B307" s="53"/>
      <c r="C307" s="14"/>
      <c r="D307" s="14"/>
      <c r="E307" s="14"/>
      <c r="F307" s="14"/>
      <c r="G307" s="14"/>
      <c r="H307" s="14"/>
      <c r="I307" s="14"/>
      <c r="J307" s="14"/>
      <c r="K307" s="14"/>
      <c r="L307" s="14"/>
      <c r="M307" s="14"/>
      <c r="N307" s="25"/>
      <c r="O307" s="14"/>
    </row>
    <row r="308">
      <c r="B308" s="53"/>
      <c r="C308" s="14"/>
      <c r="D308" s="14"/>
      <c r="E308" s="14"/>
      <c r="F308" s="14"/>
      <c r="G308" s="14"/>
      <c r="H308" s="14"/>
      <c r="I308" s="14"/>
      <c r="J308" s="14"/>
      <c r="K308" s="14"/>
      <c r="L308" s="14"/>
      <c r="M308" s="14"/>
      <c r="N308" s="25"/>
      <c r="O308" s="14"/>
    </row>
    <row r="309">
      <c r="B309" s="53"/>
      <c r="C309" s="14"/>
      <c r="D309" s="14"/>
      <c r="E309" s="14"/>
      <c r="F309" s="14"/>
      <c r="G309" s="14"/>
      <c r="H309" s="14"/>
      <c r="I309" s="14"/>
      <c r="J309" s="14"/>
      <c r="K309" s="14"/>
      <c r="L309" s="14"/>
      <c r="M309" s="14"/>
      <c r="N309" s="25"/>
      <c r="O309" s="14"/>
    </row>
    <row r="310">
      <c r="B310" s="53"/>
      <c r="C310" s="14"/>
      <c r="D310" s="14"/>
      <c r="E310" s="14"/>
      <c r="F310" s="14"/>
      <c r="G310" s="14"/>
      <c r="H310" s="14"/>
      <c r="I310" s="14"/>
      <c r="J310" s="14"/>
      <c r="K310" s="14"/>
      <c r="L310" s="14"/>
      <c r="M310" s="14"/>
      <c r="N310" s="25"/>
      <c r="O310" s="14"/>
    </row>
    <row r="311">
      <c r="B311" s="53"/>
      <c r="C311" s="14"/>
      <c r="D311" s="14"/>
      <c r="E311" s="14"/>
      <c r="F311" s="14"/>
      <c r="G311" s="14"/>
      <c r="H311" s="14"/>
      <c r="I311" s="14"/>
      <c r="J311" s="14"/>
      <c r="K311" s="14"/>
      <c r="L311" s="14"/>
      <c r="M311" s="14"/>
      <c r="N311" s="25"/>
      <c r="O311" s="14"/>
    </row>
    <row r="312">
      <c r="B312" s="53"/>
      <c r="C312" s="14"/>
      <c r="D312" s="14"/>
      <c r="E312" s="14"/>
      <c r="F312" s="14"/>
      <c r="G312" s="14"/>
      <c r="H312" s="14"/>
      <c r="I312" s="14"/>
      <c r="J312" s="14"/>
      <c r="K312" s="14"/>
      <c r="L312" s="14"/>
      <c r="M312" s="14"/>
      <c r="N312" s="25"/>
      <c r="O312" s="14"/>
    </row>
    <row r="313">
      <c r="B313" s="53"/>
      <c r="C313" s="14"/>
      <c r="D313" s="14"/>
      <c r="E313" s="14"/>
      <c r="F313" s="14"/>
      <c r="G313" s="14"/>
      <c r="H313" s="14"/>
      <c r="I313" s="14"/>
      <c r="J313" s="14"/>
      <c r="K313" s="14"/>
      <c r="L313" s="14"/>
      <c r="M313" s="14"/>
      <c r="N313" s="25"/>
      <c r="O313" s="14"/>
    </row>
    <row r="314">
      <c r="B314" s="53"/>
      <c r="C314" s="14"/>
      <c r="D314" s="14"/>
      <c r="E314" s="14"/>
      <c r="F314" s="14"/>
      <c r="G314" s="14"/>
      <c r="H314" s="14"/>
      <c r="I314" s="14"/>
      <c r="J314" s="14"/>
      <c r="K314" s="14"/>
      <c r="L314" s="14"/>
      <c r="M314" s="14"/>
      <c r="N314" s="25"/>
      <c r="O314" s="14"/>
    </row>
    <row r="315">
      <c r="B315" s="53"/>
      <c r="C315" s="14"/>
      <c r="D315" s="14"/>
      <c r="E315" s="14"/>
      <c r="F315" s="14"/>
      <c r="G315" s="14"/>
      <c r="H315" s="14"/>
      <c r="I315" s="14"/>
      <c r="J315" s="14"/>
      <c r="K315" s="14"/>
      <c r="L315" s="14"/>
      <c r="M315" s="14"/>
      <c r="N315" s="25"/>
      <c r="O315" s="14"/>
    </row>
    <row r="316">
      <c r="B316" s="53"/>
      <c r="C316" s="14"/>
      <c r="D316" s="14"/>
      <c r="E316" s="14"/>
      <c r="F316" s="14"/>
      <c r="G316" s="14"/>
      <c r="H316" s="14"/>
      <c r="I316" s="14"/>
      <c r="J316" s="14"/>
      <c r="K316" s="14"/>
      <c r="L316" s="14"/>
      <c r="M316" s="14"/>
      <c r="N316" s="25"/>
      <c r="O316" s="14"/>
    </row>
    <row r="317">
      <c r="B317" s="53"/>
      <c r="C317" s="14"/>
      <c r="D317" s="14"/>
      <c r="E317" s="14"/>
      <c r="F317" s="14"/>
      <c r="G317" s="14"/>
      <c r="H317" s="14"/>
      <c r="I317" s="14"/>
      <c r="J317" s="14"/>
      <c r="K317" s="14"/>
      <c r="L317" s="14"/>
      <c r="M317" s="14"/>
      <c r="N317" s="25"/>
      <c r="O317" s="14"/>
    </row>
    <row r="318">
      <c r="B318" s="53"/>
      <c r="C318" s="14"/>
      <c r="D318" s="14"/>
      <c r="E318" s="14"/>
      <c r="F318" s="14"/>
      <c r="G318" s="14"/>
      <c r="H318" s="14"/>
      <c r="I318" s="14"/>
      <c r="J318" s="14"/>
      <c r="K318" s="14"/>
      <c r="L318" s="14"/>
      <c r="M318" s="14"/>
      <c r="N318" s="25"/>
      <c r="O318" s="14"/>
    </row>
    <row r="319">
      <c r="B319" s="53"/>
      <c r="C319" s="14"/>
      <c r="D319" s="14"/>
      <c r="E319" s="14"/>
      <c r="F319" s="14"/>
      <c r="G319" s="14"/>
      <c r="H319" s="14"/>
      <c r="I319" s="14"/>
      <c r="J319" s="14"/>
      <c r="K319" s="14"/>
      <c r="L319" s="14"/>
      <c r="M319" s="14"/>
      <c r="N319" s="25"/>
      <c r="O319" s="14"/>
    </row>
    <row r="320">
      <c r="B320" s="53"/>
      <c r="C320" s="14"/>
      <c r="D320" s="14"/>
      <c r="E320" s="14"/>
      <c r="F320" s="14"/>
      <c r="G320" s="14"/>
      <c r="H320" s="14"/>
      <c r="I320" s="14"/>
      <c r="J320" s="14"/>
      <c r="K320" s="14"/>
      <c r="L320" s="14"/>
      <c r="M320" s="14"/>
      <c r="N320" s="25"/>
      <c r="O320" s="14"/>
    </row>
    <row r="321">
      <c r="B321" s="53"/>
      <c r="C321" s="14"/>
      <c r="D321" s="14"/>
      <c r="E321" s="14"/>
      <c r="F321" s="14"/>
      <c r="G321" s="14"/>
      <c r="H321" s="14"/>
      <c r="I321" s="14"/>
      <c r="J321" s="14"/>
      <c r="K321" s="14"/>
      <c r="L321" s="14"/>
      <c r="M321" s="14"/>
      <c r="N321" s="25"/>
      <c r="O321" s="14"/>
    </row>
    <row r="322">
      <c r="B322" s="53"/>
      <c r="C322" s="14"/>
      <c r="D322" s="14"/>
      <c r="E322" s="14"/>
      <c r="F322" s="14"/>
      <c r="G322" s="14"/>
      <c r="H322" s="14"/>
      <c r="I322" s="14"/>
      <c r="J322" s="14"/>
      <c r="K322" s="14"/>
      <c r="L322" s="14"/>
      <c r="M322" s="14"/>
      <c r="N322" s="25"/>
      <c r="O322" s="14"/>
    </row>
    <row r="323">
      <c r="B323" s="53"/>
      <c r="C323" s="14"/>
      <c r="D323" s="14"/>
      <c r="E323" s="14"/>
      <c r="F323" s="14"/>
      <c r="G323" s="14"/>
      <c r="H323" s="14"/>
      <c r="I323" s="14"/>
      <c r="J323" s="14"/>
      <c r="K323" s="14"/>
      <c r="L323" s="14"/>
      <c r="M323" s="14"/>
      <c r="N323" s="25"/>
      <c r="O323" s="14"/>
    </row>
    <row r="324">
      <c r="B324" s="53"/>
      <c r="C324" s="14"/>
      <c r="D324" s="14"/>
      <c r="E324" s="14"/>
      <c r="F324" s="14"/>
      <c r="G324" s="14"/>
      <c r="H324" s="14"/>
      <c r="I324" s="14"/>
      <c r="J324" s="14"/>
      <c r="K324" s="14"/>
      <c r="L324" s="14"/>
      <c r="M324" s="14"/>
      <c r="N324" s="25"/>
      <c r="O324" s="14"/>
    </row>
    <row r="325">
      <c r="B325" s="53"/>
      <c r="C325" s="14"/>
      <c r="D325" s="14"/>
      <c r="E325" s="14"/>
      <c r="F325" s="14"/>
      <c r="G325" s="14"/>
      <c r="H325" s="14"/>
      <c r="I325" s="14"/>
      <c r="J325" s="14"/>
      <c r="K325" s="14"/>
      <c r="L325" s="14"/>
      <c r="M325" s="14"/>
      <c r="N325" s="25"/>
      <c r="O325" s="14"/>
    </row>
    <row r="326">
      <c r="B326" s="53"/>
      <c r="C326" s="14"/>
      <c r="D326" s="14"/>
      <c r="E326" s="14"/>
      <c r="F326" s="14"/>
      <c r="G326" s="14"/>
      <c r="H326" s="14"/>
      <c r="I326" s="14"/>
      <c r="J326" s="14"/>
      <c r="K326" s="14"/>
      <c r="L326" s="14"/>
      <c r="M326" s="14"/>
      <c r="N326" s="25"/>
      <c r="O326" s="14"/>
    </row>
    <row r="327">
      <c r="B327" s="53"/>
      <c r="C327" s="14"/>
      <c r="D327" s="14"/>
      <c r="E327" s="14"/>
      <c r="F327" s="14"/>
      <c r="G327" s="14"/>
      <c r="H327" s="14"/>
      <c r="I327" s="14"/>
      <c r="J327" s="14"/>
      <c r="K327" s="14"/>
      <c r="L327" s="14"/>
      <c r="M327" s="14"/>
      <c r="N327" s="25"/>
      <c r="O327" s="14"/>
    </row>
    <row r="328">
      <c r="B328" s="53"/>
      <c r="C328" s="14"/>
      <c r="D328" s="14"/>
      <c r="E328" s="14"/>
      <c r="F328" s="14"/>
      <c r="G328" s="14"/>
      <c r="H328" s="14"/>
      <c r="I328" s="14"/>
      <c r="J328" s="14"/>
      <c r="K328" s="14"/>
      <c r="L328" s="14"/>
      <c r="M328" s="14"/>
      <c r="N328" s="25"/>
      <c r="O328" s="14"/>
    </row>
    <row r="329">
      <c r="B329" s="53"/>
      <c r="C329" s="14"/>
      <c r="D329" s="14"/>
      <c r="E329" s="14"/>
      <c r="F329" s="14"/>
      <c r="G329" s="14"/>
      <c r="H329" s="14"/>
      <c r="I329" s="14"/>
      <c r="J329" s="14"/>
      <c r="K329" s="14"/>
      <c r="L329" s="14"/>
      <c r="M329" s="14"/>
      <c r="N329" s="25"/>
      <c r="O329" s="14"/>
    </row>
    <row r="330">
      <c r="B330" s="53"/>
      <c r="C330" s="14"/>
      <c r="D330" s="14"/>
      <c r="E330" s="14"/>
      <c r="F330" s="14"/>
      <c r="G330" s="14"/>
      <c r="H330" s="14"/>
      <c r="I330" s="14"/>
      <c r="J330" s="14"/>
      <c r="K330" s="14"/>
      <c r="L330" s="14"/>
      <c r="M330" s="14"/>
      <c r="N330" s="25"/>
      <c r="O330" s="14"/>
    </row>
    <row r="331">
      <c r="B331" s="53"/>
      <c r="C331" s="14"/>
      <c r="D331" s="14"/>
      <c r="E331" s="14"/>
      <c r="F331" s="14"/>
      <c r="G331" s="14"/>
      <c r="H331" s="14"/>
      <c r="I331" s="14"/>
      <c r="J331" s="14"/>
      <c r="K331" s="14"/>
      <c r="L331" s="14"/>
      <c r="M331" s="14"/>
      <c r="N331" s="25"/>
      <c r="O331" s="14"/>
    </row>
    <row r="332">
      <c r="B332" s="53"/>
      <c r="C332" s="14"/>
      <c r="D332" s="14"/>
      <c r="E332" s="14"/>
      <c r="F332" s="14"/>
      <c r="G332" s="14"/>
      <c r="H332" s="14"/>
      <c r="I332" s="14"/>
      <c r="J332" s="14"/>
      <c r="K332" s="14"/>
      <c r="L332" s="14"/>
      <c r="M332" s="14"/>
      <c r="N332" s="25"/>
      <c r="O332" s="14"/>
    </row>
    <row r="333">
      <c r="B333" s="53"/>
      <c r="C333" s="14"/>
      <c r="D333" s="14"/>
      <c r="E333" s="14"/>
      <c r="F333" s="14"/>
      <c r="G333" s="14"/>
      <c r="H333" s="14"/>
      <c r="I333" s="14"/>
      <c r="J333" s="14"/>
      <c r="K333" s="14"/>
      <c r="L333" s="14"/>
      <c r="M333" s="14"/>
      <c r="N333" s="25"/>
      <c r="O333" s="14"/>
    </row>
    <row r="334">
      <c r="B334" s="53"/>
      <c r="C334" s="14"/>
      <c r="D334" s="14"/>
      <c r="E334" s="14"/>
      <c r="F334" s="14"/>
      <c r="G334" s="14"/>
      <c r="H334" s="14"/>
      <c r="I334" s="14"/>
      <c r="J334" s="14"/>
      <c r="K334" s="14"/>
      <c r="L334" s="14"/>
      <c r="M334" s="14"/>
      <c r="N334" s="25"/>
      <c r="O334" s="14"/>
    </row>
    <row r="335">
      <c r="B335" s="53"/>
      <c r="C335" s="14"/>
      <c r="D335" s="14"/>
      <c r="E335" s="14"/>
      <c r="F335" s="14"/>
      <c r="G335" s="14"/>
      <c r="H335" s="14"/>
      <c r="I335" s="14"/>
      <c r="J335" s="14"/>
      <c r="K335" s="14"/>
      <c r="L335" s="14"/>
      <c r="M335" s="14"/>
      <c r="N335" s="25"/>
      <c r="O335" s="14"/>
    </row>
    <row r="336">
      <c r="B336" s="53"/>
      <c r="C336" s="14"/>
      <c r="D336" s="14"/>
      <c r="E336" s="14"/>
      <c r="F336" s="14"/>
      <c r="G336" s="14"/>
      <c r="H336" s="14"/>
      <c r="I336" s="14"/>
      <c r="J336" s="14"/>
      <c r="K336" s="14"/>
      <c r="L336" s="14"/>
      <c r="M336" s="14"/>
      <c r="N336" s="25"/>
      <c r="O336" s="14"/>
    </row>
    <row r="337">
      <c r="B337" s="53"/>
      <c r="C337" s="14"/>
      <c r="D337" s="14"/>
      <c r="E337" s="14"/>
      <c r="F337" s="14"/>
      <c r="G337" s="14"/>
      <c r="H337" s="14"/>
      <c r="I337" s="14"/>
      <c r="J337" s="14"/>
      <c r="K337" s="14"/>
      <c r="L337" s="14"/>
      <c r="M337" s="14"/>
      <c r="N337" s="25"/>
      <c r="O337" s="14"/>
    </row>
    <row r="338">
      <c r="B338" s="53"/>
      <c r="C338" s="14"/>
      <c r="D338" s="14"/>
      <c r="E338" s="14"/>
      <c r="F338" s="14"/>
      <c r="G338" s="14"/>
      <c r="H338" s="14"/>
      <c r="I338" s="14"/>
      <c r="J338" s="14"/>
      <c r="K338" s="14"/>
      <c r="L338" s="14"/>
      <c r="M338" s="14"/>
      <c r="N338" s="25"/>
      <c r="O338" s="14"/>
    </row>
    <row r="339">
      <c r="B339" s="53"/>
      <c r="C339" s="14"/>
      <c r="D339" s="14"/>
      <c r="E339" s="14"/>
      <c r="F339" s="14"/>
      <c r="G339" s="14"/>
      <c r="H339" s="14"/>
      <c r="I339" s="14"/>
      <c r="J339" s="14"/>
      <c r="K339" s="14"/>
      <c r="L339" s="14"/>
      <c r="M339" s="14"/>
      <c r="N339" s="25"/>
      <c r="O339" s="14"/>
    </row>
    <row r="340">
      <c r="B340" s="53"/>
      <c r="C340" s="14"/>
      <c r="D340" s="14"/>
      <c r="E340" s="14"/>
      <c r="F340" s="14"/>
      <c r="G340" s="14"/>
      <c r="H340" s="14"/>
      <c r="I340" s="14"/>
      <c r="J340" s="14"/>
      <c r="K340" s="14"/>
      <c r="L340" s="14"/>
      <c r="M340" s="14"/>
      <c r="N340" s="25"/>
      <c r="O340" s="14"/>
    </row>
    <row r="341">
      <c r="B341" s="53"/>
      <c r="C341" s="14"/>
      <c r="D341" s="14"/>
      <c r="E341" s="14"/>
      <c r="F341" s="14"/>
      <c r="G341" s="14"/>
      <c r="H341" s="14"/>
      <c r="I341" s="14"/>
      <c r="J341" s="14"/>
      <c r="K341" s="14"/>
      <c r="L341" s="14"/>
      <c r="M341" s="14"/>
      <c r="N341" s="25"/>
      <c r="O341" s="14"/>
    </row>
    <row r="342">
      <c r="B342" s="53"/>
      <c r="C342" s="14"/>
      <c r="D342" s="14"/>
      <c r="E342" s="14"/>
      <c r="F342" s="14"/>
      <c r="G342" s="14"/>
      <c r="H342" s="14"/>
      <c r="I342" s="14"/>
      <c r="J342" s="14"/>
      <c r="K342" s="14"/>
      <c r="L342" s="14"/>
      <c r="M342" s="14"/>
      <c r="N342" s="25"/>
      <c r="O342" s="14"/>
    </row>
    <row r="343">
      <c r="B343" s="53"/>
      <c r="C343" s="14"/>
      <c r="D343" s="14"/>
      <c r="E343" s="14"/>
      <c r="F343" s="14"/>
      <c r="G343" s="14"/>
      <c r="H343" s="14"/>
      <c r="I343" s="14"/>
      <c r="J343" s="14"/>
      <c r="K343" s="14"/>
      <c r="L343" s="14"/>
      <c r="M343" s="14"/>
      <c r="N343" s="25"/>
      <c r="O343" s="14"/>
    </row>
    <row r="344">
      <c r="B344" s="53"/>
      <c r="C344" s="14"/>
      <c r="D344" s="14"/>
      <c r="E344" s="14"/>
      <c r="F344" s="14"/>
      <c r="G344" s="14"/>
      <c r="H344" s="14"/>
      <c r="I344" s="14"/>
      <c r="J344" s="14"/>
      <c r="K344" s="14"/>
      <c r="L344" s="14"/>
      <c r="M344" s="14"/>
      <c r="N344" s="25"/>
      <c r="O344" s="14"/>
    </row>
    <row r="345">
      <c r="B345" s="53"/>
      <c r="C345" s="14"/>
      <c r="D345" s="14"/>
      <c r="E345" s="14"/>
      <c r="F345" s="14"/>
      <c r="G345" s="14"/>
      <c r="H345" s="14"/>
      <c r="I345" s="14"/>
      <c r="J345" s="14"/>
      <c r="K345" s="14"/>
      <c r="L345" s="14"/>
      <c r="M345" s="14"/>
      <c r="N345" s="25"/>
      <c r="O345" s="14"/>
    </row>
    <row r="346">
      <c r="B346" s="53"/>
      <c r="C346" s="14"/>
      <c r="D346" s="14"/>
      <c r="E346" s="14"/>
      <c r="F346" s="14"/>
      <c r="G346" s="14"/>
      <c r="H346" s="14"/>
      <c r="I346" s="14"/>
      <c r="J346" s="14"/>
      <c r="K346" s="14"/>
      <c r="L346" s="14"/>
      <c r="M346" s="14"/>
      <c r="N346" s="25"/>
      <c r="O346" s="14"/>
    </row>
    <row r="347">
      <c r="B347" s="53"/>
      <c r="C347" s="14"/>
      <c r="D347" s="14"/>
      <c r="E347" s="14"/>
      <c r="F347" s="14"/>
      <c r="G347" s="14"/>
      <c r="H347" s="14"/>
      <c r="I347" s="14"/>
      <c r="J347" s="14"/>
      <c r="K347" s="14"/>
      <c r="L347" s="14"/>
      <c r="M347" s="14"/>
      <c r="N347" s="25"/>
      <c r="O347" s="14"/>
    </row>
    <row r="348">
      <c r="B348" s="53"/>
      <c r="C348" s="14"/>
      <c r="D348" s="14"/>
      <c r="E348" s="14"/>
      <c r="F348" s="14"/>
      <c r="G348" s="14"/>
      <c r="H348" s="14"/>
      <c r="I348" s="14"/>
      <c r="J348" s="14"/>
      <c r="K348" s="14"/>
      <c r="L348" s="14"/>
      <c r="M348" s="14"/>
      <c r="N348" s="25"/>
      <c r="O348" s="14"/>
    </row>
    <row r="349">
      <c r="B349" s="53"/>
      <c r="C349" s="14"/>
      <c r="D349" s="14"/>
      <c r="E349" s="14"/>
      <c r="F349" s="14"/>
      <c r="G349" s="14"/>
      <c r="H349" s="14"/>
      <c r="I349" s="14"/>
      <c r="J349" s="14"/>
      <c r="K349" s="14"/>
      <c r="L349" s="14"/>
      <c r="M349" s="14"/>
      <c r="N349" s="25"/>
      <c r="O349" s="14"/>
    </row>
    <row r="350">
      <c r="B350" s="53"/>
      <c r="C350" s="14"/>
      <c r="D350" s="14"/>
      <c r="E350" s="14"/>
      <c r="F350" s="14"/>
      <c r="G350" s="14"/>
      <c r="H350" s="14"/>
      <c r="I350" s="14"/>
      <c r="J350" s="14"/>
      <c r="K350" s="14"/>
      <c r="L350" s="14"/>
      <c r="M350" s="14"/>
      <c r="N350" s="25"/>
      <c r="O350" s="14"/>
    </row>
    <row r="351">
      <c r="B351" s="53"/>
      <c r="C351" s="14"/>
      <c r="D351" s="14"/>
      <c r="E351" s="14"/>
      <c r="F351" s="14"/>
      <c r="G351" s="14"/>
      <c r="H351" s="14"/>
      <c r="I351" s="14"/>
      <c r="J351" s="14"/>
      <c r="K351" s="14"/>
      <c r="L351" s="14"/>
      <c r="M351" s="14"/>
      <c r="N351" s="25"/>
      <c r="O351" s="14"/>
    </row>
    <row r="352">
      <c r="B352" s="53"/>
      <c r="C352" s="14"/>
      <c r="D352" s="14"/>
      <c r="E352" s="14"/>
      <c r="F352" s="14"/>
      <c r="G352" s="14"/>
      <c r="H352" s="14"/>
      <c r="I352" s="14"/>
      <c r="J352" s="14"/>
      <c r="K352" s="14"/>
      <c r="L352" s="14"/>
      <c r="M352" s="14"/>
      <c r="N352" s="25"/>
      <c r="O352" s="14"/>
    </row>
    <row r="353">
      <c r="B353" s="53"/>
      <c r="C353" s="14"/>
      <c r="D353" s="14"/>
      <c r="E353" s="14"/>
      <c r="F353" s="14"/>
      <c r="G353" s="14"/>
      <c r="H353" s="14"/>
      <c r="I353" s="14"/>
      <c r="J353" s="14"/>
      <c r="K353" s="14"/>
      <c r="L353" s="14"/>
      <c r="M353" s="14"/>
      <c r="N353" s="25"/>
      <c r="O353" s="14"/>
    </row>
    <row r="354">
      <c r="B354" s="53"/>
      <c r="C354" s="14"/>
      <c r="D354" s="14"/>
      <c r="E354" s="14"/>
      <c r="F354" s="14"/>
      <c r="G354" s="14"/>
      <c r="H354" s="14"/>
      <c r="I354" s="14"/>
      <c r="J354" s="14"/>
      <c r="K354" s="14"/>
      <c r="L354" s="14"/>
      <c r="M354" s="14"/>
      <c r="N354" s="25"/>
      <c r="O354" s="14"/>
    </row>
    <row r="355">
      <c r="B355" s="53"/>
      <c r="C355" s="14"/>
      <c r="D355" s="14"/>
      <c r="E355" s="14"/>
      <c r="F355" s="14"/>
      <c r="G355" s="14"/>
      <c r="H355" s="14"/>
      <c r="I355" s="14"/>
      <c r="J355" s="14"/>
      <c r="K355" s="14"/>
      <c r="L355" s="14"/>
      <c r="M355" s="14"/>
      <c r="N355" s="25"/>
      <c r="O355" s="14"/>
    </row>
    <row r="356">
      <c r="B356" s="53"/>
      <c r="C356" s="14"/>
      <c r="D356" s="14"/>
      <c r="E356" s="14"/>
      <c r="F356" s="14"/>
      <c r="G356" s="14"/>
      <c r="H356" s="14"/>
      <c r="I356" s="14"/>
      <c r="J356" s="14"/>
      <c r="K356" s="14"/>
      <c r="L356" s="14"/>
      <c r="M356" s="14"/>
      <c r="N356" s="25"/>
      <c r="O356" s="14"/>
    </row>
    <row r="357">
      <c r="B357" s="53"/>
      <c r="C357" s="14"/>
      <c r="D357" s="14"/>
      <c r="E357" s="14"/>
      <c r="F357" s="14"/>
      <c r="G357" s="14"/>
      <c r="H357" s="14"/>
      <c r="I357" s="14"/>
      <c r="J357" s="14"/>
      <c r="K357" s="14"/>
      <c r="L357" s="14"/>
      <c r="M357" s="14"/>
      <c r="N357" s="25"/>
      <c r="O357" s="14"/>
    </row>
    <row r="358">
      <c r="B358" s="53"/>
      <c r="C358" s="14"/>
      <c r="D358" s="14"/>
      <c r="E358" s="14"/>
      <c r="F358" s="14"/>
      <c r="G358" s="14"/>
      <c r="H358" s="14"/>
      <c r="I358" s="14"/>
      <c r="J358" s="14"/>
      <c r="K358" s="14"/>
      <c r="L358" s="14"/>
      <c r="M358" s="14"/>
      <c r="N358" s="25"/>
      <c r="O358" s="14"/>
    </row>
    <row r="359">
      <c r="B359" s="53"/>
      <c r="C359" s="14"/>
      <c r="D359" s="14"/>
      <c r="E359" s="14"/>
      <c r="F359" s="14"/>
      <c r="G359" s="14"/>
      <c r="H359" s="14"/>
      <c r="I359" s="14"/>
      <c r="J359" s="14"/>
      <c r="K359" s="14"/>
      <c r="L359" s="14"/>
      <c r="M359" s="14"/>
      <c r="N359" s="25"/>
      <c r="O359" s="14"/>
    </row>
    <row r="360">
      <c r="B360" s="53"/>
      <c r="C360" s="14"/>
      <c r="D360" s="14"/>
      <c r="E360" s="14"/>
      <c r="F360" s="14"/>
      <c r="G360" s="14"/>
      <c r="H360" s="14"/>
      <c r="I360" s="14"/>
      <c r="J360" s="14"/>
      <c r="K360" s="14"/>
      <c r="L360" s="14"/>
      <c r="M360" s="14"/>
      <c r="N360" s="25"/>
      <c r="O360" s="14"/>
    </row>
    <row r="361">
      <c r="B361" s="53"/>
      <c r="C361" s="14"/>
      <c r="D361" s="14"/>
      <c r="E361" s="14"/>
      <c r="F361" s="14"/>
      <c r="G361" s="14"/>
      <c r="H361" s="14"/>
      <c r="I361" s="14"/>
      <c r="J361" s="14"/>
      <c r="K361" s="14"/>
      <c r="L361" s="14"/>
      <c r="M361" s="14"/>
      <c r="N361" s="25"/>
      <c r="O361" s="14"/>
    </row>
    <row r="362">
      <c r="B362" s="53"/>
      <c r="C362" s="14"/>
      <c r="D362" s="14"/>
      <c r="E362" s="14"/>
      <c r="F362" s="14"/>
      <c r="G362" s="14"/>
      <c r="H362" s="14"/>
      <c r="I362" s="14"/>
      <c r="J362" s="14"/>
      <c r="K362" s="14"/>
      <c r="L362" s="14"/>
      <c r="M362" s="14"/>
      <c r="N362" s="25"/>
      <c r="O362" s="14"/>
    </row>
    <row r="363">
      <c r="B363" s="53"/>
      <c r="C363" s="14"/>
      <c r="D363" s="14"/>
      <c r="E363" s="14"/>
      <c r="F363" s="14"/>
      <c r="G363" s="14"/>
      <c r="H363" s="14"/>
      <c r="I363" s="14"/>
      <c r="J363" s="14"/>
      <c r="K363" s="14"/>
      <c r="L363" s="14"/>
      <c r="M363" s="14"/>
      <c r="N363" s="25"/>
      <c r="O363" s="14"/>
    </row>
    <row r="364">
      <c r="B364" s="53"/>
      <c r="C364" s="14"/>
      <c r="D364" s="14"/>
      <c r="E364" s="14"/>
      <c r="F364" s="14"/>
      <c r="G364" s="14"/>
      <c r="H364" s="14"/>
      <c r="I364" s="14"/>
      <c r="J364" s="14"/>
      <c r="K364" s="14"/>
      <c r="L364" s="14"/>
      <c r="M364" s="14"/>
      <c r="N364" s="25"/>
      <c r="O364" s="14"/>
    </row>
    <row r="365">
      <c r="B365" s="53"/>
      <c r="C365" s="14"/>
      <c r="D365" s="14"/>
      <c r="E365" s="14"/>
      <c r="F365" s="14"/>
      <c r="G365" s="14"/>
      <c r="H365" s="14"/>
      <c r="I365" s="14"/>
      <c r="J365" s="14"/>
      <c r="K365" s="14"/>
      <c r="L365" s="14"/>
      <c r="M365" s="14"/>
      <c r="N365" s="25"/>
      <c r="O365" s="14"/>
    </row>
    <row r="366">
      <c r="B366" s="53"/>
      <c r="C366" s="14"/>
      <c r="D366" s="14"/>
      <c r="E366" s="14"/>
      <c r="F366" s="14"/>
      <c r="G366" s="14"/>
      <c r="H366" s="14"/>
      <c r="I366" s="14"/>
      <c r="J366" s="14"/>
      <c r="K366" s="14"/>
      <c r="L366" s="14"/>
      <c r="M366" s="14"/>
      <c r="N366" s="25"/>
      <c r="O366" s="14"/>
    </row>
    <row r="367">
      <c r="B367" s="53"/>
      <c r="C367" s="14"/>
      <c r="D367" s="14"/>
      <c r="E367" s="14"/>
      <c r="F367" s="14"/>
      <c r="G367" s="14"/>
      <c r="H367" s="14"/>
      <c r="I367" s="14"/>
      <c r="J367" s="14"/>
      <c r="K367" s="14"/>
      <c r="L367" s="14"/>
      <c r="M367" s="14"/>
      <c r="N367" s="25"/>
      <c r="O367" s="14"/>
    </row>
    <row r="368">
      <c r="B368" s="53"/>
      <c r="C368" s="14"/>
      <c r="D368" s="14"/>
      <c r="E368" s="14"/>
      <c r="F368" s="14"/>
      <c r="G368" s="14"/>
      <c r="H368" s="14"/>
      <c r="I368" s="14"/>
      <c r="J368" s="14"/>
      <c r="K368" s="14"/>
      <c r="L368" s="14"/>
      <c r="M368" s="14"/>
      <c r="N368" s="25"/>
      <c r="O368" s="14"/>
    </row>
    <row r="369">
      <c r="B369" s="53"/>
      <c r="C369" s="14"/>
      <c r="D369" s="14"/>
      <c r="E369" s="14"/>
      <c r="F369" s="14"/>
      <c r="G369" s="14"/>
      <c r="H369" s="14"/>
      <c r="I369" s="14"/>
      <c r="J369" s="14"/>
      <c r="K369" s="14"/>
      <c r="L369" s="14"/>
      <c r="M369" s="14"/>
      <c r="N369" s="25"/>
      <c r="O369" s="14"/>
    </row>
    <row r="370">
      <c r="B370" s="53"/>
      <c r="C370" s="14"/>
      <c r="D370" s="14"/>
      <c r="E370" s="14"/>
      <c r="F370" s="14"/>
      <c r="G370" s="14"/>
      <c r="H370" s="14"/>
      <c r="I370" s="14"/>
      <c r="J370" s="14"/>
      <c r="K370" s="14"/>
      <c r="L370" s="14"/>
      <c r="M370" s="14"/>
      <c r="N370" s="25"/>
      <c r="O370" s="14"/>
    </row>
    <row r="371">
      <c r="B371" s="53"/>
      <c r="C371" s="14"/>
      <c r="D371" s="14"/>
      <c r="E371" s="14"/>
      <c r="F371" s="14"/>
      <c r="G371" s="14"/>
      <c r="H371" s="14"/>
      <c r="I371" s="14"/>
      <c r="J371" s="14"/>
      <c r="K371" s="14"/>
      <c r="L371" s="14"/>
      <c r="M371" s="14"/>
      <c r="N371" s="25"/>
      <c r="O371" s="14"/>
    </row>
    <row r="372">
      <c r="B372" s="53"/>
      <c r="C372" s="14"/>
      <c r="D372" s="14"/>
      <c r="E372" s="14"/>
      <c r="F372" s="14"/>
      <c r="G372" s="14"/>
      <c r="H372" s="14"/>
      <c r="I372" s="14"/>
      <c r="J372" s="14"/>
      <c r="K372" s="14"/>
      <c r="L372" s="14"/>
      <c r="M372" s="14"/>
      <c r="N372" s="25"/>
      <c r="O372" s="14"/>
    </row>
    <row r="373">
      <c r="B373" s="53"/>
      <c r="C373" s="14"/>
      <c r="D373" s="14"/>
      <c r="E373" s="14"/>
      <c r="F373" s="14"/>
      <c r="G373" s="14"/>
      <c r="H373" s="14"/>
      <c r="I373" s="14"/>
      <c r="J373" s="14"/>
      <c r="K373" s="14"/>
      <c r="L373" s="14"/>
      <c r="M373" s="14"/>
      <c r="N373" s="25"/>
      <c r="O373" s="14"/>
    </row>
    <row r="374">
      <c r="B374" s="53"/>
      <c r="C374" s="14"/>
      <c r="D374" s="14"/>
      <c r="E374" s="14"/>
      <c r="F374" s="14"/>
      <c r="G374" s="14"/>
      <c r="H374" s="14"/>
      <c r="I374" s="14"/>
      <c r="J374" s="14"/>
      <c r="K374" s="14"/>
      <c r="L374" s="14"/>
      <c r="M374" s="14"/>
      <c r="N374" s="25"/>
      <c r="O374" s="14"/>
    </row>
    <row r="375">
      <c r="B375" s="53"/>
      <c r="C375" s="14"/>
      <c r="D375" s="14"/>
      <c r="E375" s="14"/>
      <c r="F375" s="14"/>
      <c r="G375" s="14"/>
      <c r="H375" s="14"/>
      <c r="I375" s="14"/>
      <c r="J375" s="14"/>
      <c r="K375" s="14"/>
      <c r="L375" s="14"/>
      <c r="M375" s="14"/>
      <c r="N375" s="25"/>
      <c r="O375" s="14"/>
    </row>
    <row r="376">
      <c r="B376" s="53"/>
      <c r="C376" s="14"/>
      <c r="D376" s="14"/>
      <c r="E376" s="14"/>
      <c r="F376" s="14"/>
      <c r="G376" s="14"/>
      <c r="H376" s="14"/>
      <c r="I376" s="14"/>
      <c r="J376" s="14"/>
      <c r="K376" s="14"/>
      <c r="L376" s="14"/>
      <c r="M376" s="14"/>
      <c r="N376" s="25"/>
      <c r="O376" s="14"/>
    </row>
    <row r="377">
      <c r="B377" s="53"/>
      <c r="C377" s="14"/>
      <c r="D377" s="14"/>
      <c r="E377" s="14"/>
      <c r="F377" s="14"/>
      <c r="G377" s="14"/>
      <c r="H377" s="14"/>
      <c r="I377" s="14"/>
      <c r="J377" s="14"/>
      <c r="K377" s="14"/>
      <c r="L377" s="14"/>
      <c r="M377" s="14"/>
      <c r="N377" s="25"/>
      <c r="O377" s="14"/>
    </row>
    <row r="378">
      <c r="B378" s="53"/>
      <c r="C378" s="14"/>
      <c r="D378" s="14"/>
      <c r="E378" s="14"/>
      <c r="F378" s="14"/>
      <c r="G378" s="14"/>
      <c r="H378" s="14"/>
      <c r="I378" s="14"/>
      <c r="J378" s="14"/>
      <c r="K378" s="14"/>
      <c r="L378" s="14"/>
      <c r="M378" s="14"/>
      <c r="N378" s="25"/>
      <c r="O378" s="14"/>
    </row>
    <row r="379">
      <c r="B379" s="53"/>
      <c r="C379" s="14"/>
      <c r="D379" s="14"/>
      <c r="E379" s="14"/>
      <c r="F379" s="14"/>
      <c r="G379" s="14"/>
      <c r="H379" s="14"/>
      <c r="I379" s="14"/>
      <c r="J379" s="14"/>
      <c r="K379" s="14"/>
      <c r="L379" s="14"/>
      <c r="M379" s="14"/>
      <c r="N379" s="25"/>
      <c r="O379" s="14"/>
    </row>
    <row r="380">
      <c r="B380" s="53"/>
      <c r="C380" s="14"/>
      <c r="D380" s="14"/>
      <c r="E380" s="14"/>
      <c r="F380" s="14"/>
      <c r="G380" s="14"/>
      <c r="H380" s="14"/>
      <c r="I380" s="14"/>
      <c r="J380" s="14"/>
      <c r="K380" s="14"/>
      <c r="L380" s="14"/>
      <c r="M380" s="14"/>
      <c r="N380" s="25"/>
      <c r="O380" s="14"/>
    </row>
    <row r="381">
      <c r="B381" s="53"/>
      <c r="C381" s="14"/>
      <c r="D381" s="14"/>
      <c r="E381" s="14"/>
      <c r="F381" s="14"/>
      <c r="G381" s="14"/>
      <c r="H381" s="14"/>
      <c r="I381" s="14"/>
      <c r="J381" s="14"/>
      <c r="K381" s="14"/>
      <c r="L381" s="14"/>
      <c r="M381" s="14"/>
      <c r="N381" s="25"/>
      <c r="O381" s="14"/>
    </row>
    <row r="382">
      <c r="B382" s="53"/>
      <c r="C382" s="14"/>
      <c r="D382" s="14"/>
      <c r="E382" s="14"/>
      <c r="F382" s="14"/>
      <c r="G382" s="14"/>
      <c r="H382" s="14"/>
      <c r="I382" s="14"/>
      <c r="J382" s="14"/>
      <c r="K382" s="14"/>
      <c r="L382" s="14"/>
      <c r="M382" s="14"/>
      <c r="N382" s="25"/>
      <c r="O382" s="14"/>
    </row>
    <row r="383">
      <c r="B383" s="53"/>
      <c r="C383" s="14"/>
      <c r="D383" s="14"/>
      <c r="E383" s="14"/>
      <c r="F383" s="14"/>
      <c r="G383" s="14"/>
      <c r="H383" s="14"/>
      <c r="I383" s="14"/>
      <c r="J383" s="14"/>
      <c r="K383" s="14"/>
      <c r="L383" s="14"/>
      <c r="M383" s="14"/>
      <c r="N383" s="25"/>
      <c r="O383" s="14"/>
    </row>
    <row r="384">
      <c r="B384" s="53"/>
      <c r="C384" s="14"/>
      <c r="D384" s="14"/>
      <c r="E384" s="14"/>
      <c r="F384" s="14"/>
      <c r="G384" s="14"/>
      <c r="H384" s="14"/>
      <c r="I384" s="14"/>
      <c r="J384" s="14"/>
      <c r="K384" s="14"/>
      <c r="L384" s="14"/>
      <c r="M384" s="14"/>
      <c r="N384" s="25"/>
      <c r="O384" s="14"/>
    </row>
    <row r="385">
      <c r="B385" s="53"/>
      <c r="C385" s="14"/>
      <c r="D385" s="14"/>
      <c r="E385" s="14"/>
      <c r="F385" s="14"/>
      <c r="G385" s="14"/>
      <c r="H385" s="14"/>
      <c r="I385" s="14"/>
      <c r="J385" s="14"/>
      <c r="K385" s="14"/>
      <c r="L385" s="14"/>
      <c r="M385" s="14"/>
      <c r="N385" s="25"/>
      <c r="O385" s="14"/>
    </row>
    <row r="386">
      <c r="B386" s="53"/>
      <c r="C386" s="14"/>
      <c r="D386" s="14"/>
      <c r="E386" s="14"/>
      <c r="F386" s="14"/>
      <c r="G386" s="14"/>
      <c r="H386" s="14"/>
      <c r="I386" s="14"/>
      <c r="J386" s="14"/>
      <c r="K386" s="14"/>
      <c r="L386" s="14"/>
      <c r="M386" s="14"/>
      <c r="N386" s="25"/>
      <c r="O386" s="14"/>
    </row>
    <row r="387">
      <c r="B387" s="53"/>
      <c r="C387" s="14"/>
      <c r="D387" s="14"/>
      <c r="E387" s="14"/>
      <c r="F387" s="14"/>
      <c r="G387" s="14"/>
      <c r="H387" s="14"/>
      <c r="I387" s="14"/>
      <c r="J387" s="14"/>
      <c r="K387" s="14"/>
      <c r="L387" s="14"/>
      <c r="M387" s="14"/>
      <c r="N387" s="25"/>
      <c r="O387" s="14"/>
    </row>
    <row r="388">
      <c r="B388" s="53"/>
      <c r="C388" s="14"/>
      <c r="D388" s="14"/>
      <c r="E388" s="14"/>
      <c r="F388" s="14"/>
      <c r="G388" s="14"/>
      <c r="H388" s="14"/>
      <c r="I388" s="14"/>
      <c r="J388" s="14"/>
      <c r="K388" s="14"/>
      <c r="L388" s="14"/>
      <c r="M388" s="14"/>
      <c r="N388" s="25"/>
      <c r="O388" s="14"/>
    </row>
    <row r="389">
      <c r="B389" s="53"/>
      <c r="C389" s="14"/>
      <c r="D389" s="14"/>
      <c r="E389" s="14"/>
      <c r="F389" s="14"/>
      <c r="G389" s="14"/>
      <c r="H389" s="14"/>
      <c r="I389" s="14"/>
      <c r="J389" s="14"/>
      <c r="K389" s="14"/>
      <c r="L389" s="14"/>
      <c r="M389" s="14"/>
      <c r="N389" s="25"/>
      <c r="O389" s="14"/>
    </row>
    <row r="390">
      <c r="B390" s="53"/>
      <c r="C390" s="14"/>
      <c r="D390" s="14"/>
      <c r="E390" s="14"/>
      <c r="F390" s="14"/>
      <c r="G390" s="14"/>
      <c r="H390" s="14"/>
      <c r="I390" s="14"/>
      <c r="J390" s="14"/>
      <c r="K390" s="14"/>
      <c r="L390" s="14"/>
      <c r="M390" s="14"/>
      <c r="N390" s="25"/>
      <c r="O390" s="14"/>
    </row>
    <row r="391">
      <c r="B391" s="53"/>
      <c r="C391" s="14"/>
      <c r="D391" s="14"/>
      <c r="E391" s="14"/>
      <c r="F391" s="14"/>
      <c r="G391" s="14"/>
      <c r="H391" s="14"/>
      <c r="I391" s="14"/>
      <c r="J391" s="14"/>
      <c r="K391" s="14"/>
      <c r="L391" s="14"/>
      <c r="M391" s="14"/>
      <c r="N391" s="25"/>
      <c r="O391" s="14"/>
    </row>
    <row r="392">
      <c r="B392" s="53"/>
      <c r="C392" s="14"/>
      <c r="D392" s="14"/>
      <c r="E392" s="14"/>
      <c r="F392" s="14"/>
      <c r="G392" s="14"/>
      <c r="H392" s="14"/>
      <c r="I392" s="14"/>
      <c r="J392" s="14"/>
      <c r="K392" s="14"/>
      <c r="L392" s="14"/>
      <c r="M392" s="14"/>
      <c r="N392" s="25"/>
      <c r="O392" s="14"/>
    </row>
    <row r="393">
      <c r="B393" s="53"/>
      <c r="C393" s="14"/>
      <c r="D393" s="14"/>
      <c r="E393" s="14"/>
      <c r="F393" s="14"/>
      <c r="G393" s="14"/>
      <c r="H393" s="14"/>
      <c r="I393" s="14"/>
      <c r="J393" s="14"/>
      <c r="K393" s="14"/>
      <c r="L393" s="14"/>
      <c r="M393" s="14"/>
      <c r="N393" s="25"/>
      <c r="O393" s="14"/>
    </row>
    <row r="394">
      <c r="B394" s="53"/>
      <c r="C394" s="14"/>
      <c r="D394" s="14"/>
      <c r="E394" s="14"/>
      <c r="F394" s="14"/>
      <c r="G394" s="14"/>
      <c r="H394" s="14"/>
      <c r="I394" s="14"/>
      <c r="J394" s="14"/>
      <c r="K394" s="14"/>
      <c r="L394" s="14"/>
      <c r="M394" s="14"/>
      <c r="N394" s="25"/>
      <c r="O394" s="14"/>
    </row>
    <row r="395">
      <c r="B395" s="53"/>
      <c r="C395" s="14"/>
      <c r="D395" s="14"/>
      <c r="E395" s="14"/>
      <c r="F395" s="14"/>
      <c r="G395" s="14"/>
      <c r="H395" s="14"/>
      <c r="I395" s="14"/>
      <c r="J395" s="14"/>
      <c r="K395" s="14"/>
      <c r="L395" s="14"/>
      <c r="M395" s="14"/>
      <c r="N395" s="25"/>
      <c r="O395" s="14"/>
    </row>
    <row r="396">
      <c r="B396" s="53"/>
      <c r="C396" s="14"/>
      <c r="D396" s="14"/>
      <c r="E396" s="14"/>
      <c r="F396" s="14"/>
      <c r="G396" s="14"/>
      <c r="H396" s="14"/>
      <c r="I396" s="14"/>
      <c r="J396" s="14"/>
      <c r="K396" s="14"/>
      <c r="L396" s="14"/>
      <c r="M396" s="14"/>
      <c r="N396" s="25"/>
      <c r="O396" s="14"/>
    </row>
    <row r="397">
      <c r="B397" s="53"/>
      <c r="C397" s="14"/>
      <c r="D397" s="14"/>
      <c r="E397" s="14"/>
      <c r="F397" s="14"/>
      <c r="G397" s="14"/>
      <c r="H397" s="14"/>
      <c r="I397" s="14"/>
      <c r="J397" s="14"/>
      <c r="K397" s="14"/>
      <c r="L397" s="14"/>
      <c r="M397" s="14"/>
      <c r="N397" s="25"/>
      <c r="O397" s="14"/>
    </row>
    <row r="398">
      <c r="B398" s="53"/>
      <c r="C398" s="14"/>
      <c r="D398" s="14"/>
      <c r="E398" s="14"/>
      <c r="F398" s="14"/>
      <c r="G398" s="14"/>
      <c r="H398" s="14"/>
      <c r="I398" s="14"/>
      <c r="J398" s="14"/>
      <c r="K398" s="14"/>
      <c r="L398" s="14"/>
      <c r="M398" s="14"/>
      <c r="N398" s="25"/>
      <c r="O398" s="14"/>
    </row>
    <row r="399">
      <c r="B399" s="53"/>
      <c r="C399" s="14"/>
      <c r="D399" s="14"/>
      <c r="E399" s="14"/>
      <c r="F399" s="14"/>
      <c r="G399" s="14"/>
      <c r="H399" s="14"/>
      <c r="I399" s="14"/>
      <c r="J399" s="14"/>
      <c r="K399" s="14"/>
      <c r="L399" s="14"/>
      <c r="M399" s="14"/>
      <c r="N399" s="25"/>
      <c r="O399" s="14"/>
    </row>
    <row r="400">
      <c r="B400" s="53"/>
      <c r="C400" s="14"/>
      <c r="D400" s="14"/>
      <c r="E400" s="14"/>
      <c r="F400" s="14"/>
      <c r="G400" s="14"/>
      <c r="H400" s="14"/>
      <c r="I400" s="14"/>
      <c r="J400" s="14"/>
      <c r="K400" s="14"/>
      <c r="L400" s="14"/>
      <c r="M400" s="14"/>
      <c r="N400" s="25"/>
      <c r="O400" s="14"/>
    </row>
    <row r="401">
      <c r="B401" s="53"/>
      <c r="C401" s="14"/>
      <c r="D401" s="14"/>
      <c r="E401" s="14"/>
      <c r="F401" s="14"/>
      <c r="G401" s="14"/>
      <c r="H401" s="14"/>
      <c r="I401" s="14"/>
      <c r="J401" s="14"/>
      <c r="K401" s="14"/>
      <c r="L401" s="14"/>
      <c r="M401" s="14"/>
      <c r="N401" s="25"/>
      <c r="O401" s="14"/>
    </row>
    <row r="402">
      <c r="B402" s="53"/>
      <c r="C402" s="14"/>
      <c r="D402" s="14"/>
      <c r="E402" s="14"/>
      <c r="F402" s="14"/>
      <c r="G402" s="14"/>
      <c r="H402" s="14"/>
      <c r="I402" s="14"/>
      <c r="J402" s="14"/>
      <c r="K402" s="14"/>
      <c r="L402" s="14"/>
      <c r="M402" s="14"/>
      <c r="N402" s="25"/>
      <c r="O402" s="14"/>
    </row>
    <row r="403">
      <c r="B403" s="53"/>
      <c r="C403" s="14"/>
      <c r="D403" s="14"/>
      <c r="E403" s="14"/>
      <c r="F403" s="14"/>
      <c r="G403" s="14"/>
      <c r="H403" s="14"/>
      <c r="I403" s="14"/>
      <c r="J403" s="14"/>
      <c r="K403" s="14"/>
      <c r="L403" s="14"/>
      <c r="M403" s="14"/>
      <c r="N403" s="25"/>
      <c r="O403" s="14"/>
    </row>
    <row r="404">
      <c r="B404" s="53"/>
      <c r="C404" s="14"/>
      <c r="D404" s="14"/>
      <c r="E404" s="14"/>
      <c r="F404" s="14"/>
      <c r="G404" s="14"/>
      <c r="H404" s="14"/>
      <c r="I404" s="14"/>
      <c r="J404" s="14"/>
      <c r="K404" s="14"/>
      <c r="L404" s="14"/>
      <c r="M404" s="14"/>
      <c r="N404" s="25"/>
      <c r="O404" s="14"/>
    </row>
    <row r="405">
      <c r="B405" s="53"/>
      <c r="C405" s="14"/>
      <c r="D405" s="14"/>
      <c r="E405" s="14"/>
      <c r="F405" s="14"/>
      <c r="G405" s="14"/>
      <c r="H405" s="14"/>
      <c r="I405" s="14"/>
      <c r="J405" s="14"/>
      <c r="K405" s="14"/>
      <c r="L405" s="14"/>
      <c r="M405" s="14"/>
      <c r="N405" s="25"/>
      <c r="O405" s="14"/>
    </row>
    <row r="406">
      <c r="B406" s="53"/>
      <c r="C406" s="14"/>
      <c r="D406" s="14"/>
      <c r="E406" s="14"/>
      <c r="F406" s="14"/>
      <c r="G406" s="14"/>
      <c r="H406" s="14"/>
      <c r="I406" s="14"/>
      <c r="J406" s="14"/>
      <c r="K406" s="14"/>
      <c r="L406" s="14"/>
      <c r="M406" s="14"/>
      <c r="N406" s="25"/>
      <c r="O406" s="14"/>
    </row>
    <row r="407">
      <c r="B407" s="53"/>
      <c r="C407" s="14"/>
      <c r="D407" s="14"/>
      <c r="E407" s="14"/>
      <c r="F407" s="14"/>
      <c r="G407" s="14"/>
      <c r="H407" s="14"/>
      <c r="I407" s="14"/>
      <c r="J407" s="14"/>
      <c r="K407" s="14"/>
      <c r="L407" s="14"/>
      <c r="M407" s="14"/>
      <c r="N407" s="25"/>
      <c r="O407" s="14"/>
    </row>
    <row r="408">
      <c r="B408" s="53"/>
      <c r="C408" s="14"/>
      <c r="D408" s="14"/>
      <c r="E408" s="14"/>
      <c r="F408" s="14"/>
      <c r="G408" s="14"/>
      <c r="H408" s="14"/>
      <c r="I408" s="14"/>
      <c r="J408" s="14"/>
      <c r="K408" s="14"/>
      <c r="L408" s="14"/>
      <c r="M408" s="14"/>
      <c r="N408" s="25"/>
      <c r="O408" s="14"/>
    </row>
    <row r="409">
      <c r="B409" s="53"/>
      <c r="C409" s="14"/>
      <c r="D409" s="14"/>
      <c r="E409" s="14"/>
      <c r="F409" s="14"/>
      <c r="G409" s="14"/>
      <c r="H409" s="14"/>
      <c r="I409" s="14"/>
      <c r="J409" s="14"/>
      <c r="K409" s="14"/>
      <c r="L409" s="14"/>
      <c r="M409" s="14"/>
      <c r="N409" s="25"/>
      <c r="O409" s="14"/>
    </row>
    <row r="410">
      <c r="B410" s="53"/>
      <c r="C410" s="14"/>
      <c r="D410" s="14"/>
      <c r="E410" s="14"/>
      <c r="F410" s="14"/>
      <c r="G410" s="14"/>
      <c r="H410" s="14"/>
      <c r="I410" s="14"/>
      <c r="J410" s="14"/>
      <c r="K410" s="14"/>
      <c r="L410" s="14"/>
      <c r="M410" s="14"/>
      <c r="N410" s="25"/>
      <c r="O410" s="14"/>
    </row>
    <row r="411">
      <c r="B411" s="53"/>
      <c r="C411" s="14"/>
      <c r="D411" s="14"/>
      <c r="E411" s="14"/>
      <c r="F411" s="14"/>
      <c r="G411" s="14"/>
      <c r="H411" s="14"/>
      <c r="I411" s="14"/>
      <c r="J411" s="14"/>
      <c r="K411" s="14"/>
      <c r="L411" s="14"/>
      <c r="M411" s="14"/>
      <c r="N411" s="25"/>
      <c r="O411" s="14"/>
    </row>
    <row r="412">
      <c r="B412" s="53"/>
      <c r="C412" s="14"/>
      <c r="D412" s="14"/>
      <c r="E412" s="14"/>
      <c r="F412" s="14"/>
      <c r="G412" s="14"/>
      <c r="H412" s="14"/>
      <c r="I412" s="14"/>
      <c r="J412" s="14"/>
      <c r="K412" s="14"/>
      <c r="L412" s="14"/>
      <c r="M412" s="14"/>
      <c r="N412" s="25"/>
      <c r="O412" s="14"/>
    </row>
    <row r="413">
      <c r="B413" s="53"/>
      <c r="C413" s="14"/>
      <c r="D413" s="14"/>
      <c r="E413" s="14"/>
      <c r="F413" s="14"/>
      <c r="G413" s="14"/>
      <c r="H413" s="14"/>
      <c r="I413" s="14"/>
      <c r="J413" s="14"/>
      <c r="K413" s="14"/>
      <c r="L413" s="14"/>
      <c r="M413" s="14"/>
      <c r="N413" s="25"/>
      <c r="O413" s="14"/>
    </row>
    <row r="414">
      <c r="B414" s="53"/>
      <c r="C414" s="14"/>
      <c r="D414" s="14"/>
      <c r="E414" s="14"/>
      <c r="F414" s="14"/>
      <c r="G414" s="14"/>
      <c r="H414" s="14"/>
      <c r="I414" s="14"/>
      <c r="J414" s="14"/>
      <c r="K414" s="14"/>
      <c r="L414" s="14"/>
      <c r="M414" s="14"/>
      <c r="N414" s="25"/>
      <c r="O414" s="14"/>
    </row>
    <row r="415">
      <c r="B415" s="53"/>
      <c r="C415" s="14"/>
      <c r="D415" s="14"/>
      <c r="E415" s="14"/>
      <c r="F415" s="14"/>
      <c r="G415" s="14"/>
      <c r="H415" s="14"/>
      <c r="I415" s="14"/>
      <c r="J415" s="14"/>
      <c r="K415" s="14"/>
      <c r="L415" s="14"/>
      <c r="M415" s="14"/>
      <c r="N415" s="25"/>
      <c r="O415" s="14"/>
    </row>
    <row r="416">
      <c r="B416" s="53"/>
      <c r="C416" s="14"/>
      <c r="D416" s="14"/>
      <c r="E416" s="14"/>
      <c r="F416" s="14"/>
      <c r="G416" s="14"/>
      <c r="H416" s="14"/>
      <c r="I416" s="14"/>
      <c r="J416" s="14"/>
      <c r="K416" s="14"/>
      <c r="L416" s="14"/>
      <c r="M416" s="14"/>
      <c r="N416" s="25"/>
      <c r="O416" s="14"/>
    </row>
    <row r="417">
      <c r="B417" s="53"/>
      <c r="C417" s="14"/>
      <c r="D417" s="14"/>
      <c r="E417" s="14"/>
      <c r="F417" s="14"/>
      <c r="G417" s="14"/>
      <c r="H417" s="14"/>
      <c r="I417" s="14"/>
      <c r="J417" s="14"/>
      <c r="K417" s="14"/>
      <c r="L417" s="14"/>
      <c r="M417" s="14"/>
      <c r="N417" s="25"/>
      <c r="O417" s="14"/>
    </row>
    <row r="418">
      <c r="B418" s="53"/>
      <c r="C418" s="14"/>
      <c r="D418" s="14"/>
      <c r="E418" s="14"/>
      <c r="F418" s="14"/>
      <c r="G418" s="14"/>
      <c r="H418" s="14"/>
      <c r="I418" s="14"/>
      <c r="J418" s="14"/>
      <c r="K418" s="14"/>
      <c r="L418" s="14"/>
      <c r="M418" s="14"/>
      <c r="N418" s="25"/>
      <c r="O418" s="14"/>
    </row>
    <row r="419">
      <c r="B419" s="53"/>
      <c r="C419" s="14"/>
      <c r="D419" s="14"/>
      <c r="E419" s="14"/>
      <c r="F419" s="14"/>
      <c r="G419" s="14"/>
      <c r="H419" s="14"/>
      <c r="I419" s="14"/>
      <c r="J419" s="14"/>
      <c r="K419" s="14"/>
      <c r="L419" s="14"/>
      <c r="M419" s="14"/>
      <c r="N419" s="25"/>
      <c r="O419" s="14"/>
    </row>
    <row r="420">
      <c r="B420" s="53"/>
      <c r="C420" s="14"/>
      <c r="D420" s="14"/>
      <c r="E420" s="14"/>
      <c r="F420" s="14"/>
      <c r="G420" s="14"/>
      <c r="H420" s="14"/>
      <c r="I420" s="14"/>
      <c r="J420" s="14"/>
      <c r="K420" s="14"/>
      <c r="L420" s="14"/>
      <c r="M420" s="14"/>
      <c r="N420" s="25"/>
      <c r="O420" s="14"/>
    </row>
    <row r="421">
      <c r="B421" s="53"/>
      <c r="C421" s="14"/>
      <c r="D421" s="14"/>
      <c r="E421" s="14"/>
      <c r="F421" s="14"/>
      <c r="G421" s="14"/>
      <c r="H421" s="14"/>
      <c r="I421" s="14"/>
      <c r="J421" s="14"/>
      <c r="K421" s="14"/>
      <c r="L421" s="14"/>
      <c r="M421" s="14"/>
      <c r="N421" s="25"/>
      <c r="O421" s="14"/>
    </row>
    <row r="422">
      <c r="B422" s="53"/>
      <c r="C422" s="14"/>
      <c r="D422" s="14"/>
      <c r="E422" s="14"/>
      <c r="F422" s="14"/>
      <c r="G422" s="14"/>
      <c r="H422" s="14"/>
      <c r="I422" s="14"/>
      <c r="J422" s="14"/>
      <c r="K422" s="14"/>
      <c r="L422" s="14"/>
      <c r="M422" s="14"/>
      <c r="N422" s="25"/>
      <c r="O422" s="14"/>
    </row>
    <row r="423">
      <c r="B423" s="53"/>
      <c r="C423" s="14"/>
      <c r="D423" s="14"/>
      <c r="E423" s="14"/>
      <c r="F423" s="14"/>
      <c r="G423" s="14"/>
      <c r="H423" s="14"/>
      <c r="I423" s="14"/>
      <c r="J423" s="14"/>
      <c r="K423" s="14"/>
      <c r="L423" s="14"/>
      <c r="M423" s="14"/>
      <c r="N423" s="25"/>
      <c r="O423" s="14"/>
    </row>
    <row r="424">
      <c r="B424" s="53"/>
      <c r="C424" s="14"/>
      <c r="D424" s="14"/>
      <c r="E424" s="14"/>
      <c r="F424" s="14"/>
      <c r="G424" s="14"/>
      <c r="H424" s="14"/>
      <c r="I424" s="14"/>
      <c r="J424" s="14"/>
      <c r="K424" s="14"/>
      <c r="L424" s="14"/>
      <c r="M424" s="14"/>
      <c r="N424" s="25"/>
      <c r="O424" s="14"/>
    </row>
    <row r="425">
      <c r="B425" s="53"/>
      <c r="C425" s="14"/>
      <c r="D425" s="14"/>
      <c r="E425" s="14"/>
      <c r="F425" s="14"/>
      <c r="G425" s="14"/>
      <c r="H425" s="14"/>
      <c r="I425" s="14"/>
      <c r="J425" s="14"/>
      <c r="K425" s="14"/>
      <c r="L425" s="14"/>
      <c r="M425" s="14"/>
      <c r="N425" s="25"/>
      <c r="O425" s="14"/>
    </row>
    <row r="426">
      <c r="B426" s="53"/>
      <c r="C426" s="14"/>
      <c r="D426" s="14"/>
      <c r="E426" s="14"/>
      <c r="F426" s="14"/>
      <c r="G426" s="14"/>
      <c r="H426" s="14"/>
      <c r="I426" s="14"/>
      <c r="J426" s="14"/>
      <c r="K426" s="14"/>
      <c r="L426" s="14"/>
      <c r="M426" s="14"/>
      <c r="N426" s="25"/>
      <c r="O426" s="14"/>
    </row>
    <row r="427">
      <c r="B427" s="53"/>
      <c r="C427" s="14"/>
      <c r="D427" s="14"/>
      <c r="E427" s="14"/>
      <c r="F427" s="14"/>
      <c r="G427" s="14"/>
      <c r="H427" s="14"/>
      <c r="I427" s="14"/>
      <c r="J427" s="14"/>
      <c r="K427" s="14"/>
      <c r="L427" s="14"/>
      <c r="M427" s="14"/>
      <c r="N427" s="25"/>
      <c r="O427" s="14"/>
    </row>
    <row r="428">
      <c r="B428" s="53"/>
      <c r="C428" s="14"/>
      <c r="D428" s="14"/>
      <c r="E428" s="14"/>
      <c r="F428" s="14"/>
      <c r="G428" s="14"/>
      <c r="H428" s="14"/>
      <c r="I428" s="14"/>
      <c r="J428" s="14"/>
      <c r="K428" s="14"/>
      <c r="L428" s="14"/>
      <c r="M428" s="14"/>
      <c r="N428" s="25"/>
      <c r="O428" s="14"/>
    </row>
    <row r="429">
      <c r="B429" s="53"/>
      <c r="C429" s="14"/>
      <c r="D429" s="14"/>
      <c r="E429" s="14"/>
      <c r="F429" s="14"/>
      <c r="G429" s="14"/>
      <c r="H429" s="14"/>
      <c r="I429" s="14"/>
      <c r="J429" s="14"/>
      <c r="K429" s="14"/>
      <c r="L429" s="14"/>
      <c r="M429" s="14"/>
      <c r="N429" s="25"/>
      <c r="O429" s="14"/>
    </row>
    <row r="430">
      <c r="B430" s="53"/>
      <c r="C430" s="14"/>
      <c r="D430" s="14"/>
      <c r="E430" s="14"/>
      <c r="F430" s="14"/>
      <c r="G430" s="14"/>
      <c r="H430" s="14"/>
      <c r="I430" s="14"/>
      <c r="J430" s="14"/>
      <c r="K430" s="14"/>
      <c r="L430" s="14"/>
      <c r="M430" s="14"/>
      <c r="N430" s="25"/>
      <c r="O430" s="14"/>
    </row>
    <row r="431">
      <c r="B431" s="53"/>
      <c r="C431" s="14"/>
      <c r="D431" s="14"/>
      <c r="E431" s="14"/>
      <c r="F431" s="14"/>
      <c r="G431" s="14"/>
      <c r="H431" s="14"/>
      <c r="I431" s="14"/>
      <c r="J431" s="14"/>
      <c r="K431" s="14"/>
      <c r="L431" s="14"/>
      <c r="M431" s="14"/>
      <c r="N431" s="25"/>
      <c r="O431" s="14"/>
    </row>
    <row r="432">
      <c r="B432" s="53"/>
      <c r="C432" s="14"/>
      <c r="D432" s="14"/>
      <c r="E432" s="14"/>
      <c r="F432" s="14"/>
      <c r="G432" s="14"/>
      <c r="H432" s="14"/>
      <c r="I432" s="14"/>
      <c r="J432" s="14"/>
      <c r="K432" s="14"/>
      <c r="L432" s="14"/>
      <c r="M432" s="14"/>
      <c r="N432" s="25"/>
      <c r="O432" s="14"/>
    </row>
    <row r="433">
      <c r="B433" s="53"/>
      <c r="C433" s="14"/>
      <c r="D433" s="14"/>
      <c r="E433" s="14"/>
      <c r="F433" s="14"/>
      <c r="G433" s="14"/>
      <c r="H433" s="14"/>
      <c r="I433" s="14"/>
      <c r="J433" s="14"/>
      <c r="K433" s="14"/>
      <c r="L433" s="14"/>
      <c r="M433" s="14"/>
      <c r="N433" s="25"/>
      <c r="O433" s="14"/>
    </row>
    <row r="434">
      <c r="B434" s="53"/>
      <c r="C434" s="14"/>
      <c r="D434" s="14"/>
      <c r="E434" s="14"/>
      <c r="F434" s="14"/>
      <c r="G434" s="14"/>
      <c r="H434" s="14"/>
      <c r="I434" s="14"/>
      <c r="J434" s="14"/>
      <c r="K434" s="14"/>
      <c r="L434" s="14"/>
      <c r="M434" s="14"/>
      <c r="N434" s="25"/>
      <c r="O434" s="14"/>
    </row>
    <row r="435">
      <c r="B435" s="53"/>
      <c r="C435" s="14"/>
      <c r="D435" s="14"/>
      <c r="E435" s="14"/>
      <c r="F435" s="14"/>
      <c r="G435" s="14"/>
      <c r="H435" s="14"/>
      <c r="I435" s="14"/>
      <c r="J435" s="14"/>
      <c r="K435" s="14"/>
      <c r="L435" s="14"/>
      <c r="M435" s="14"/>
      <c r="N435" s="25"/>
      <c r="O435" s="14"/>
    </row>
    <row r="436">
      <c r="B436" s="53"/>
      <c r="C436" s="14"/>
      <c r="D436" s="14"/>
      <c r="E436" s="14"/>
      <c r="F436" s="14"/>
      <c r="G436" s="14"/>
      <c r="H436" s="14"/>
      <c r="I436" s="14"/>
      <c r="J436" s="14"/>
      <c r="K436" s="14"/>
      <c r="L436" s="14"/>
      <c r="M436" s="14"/>
      <c r="N436" s="25"/>
      <c r="O436" s="14"/>
    </row>
    <row r="437">
      <c r="B437" s="53"/>
      <c r="C437" s="14"/>
      <c r="D437" s="14"/>
      <c r="E437" s="14"/>
      <c r="F437" s="14"/>
      <c r="G437" s="14"/>
      <c r="H437" s="14"/>
      <c r="I437" s="14"/>
      <c r="J437" s="14"/>
      <c r="K437" s="14"/>
      <c r="L437" s="14"/>
      <c r="M437" s="14"/>
      <c r="N437" s="25"/>
      <c r="O437" s="14"/>
    </row>
    <row r="438">
      <c r="B438" s="53"/>
      <c r="C438" s="14"/>
      <c r="D438" s="14"/>
      <c r="E438" s="14"/>
      <c r="F438" s="14"/>
      <c r="G438" s="14"/>
      <c r="H438" s="14"/>
      <c r="I438" s="14"/>
      <c r="J438" s="14"/>
      <c r="K438" s="14"/>
      <c r="L438" s="14"/>
      <c r="M438" s="14"/>
      <c r="N438" s="25"/>
      <c r="O438" s="14"/>
    </row>
    <row r="439">
      <c r="B439" s="53"/>
      <c r="C439" s="14"/>
      <c r="D439" s="14"/>
      <c r="E439" s="14"/>
      <c r="F439" s="14"/>
      <c r="G439" s="14"/>
      <c r="H439" s="14"/>
      <c r="I439" s="14"/>
      <c r="J439" s="14"/>
      <c r="K439" s="14"/>
      <c r="L439" s="14"/>
      <c r="M439" s="14"/>
      <c r="N439" s="25"/>
      <c r="O439" s="14"/>
    </row>
    <row r="440">
      <c r="B440" s="53"/>
      <c r="C440" s="14"/>
      <c r="D440" s="14"/>
      <c r="E440" s="14"/>
      <c r="F440" s="14"/>
      <c r="G440" s="14"/>
      <c r="H440" s="14"/>
      <c r="I440" s="14"/>
      <c r="J440" s="14"/>
      <c r="K440" s="14"/>
      <c r="L440" s="14"/>
      <c r="M440" s="14"/>
      <c r="N440" s="25"/>
      <c r="O440" s="14"/>
    </row>
    <row r="441">
      <c r="B441" s="53"/>
      <c r="C441" s="14"/>
      <c r="D441" s="14"/>
      <c r="E441" s="14"/>
      <c r="F441" s="14"/>
      <c r="G441" s="14"/>
      <c r="H441" s="14"/>
      <c r="I441" s="14"/>
      <c r="J441" s="14"/>
      <c r="K441" s="14"/>
      <c r="L441" s="14"/>
      <c r="M441" s="14"/>
      <c r="N441" s="25"/>
      <c r="O441" s="14"/>
    </row>
    <row r="442">
      <c r="B442" s="53"/>
      <c r="C442" s="14"/>
      <c r="D442" s="14"/>
      <c r="E442" s="14"/>
      <c r="F442" s="14"/>
      <c r="G442" s="14"/>
      <c r="H442" s="14"/>
      <c r="I442" s="14"/>
      <c r="J442" s="14"/>
      <c r="K442" s="14"/>
      <c r="L442" s="14"/>
      <c r="M442" s="14"/>
      <c r="N442" s="25"/>
      <c r="O442" s="14"/>
    </row>
    <row r="443">
      <c r="B443" s="53"/>
      <c r="C443" s="14"/>
      <c r="D443" s="14"/>
      <c r="E443" s="14"/>
      <c r="F443" s="14"/>
      <c r="G443" s="14"/>
      <c r="H443" s="14"/>
      <c r="I443" s="14"/>
      <c r="J443" s="14"/>
      <c r="K443" s="14"/>
      <c r="L443" s="14"/>
      <c r="M443" s="14"/>
      <c r="N443" s="25"/>
      <c r="O443" s="14"/>
    </row>
    <row r="444">
      <c r="B444" s="53"/>
      <c r="C444" s="14"/>
      <c r="D444" s="14"/>
      <c r="E444" s="14"/>
      <c r="F444" s="14"/>
      <c r="G444" s="14"/>
      <c r="H444" s="14"/>
      <c r="I444" s="14"/>
      <c r="J444" s="14"/>
      <c r="K444" s="14"/>
      <c r="L444" s="14"/>
      <c r="M444" s="14"/>
      <c r="N444" s="25"/>
      <c r="O444" s="14"/>
    </row>
    <row r="445">
      <c r="B445" s="53"/>
      <c r="C445" s="14"/>
      <c r="D445" s="14"/>
      <c r="E445" s="14"/>
      <c r="F445" s="14"/>
      <c r="G445" s="14"/>
      <c r="H445" s="14"/>
      <c r="I445" s="14"/>
      <c r="J445" s="14"/>
      <c r="K445" s="14"/>
      <c r="L445" s="14"/>
      <c r="M445" s="14"/>
      <c r="N445" s="25"/>
      <c r="O445" s="14"/>
    </row>
    <row r="446">
      <c r="B446" s="53"/>
      <c r="C446" s="14"/>
      <c r="D446" s="14"/>
      <c r="E446" s="14"/>
      <c r="F446" s="14"/>
      <c r="G446" s="14"/>
      <c r="H446" s="14"/>
      <c r="I446" s="14"/>
      <c r="J446" s="14"/>
      <c r="K446" s="14"/>
      <c r="L446" s="14"/>
      <c r="M446" s="14"/>
      <c r="N446" s="25"/>
      <c r="O446" s="14"/>
    </row>
    <row r="447">
      <c r="B447" s="53"/>
      <c r="C447" s="14"/>
      <c r="D447" s="14"/>
      <c r="E447" s="14"/>
      <c r="F447" s="14"/>
      <c r="G447" s="14"/>
      <c r="H447" s="14"/>
      <c r="I447" s="14"/>
      <c r="J447" s="14"/>
      <c r="K447" s="14"/>
      <c r="L447" s="14"/>
      <c r="M447" s="14"/>
      <c r="N447" s="25"/>
      <c r="O447" s="14"/>
    </row>
    <row r="448">
      <c r="B448" s="53"/>
      <c r="C448" s="14"/>
      <c r="D448" s="14"/>
      <c r="E448" s="14"/>
      <c r="F448" s="14"/>
      <c r="G448" s="14"/>
      <c r="H448" s="14"/>
      <c r="I448" s="14"/>
      <c r="J448" s="14"/>
      <c r="K448" s="14"/>
      <c r="L448" s="14"/>
      <c r="M448" s="14"/>
      <c r="N448" s="25"/>
      <c r="O448" s="14"/>
    </row>
    <row r="449">
      <c r="B449" s="53"/>
      <c r="C449" s="14"/>
      <c r="D449" s="14"/>
      <c r="E449" s="14"/>
      <c r="F449" s="14"/>
      <c r="G449" s="14"/>
      <c r="H449" s="14"/>
      <c r="I449" s="14"/>
      <c r="J449" s="14"/>
      <c r="K449" s="14"/>
      <c r="L449" s="14"/>
      <c r="M449" s="14"/>
      <c r="N449" s="25"/>
      <c r="O449" s="14"/>
    </row>
    <row r="450">
      <c r="B450" s="53"/>
      <c r="C450" s="14"/>
      <c r="D450" s="14"/>
      <c r="E450" s="14"/>
      <c r="F450" s="14"/>
      <c r="G450" s="14"/>
      <c r="H450" s="14"/>
      <c r="I450" s="14"/>
      <c r="J450" s="14"/>
      <c r="K450" s="14"/>
      <c r="L450" s="14"/>
      <c r="M450" s="14"/>
      <c r="N450" s="25"/>
      <c r="O450" s="14"/>
    </row>
    <row r="451">
      <c r="B451" s="53"/>
      <c r="C451" s="14"/>
      <c r="D451" s="14"/>
      <c r="E451" s="14"/>
      <c r="F451" s="14"/>
      <c r="G451" s="14"/>
      <c r="H451" s="14"/>
      <c r="I451" s="14"/>
      <c r="J451" s="14"/>
      <c r="K451" s="14"/>
      <c r="L451" s="14"/>
      <c r="M451" s="14"/>
      <c r="N451" s="25"/>
      <c r="O451" s="14"/>
    </row>
    <row r="452">
      <c r="B452" s="53"/>
      <c r="C452" s="14"/>
      <c r="D452" s="14"/>
      <c r="E452" s="14"/>
      <c r="F452" s="14"/>
      <c r="G452" s="14"/>
      <c r="H452" s="14"/>
      <c r="I452" s="14"/>
      <c r="J452" s="14"/>
      <c r="K452" s="14"/>
      <c r="L452" s="14"/>
      <c r="M452" s="14"/>
      <c r="N452" s="25"/>
      <c r="O452" s="14"/>
    </row>
    <row r="453">
      <c r="B453" s="53"/>
      <c r="C453" s="14"/>
      <c r="D453" s="14"/>
      <c r="E453" s="14"/>
      <c r="F453" s="14"/>
      <c r="G453" s="14"/>
      <c r="H453" s="14"/>
      <c r="I453" s="14"/>
      <c r="J453" s="14"/>
      <c r="K453" s="14"/>
      <c r="L453" s="14"/>
      <c r="M453" s="14"/>
      <c r="N453" s="25"/>
      <c r="O453" s="14"/>
    </row>
    <row r="454">
      <c r="B454" s="53"/>
      <c r="C454" s="14"/>
      <c r="D454" s="14"/>
      <c r="E454" s="14"/>
      <c r="F454" s="14"/>
      <c r="G454" s="14"/>
      <c r="H454" s="14"/>
      <c r="I454" s="14"/>
      <c r="J454" s="14"/>
      <c r="K454" s="14"/>
      <c r="L454" s="14"/>
      <c r="M454" s="14"/>
      <c r="N454" s="25"/>
      <c r="O454" s="14"/>
    </row>
    <row r="455">
      <c r="B455" s="53"/>
      <c r="C455" s="14"/>
      <c r="D455" s="14"/>
      <c r="E455" s="14"/>
      <c r="F455" s="14"/>
      <c r="G455" s="14"/>
      <c r="H455" s="14"/>
      <c r="I455" s="14"/>
      <c r="J455" s="14"/>
      <c r="K455" s="14"/>
      <c r="L455" s="14"/>
      <c r="M455" s="14"/>
      <c r="N455" s="25"/>
      <c r="O455" s="14"/>
    </row>
    <row r="456">
      <c r="B456" s="53"/>
      <c r="C456" s="14"/>
      <c r="D456" s="14"/>
      <c r="E456" s="14"/>
      <c r="F456" s="14"/>
      <c r="G456" s="14"/>
      <c r="H456" s="14"/>
      <c r="I456" s="14"/>
      <c r="J456" s="14"/>
      <c r="K456" s="14"/>
      <c r="L456" s="14"/>
      <c r="M456" s="14"/>
      <c r="N456" s="25"/>
      <c r="O456" s="14"/>
    </row>
    <row r="457">
      <c r="B457" s="53"/>
      <c r="C457" s="14"/>
      <c r="D457" s="14"/>
      <c r="E457" s="14"/>
      <c r="F457" s="14"/>
      <c r="G457" s="14"/>
      <c r="H457" s="14"/>
      <c r="I457" s="14"/>
      <c r="J457" s="14"/>
      <c r="K457" s="14"/>
      <c r="L457" s="14"/>
      <c r="M457" s="14"/>
      <c r="N457" s="25"/>
      <c r="O457" s="14"/>
    </row>
    <row r="458">
      <c r="B458" s="53"/>
      <c r="C458" s="14"/>
      <c r="D458" s="14"/>
      <c r="E458" s="14"/>
      <c r="F458" s="14"/>
      <c r="G458" s="14"/>
      <c r="H458" s="14"/>
      <c r="I458" s="14"/>
      <c r="J458" s="14"/>
      <c r="K458" s="14"/>
      <c r="L458" s="14"/>
      <c r="M458" s="14"/>
      <c r="N458" s="25"/>
      <c r="O458" s="14"/>
    </row>
    <row r="459">
      <c r="B459" s="53"/>
      <c r="C459" s="14"/>
      <c r="D459" s="14"/>
      <c r="E459" s="14"/>
      <c r="F459" s="14"/>
      <c r="G459" s="14"/>
      <c r="H459" s="14"/>
      <c r="I459" s="14"/>
      <c r="J459" s="14"/>
      <c r="K459" s="14"/>
      <c r="L459" s="14"/>
      <c r="M459" s="14"/>
      <c r="N459" s="25"/>
      <c r="O459" s="14"/>
    </row>
    <row r="460">
      <c r="B460" s="53"/>
      <c r="C460" s="14"/>
      <c r="D460" s="14"/>
      <c r="E460" s="14"/>
      <c r="F460" s="14"/>
      <c r="G460" s="14"/>
      <c r="H460" s="14"/>
      <c r="I460" s="14"/>
      <c r="J460" s="14"/>
      <c r="K460" s="14"/>
      <c r="L460" s="14"/>
      <c r="M460" s="14"/>
      <c r="N460" s="25"/>
      <c r="O460" s="14"/>
    </row>
    <row r="461">
      <c r="B461" s="53"/>
      <c r="C461" s="14"/>
      <c r="D461" s="14"/>
      <c r="E461" s="14"/>
      <c r="F461" s="14"/>
      <c r="G461" s="14"/>
      <c r="H461" s="14"/>
      <c r="I461" s="14"/>
      <c r="J461" s="14"/>
      <c r="K461" s="14"/>
      <c r="L461" s="14"/>
      <c r="M461" s="14"/>
      <c r="N461" s="25"/>
      <c r="O461" s="14"/>
    </row>
    <row r="462">
      <c r="B462" s="53"/>
      <c r="C462" s="14"/>
      <c r="D462" s="14"/>
      <c r="E462" s="14"/>
      <c r="F462" s="14"/>
      <c r="G462" s="14"/>
      <c r="H462" s="14"/>
      <c r="I462" s="14"/>
      <c r="J462" s="14"/>
      <c r="K462" s="14"/>
      <c r="L462" s="14"/>
      <c r="M462" s="14"/>
      <c r="N462" s="25"/>
      <c r="O462" s="14"/>
    </row>
    <row r="463">
      <c r="B463" s="53"/>
      <c r="C463" s="14"/>
      <c r="D463" s="14"/>
      <c r="E463" s="14"/>
      <c r="F463" s="14"/>
      <c r="G463" s="14"/>
      <c r="H463" s="14"/>
      <c r="I463" s="14"/>
      <c r="J463" s="14"/>
      <c r="K463" s="14"/>
      <c r="L463" s="14"/>
      <c r="M463" s="14"/>
      <c r="N463" s="25"/>
      <c r="O463" s="14"/>
    </row>
    <row r="464">
      <c r="B464" s="53"/>
      <c r="C464" s="14"/>
      <c r="D464" s="14"/>
      <c r="E464" s="14"/>
      <c r="F464" s="14"/>
      <c r="G464" s="14"/>
      <c r="H464" s="14"/>
      <c r="I464" s="14"/>
      <c r="J464" s="14"/>
      <c r="K464" s="14"/>
      <c r="L464" s="14"/>
      <c r="M464" s="14"/>
      <c r="N464" s="25"/>
      <c r="O464" s="14"/>
    </row>
    <row r="465">
      <c r="B465" s="53"/>
      <c r="C465" s="14"/>
      <c r="D465" s="14"/>
      <c r="E465" s="14"/>
      <c r="F465" s="14"/>
      <c r="G465" s="14"/>
      <c r="H465" s="14"/>
      <c r="I465" s="14"/>
      <c r="J465" s="14"/>
      <c r="K465" s="14"/>
      <c r="L465" s="14"/>
      <c r="M465" s="14"/>
      <c r="N465" s="25"/>
      <c r="O465" s="14"/>
    </row>
    <row r="466">
      <c r="B466" s="53"/>
      <c r="C466" s="14"/>
      <c r="D466" s="14"/>
      <c r="E466" s="14"/>
      <c r="F466" s="14"/>
      <c r="G466" s="14"/>
      <c r="H466" s="14"/>
      <c r="I466" s="14"/>
      <c r="J466" s="14"/>
      <c r="K466" s="14"/>
      <c r="L466" s="14"/>
      <c r="M466" s="14"/>
      <c r="N466" s="25"/>
      <c r="O466" s="14"/>
    </row>
    <row r="467">
      <c r="B467" s="53"/>
      <c r="C467" s="14"/>
      <c r="D467" s="14"/>
      <c r="E467" s="14"/>
      <c r="F467" s="14"/>
      <c r="G467" s="14"/>
      <c r="H467" s="14"/>
      <c r="I467" s="14"/>
      <c r="J467" s="14"/>
      <c r="K467" s="14"/>
      <c r="L467" s="14"/>
      <c r="M467" s="14"/>
      <c r="N467" s="25"/>
      <c r="O467" s="14"/>
    </row>
    <row r="468">
      <c r="B468" s="53"/>
      <c r="C468" s="14"/>
      <c r="D468" s="14"/>
      <c r="E468" s="14"/>
      <c r="F468" s="14"/>
      <c r="G468" s="14"/>
      <c r="H468" s="14"/>
      <c r="I468" s="14"/>
      <c r="J468" s="14"/>
      <c r="K468" s="14"/>
      <c r="L468" s="14"/>
      <c r="M468" s="14"/>
      <c r="N468" s="25"/>
      <c r="O468" s="14"/>
    </row>
    <row r="469">
      <c r="B469" s="53"/>
      <c r="C469" s="14"/>
      <c r="D469" s="14"/>
      <c r="E469" s="14"/>
      <c r="F469" s="14"/>
      <c r="G469" s="14"/>
      <c r="H469" s="14"/>
      <c r="I469" s="14"/>
      <c r="J469" s="14"/>
      <c r="K469" s="14"/>
      <c r="L469" s="14"/>
      <c r="M469" s="14"/>
      <c r="N469" s="25"/>
      <c r="O469" s="14"/>
    </row>
    <row r="470">
      <c r="B470" s="53"/>
      <c r="C470" s="14"/>
      <c r="D470" s="14"/>
      <c r="E470" s="14"/>
      <c r="F470" s="14"/>
      <c r="G470" s="14"/>
      <c r="H470" s="14"/>
      <c r="I470" s="14"/>
      <c r="J470" s="14"/>
      <c r="K470" s="14"/>
      <c r="L470" s="14"/>
      <c r="M470" s="14"/>
      <c r="N470" s="25"/>
      <c r="O470" s="14"/>
    </row>
    <row r="471">
      <c r="B471" s="53"/>
      <c r="C471" s="14"/>
      <c r="D471" s="14"/>
      <c r="E471" s="14"/>
      <c r="F471" s="14"/>
      <c r="G471" s="14"/>
      <c r="H471" s="14"/>
      <c r="I471" s="14"/>
      <c r="J471" s="14"/>
      <c r="K471" s="14"/>
      <c r="L471" s="14"/>
      <c r="M471" s="14"/>
      <c r="N471" s="25"/>
      <c r="O471" s="14"/>
    </row>
    <row r="472">
      <c r="B472" s="53"/>
      <c r="C472" s="14"/>
      <c r="D472" s="14"/>
      <c r="E472" s="14"/>
      <c r="F472" s="14"/>
      <c r="G472" s="14"/>
      <c r="H472" s="14"/>
      <c r="I472" s="14"/>
      <c r="J472" s="14"/>
      <c r="K472" s="14"/>
      <c r="L472" s="14"/>
      <c r="M472" s="14"/>
      <c r="N472" s="25"/>
      <c r="O472" s="14"/>
    </row>
    <row r="473">
      <c r="B473" s="53"/>
      <c r="C473" s="14"/>
      <c r="D473" s="14"/>
      <c r="E473" s="14"/>
      <c r="F473" s="14"/>
      <c r="G473" s="14"/>
      <c r="H473" s="14"/>
      <c r="I473" s="14"/>
      <c r="J473" s="14"/>
      <c r="K473" s="14"/>
      <c r="L473" s="14"/>
      <c r="M473" s="14"/>
      <c r="N473" s="25"/>
      <c r="O473" s="14"/>
    </row>
    <row r="474">
      <c r="B474" s="53"/>
      <c r="C474" s="14"/>
      <c r="D474" s="14"/>
      <c r="E474" s="14"/>
      <c r="F474" s="14"/>
      <c r="G474" s="14"/>
      <c r="H474" s="14"/>
      <c r="I474" s="14"/>
      <c r="J474" s="14"/>
      <c r="K474" s="14"/>
      <c r="L474" s="14"/>
      <c r="M474" s="14"/>
      <c r="N474" s="25"/>
      <c r="O474" s="14"/>
    </row>
    <row r="475">
      <c r="B475" s="53"/>
      <c r="C475" s="14"/>
      <c r="D475" s="14"/>
      <c r="E475" s="14"/>
      <c r="F475" s="14"/>
      <c r="G475" s="14"/>
      <c r="H475" s="14"/>
      <c r="I475" s="14"/>
      <c r="J475" s="14"/>
      <c r="K475" s="14"/>
      <c r="L475" s="14"/>
      <c r="M475" s="14"/>
      <c r="N475" s="25"/>
      <c r="O475" s="14"/>
    </row>
    <row r="476">
      <c r="B476" s="53"/>
      <c r="C476" s="14"/>
      <c r="D476" s="14"/>
      <c r="E476" s="14"/>
      <c r="F476" s="14"/>
      <c r="G476" s="14"/>
      <c r="H476" s="14"/>
      <c r="I476" s="14"/>
      <c r="J476" s="14"/>
      <c r="K476" s="14"/>
      <c r="L476" s="14"/>
      <c r="M476" s="14"/>
      <c r="N476" s="25"/>
      <c r="O476" s="14"/>
    </row>
    <row r="477">
      <c r="B477" s="53"/>
      <c r="C477" s="14"/>
      <c r="D477" s="14"/>
      <c r="E477" s="14"/>
      <c r="F477" s="14"/>
      <c r="G477" s="14"/>
      <c r="H477" s="14"/>
      <c r="I477" s="14"/>
      <c r="J477" s="14"/>
      <c r="K477" s="14"/>
      <c r="L477" s="14"/>
      <c r="M477" s="14"/>
      <c r="N477" s="25"/>
      <c r="O477" s="14"/>
    </row>
    <row r="478">
      <c r="B478" s="53"/>
      <c r="C478" s="14"/>
      <c r="D478" s="14"/>
      <c r="E478" s="14"/>
      <c r="F478" s="14"/>
      <c r="G478" s="14"/>
      <c r="H478" s="14"/>
      <c r="I478" s="14"/>
      <c r="J478" s="14"/>
      <c r="K478" s="14"/>
      <c r="L478" s="14"/>
      <c r="M478" s="14"/>
      <c r="N478" s="25"/>
      <c r="O478" s="14"/>
    </row>
    <row r="479">
      <c r="B479" s="53"/>
      <c r="C479" s="14"/>
      <c r="D479" s="14"/>
      <c r="E479" s="14"/>
      <c r="F479" s="14"/>
      <c r="G479" s="14"/>
      <c r="H479" s="14"/>
      <c r="I479" s="14"/>
      <c r="J479" s="14"/>
      <c r="K479" s="14"/>
      <c r="L479" s="14"/>
      <c r="M479" s="14"/>
      <c r="N479" s="25"/>
      <c r="O479" s="14"/>
    </row>
    <row r="480">
      <c r="B480" s="53"/>
      <c r="C480" s="14"/>
      <c r="D480" s="14"/>
      <c r="E480" s="14"/>
      <c r="F480" s="14"/>
      <c r="G480" s="14"/>
      <c r="H480" s="14"/>
      <c r="I480" s="14"/>
      <c r="J480" s="14"/>
      <c r="K480" s="14"/>
      <c r="L480" s="14"/>
      <c r="M480" s="14"/>
      <c r="N480" s="25"/>
      <c r="O480" s="14"/>
    </row>
    <row r="481">
      <c r="B481" s="53"/>
      <c r="C481" s="14"/>
      <c r="D481" s="14"/>
      <c r="E481" s="14"/>
      <c r="F481" s="14"/>
      <c r="G481" s="14"/>
      <c r="H481" s="14"/>
      <c r="I481" s="14"/>
      <c r="J481" s="14"/>
      <c r="K481" s="14"/>
      <c r="L481" s="14"/>
      <c r="M481" s="14"/>
      <c r="N481" s="25"/>
      <c r="O481" s="14"/>
    </row>
    <row r="482">
      <c r="B482" s="53"/>
      <c r="C482" s="14"/>
      <c r="D482" s="14"/>
      <c r="E482" s="14"/>
      <c r="F482" s="14"/>
      <c r="G482" s="14"/>
      <c r="H482" s="14"/>
      <c r="I482" s="14"/>
      <c r="J482" s="14"/>
      <c r="K482" s="14"/>
      <c r="L482" s="14"/>
      <c r="M482" s="14"/>
      <c r="N482" s="25"/>
      <c r="O482" s="14"/>
    </row>
    <row r="483">
      <c r="B483" s="53"/>
      <c r="C483" s="14"/>
      <c r="D483" s="14"/>
      <c r="E483" s="14"/>
      <c r="F483" s="14"/>
      <c r="G483" s="14"/>
      <c r="H483" s="14"/>
      <c r="I483" s="14"/>
      <c r="J483" s="14"/>
      <c r="K483" s="14"/>
      <c r="L483" s="14"/>
      <c r="M483" s="14"/>
      <c r="N483" s="25"/>
      <c r="O483" s="14"/>
    </row>
    <row r="484">
      <c r="B484" s="53"/>
      <c r="C484" s="14"/>
      <c r="D484" s="14"/>
      <c r="E484" s="14"/>
      <c r="F484" s="14"/>
      <c r="G484" s="14"/>
      <c r="H484" s="14"/>
      <c r="I484" s="14"/>
      <c r="J484" s="14"/>
      <c r="K484" s="14"/>
      <c r="L484" s="14"/>
      <c r="M484" s="14"/>
      <c r="N484" s="25"/>
      <c r="O484" s="14"/>
    </row>
    <row r="485">
      <c r="B485" s="53"/>
      <c r="C485" s="14"/>
      <c r="D485" s="14"/>
      <c r="E485" s="14"/>
      <c r="F485" s="14"/>
      <c r="G485" s="14"/>
      <c r="H485" s="14"/>
      <c r="I485" s="14"/>
      <c r="J485" s="14"/>
      <c r="K485" s="14"/>
      <c r="L485" s="14"/>
      <c r="M485" s="14"/>
      <c r="N485" s="25"/>
      <c r="O485" s="14"/>
    </row>
    <row r="486">
      <c r="B486" s="53"/>
      <c r="C486" s="14"/>
      <c r="D486" s="14"/>
      <c r="E486" s="14"/>
      <c r="F486" s="14"/>
      <c r="G486" s="14"/>
      <c r="H486" s="14"/>
      <c r="I486" s="14"/>
      <c r="J486" s="14"/>
      <c r="K486" s="14"/>
      <c r="L486" s="14"/>
      <c r="M486" s="14"/>
      <c r="N486" s="25"/>
      <c r="O486" s="14"/>
    </row>
    <row r="487">
      <c r="B487" s="53"/>
      <c r="C487" s="14"/>
      <c r="D487" s="14"/>
      <c r="E487" s="14"/>
      <c r="F487" s="14"/>
      <c r="G487" s="14"/>
      <c r="H487" s="14"/>
      <c r="I487" s="14"/>
      <c r="J487" s="14"/>
      <c r="K487" s="14"/>
      <c r="L487" s="14"/>
      <c r="M487" s="14"/>
      <c r="N487" s="25"/>
      <c r="O487" s="14"/>
    </row>
    <row r="488">
      <c r="B488" s="53"/>
      <c r="C488" s="14"/>
      <c r="D488" s="14"/>
      <c r="E488" s="14"/>
      <c r="F488" s="14"/>
      <c r="G488" s="14"/>
      <c r="H488" s="14"/>
      <c r="I488" s="14"/>
      <c r="J488" s="14"/>
      <c r="K488" s="14"/>
      <c r="L488" s="14"/>
      <c r="M488" s="14"/>
      <c r="N488" s="25"/>
      <c r="O488" s="14"/>
    </row>
    <row r="489">
      <c r="B489" s="53"/>
      <c r="C489" s="14"/>
      <c r="D489" s="14"/>
      <c r="E489" s="14"/>
      <c r="F489" s="14"/>
      <c r="G489" s="14"/>
      <c r="H489" s="14"/>
      <c r="I489" s="14"/>
      <c r="J489" s="14"/>
      <c r="K489" s="14"/>
      <c r="L489" s="14"/>
      <c r="M489" s="14"/>
      <c r="N489" s="25"/>
      <c r="O489" s="14"/>
    </row>
    <row r="490">
      <c r="B490" s="53"/>
      <c r="C490" s="14"/>
      <c r="D490" s="14"/>
      <c r="E490" s="14"/>
      <c r="F490" s="14"/>
      <c r="G490" s="14"/>
      <c r="H490" s="14"/>
      <c r="I490" s="14"/>
      <c r="J490" s="14"/>
      <c r="K490" s="14"/>
      <c r="L490" s="14"/>
      <c r="M490" s="14"/>
      <c r="N490" s="25"/>
      <c r="O490" s="14"/>
    </row>
    <row r="491">
      <c r="B491" s="53"/>
      <c r="C491" s="14"/>
      <c r="D491" s="14"/>
      <c r="E491" s="14"/>
      <c r="F491" s="14"/>
      <c r="G491" s="14"/>
      <c r="H491" s="14"/>
      <c r="I491" s="14"/>
      <c r="J491" s="14"/>
      <c r="K491" s="14"/>
      <c r="L491" s="14"/>
      <c r="M491" s="14"/>
      <c r="N491" s="25"/>
      <c r="O491" s="14"/>
    </row>
    <row r="492">
      <c r="B492" s="53"/>
      <c r="C492" s="14"/>
      <c r="D492" s="14"/>
      <c r="E492" s="14"/>
      <c r="F492" s="14"/>
      <c r="G492" s="14"/>
      <c r="H492" s="14"/>
      <c r="I492" s="14"/>
      <c r="J492" s="14"/>
      <c r="K492" s="14"/>
      <c r="L492" s="14"/>
      <c r="M492" s="14"/>
      <c r="N492" s="25"/>
      <c r="O492" s="14"/>
    </row>
    <row r="493">
      <c r="B493" s="53"/>
      <c r="C493" s="14"/>
      <c r="D493" s="14"/>
      <c r="E493" s="14"/>
      <c r="F493" s="14"/>
      <c r="G493" s="14"/>
      <c r="H493" s="14"/>
      <c r="I493" s="14"/>
      <c r="J493" s="14"/>
      <c r="K493" s="14"/>
      <c r="L493" s="14"/>
      <c r="M493" s="14"/>
      <c r="N493" s="25"/>
      <c r="O493" s="14"/>
    </row>
    <row r="494">
      <c r="B494" s="53"/>
      <c r="C494" s="14"/>
      <c r="D494" s="14"/>
      <c r="E494" s="14"/>
      <c r="F494" s="14"/>
      <c r="G494" s="14"/>
      <c r="H494" s="14"/>
      <c r="I494" s="14"/>
      <c r="J494" s="14"/>
      <c r="K494" s="14"/>
      <c r="L494" s="14"/>
      <c r="M494" s="14"/>
      <c r="N494" s="25"/>
      <c r="O494" s="14"/>
    </row>
    <row r="495">
      <c r="B495" s="53"/>
      <c r="C495" s="14"/>
      <c r="D495" s="14"/>
      <c r="E495" s="14"/>
      <c r="F495" s="14"/>
      <c r="G495" s="14"/>
      <c r="H495" s="14"/>
      <c r="I495" s="14"/>
      <c r="J495" s="14"/>
      <c r="K495" s="14"/>
      <c r="L495" s="14"/>
      <c r="M495" s="14"/>
      <c r="N495" s="25"/>
      <c r="O495" s="14"/>
    </row>
    <row r="496">
      <c r="B496" s="53"/>
      <c r="C496" s="14"/>
      <c r="D496" s="14"/>
      <c r="E496" s="14"/>
      <c r="F496" s="14"/>
      <c r="G496" s="14"/>
      <c r="H496" s="14"/>
      <c r="I496" s="14"/>
      <c r="J496" s="14"/>
      <c r="K496" s="14"/>
      <c r="L496" s="14"/>
      <c r="M496" s="14"/>
      <c r="N496" s="25"/>
      <c r="O496" s="14"/>
    </row>
    <row r="497">
      <c r="B497" s="53"/>
      <c r="C497" s="14"/>
      <c r="D497" s="14"/>
      <c r="E497" s="14"/>
      <c r="F497" s="14"/>
      <c r="G497" s="14"/>
      <c r="H497" s="14"/>
      <c r="I497" s="14"/>
      <c r="J497" s="14"/>
      <c r="K497" s="14"/>
      <c r="L497" s="14"/>
      <c r="M497" s="14"/>
      <c r="N497" s="25"/>
      <c r="O497" s="14"/>
    </row>
    <row r="498">
      <c r="B498" s="53"/>
      <c r="C498" s="14"/>
      <c r="D498" s="14"/>
      <c r="E498" s="14"/>
      <c r="F498" s="14"/>
      <c r="G498" s="14"/>
      <c r="H498" s="14"/>
      <c r="I498" s="14"/>
      <c r="J498" s="14"/>
      <c r="K498" s="14"/>
      <c r="L498" s="14"/>
      <c r="M498" s="14"/>
      <c r="N498" s="25"/>
      <c r="O498" s="14"/>
    </row>
    <row r="499">
      <c r="B499" s="53"/>
      <c r="C499" s="14"/>
      <c r="D499" s="14"/>
      <c r="E499" s="14"/>
      <c r="F499" s="14"/>
      <c r="G499" s="14"/>
      <c r="H499" s="14"/>
      <c r="I499" s="14"/>
      <c r="J499" s="14"/>
      <c r="K499" s="14"/>
      <c r="L499" s="14"/>
      <c r="M499" s="14"/>
      <c r="N499" s="25"/>
      <c r="O499" s="14"/>
    </row>
    <row r="500">
      <c r="B500" s="53"/>
      <c r="C500" s="14"/>
      <c r="D500" s="14"/>
      <c r="E500" s="14"/>
      <c r="F500" s="14"/>
      <c r="G500" s="14"/>
      <c r="H500" s="14"/>
      <c r="I500" s="14"/>
      <c r="J500" s="14"/>
      <c r="K500" s="14"/>
      <c r="L500" s="14"/>
      <c r="M500" s="14"/>
      <c r="N500" s="25"/>
      <c r="O500" s="14"/>
    </row>
    <row r="501">
      <c r="B501" s="53"/>
      <c r="C501" s="14"/>
      <c r="D501" s="14"/>
      <c r="E501" s="14"/>
      <c r="F501" s="14"/>
      <c r="G501" s="14"/>
      <c r="H501" s="14"/>
      <c r="I501" s="14"/>
      <c r="J501" s="14"/>
      <c r="K501" s="14"/>
      <c r="L501" s="14"/>
      <c r="M501" s="14"/>
      <c r="N501" s="25"/>
      <c r="O501" s="14"/>
    </row>
    <row r="502">
      <c r="B502" s="53"/>
      <c r="C502" s="14"/>
      <c r="D502" s="14"/>
      <c r="E502" s="14"/>
      <c r="F502" s="14"/>
      <c r="G502" s="14"/>
      <c r="H502" s="14"/>
      <c r="I502" s="14"/>
      <c r="J502" s="14"/>
      <c r="K502" s="14"/>
      <c r="L502" s="14"/>
      <c r="M502" s="14"/>
      <c r="N502" s="25"/>
      <c r="O502" s="14"/>
    </row>
    <row r="503">
      <c r="B503" s="53"/>
      <c r="C503" s="14"/>
      <c r="D503" s="14"/>
      <c r="E503" s="14"/>
      <c r="F503" s="14"/>
      <c r="G503" s="14"/>
      <c r="H503" s="14"/>
      <c r="I503" s="14"/>
      <c r="J503" s="14"/>
      <c r="K503" s="14"/>
      <c r="L503" s="14"/>
      <c r="M503" s="14"/>
      <c r="N503" s="25"/>
      <c r="O503" s="14"/>
    </row>
    <row r="504">
      <c r="B504" s="53"/>
      <c r="C504" s="14"/>
      <c r="D504" s="14"/>
      <c r="E504" s="14"/>
      <c r="F504" s="14"/>
      <c r="G504" s="14"/>
      <c r="H504" s="14"/>
      <c r="I504" s="14"/>
      <c r="J504" s="14"/>
      <c r="K504" s="14"/>
      <c r="L504" s="14"/>
      <c r="M504" s="14"/>
      <c r="N504" s="25"/>
      <c r="O504" s="14"/>
    </row>
    <row r="505">
      <c r="B505" s="53"/>
      <c r="C505" s="14"/>
      <c r="D505" s="14"/>
      <c r="E505" s="14"/>
      <c r="F505" s="14"/>
      <c r="G505" s="14"/>
      <c r="H505" s="14"/>
      <c r="I505" s="14"/>
      <c r="J505" s="14"/>
      <c r="K505" s="14"/>
      <c r="L505" s="14"/>
      <c r="M505" s="14"/>
      <c r="N505" s="25"/>
      <c r="O505" s="14"/>
    </row>
    <row r="506">
      <c r="B506" s="53"/>
      <c r="C506" s="14"/>
      <c r="D506" s="14"/>
      <c r="E506" s="14"/>
      <c r="F506" s="14"/>
      <c r="G506" s="14"/>
      <c r="H506" s="14"/>
      <c r="I506" s="14"/>
      <c r="J506" s="14"/>
      <c r="K506" s="14"/>
      <c r="L506" s="14"/>
      <c r="M506" s="14"/>
      <c r="N506" s="25"/>
      <c r="O506" s="14"/>
    </row>
    <row r="507">
      <c r="B507" s="53"/>
      <c r="C507" s="14"/>
      <c r="D507" s="14"/>
      <c r="E507" s="14"/>
      <c r="F507" s="14"/>
      <c r="G507" s="14"/>
      <c r="H507" s="14"/>
      <c r="I507" s="14"/>
      <c r="J507" s="14"/>
      <c r="K507" s="14"/>
      <c r="L507" s="14"/>
      <c r="M507" s="14"/>
      <c r="N507" s="25"/>
      <c r="O507" s="14"/>
    </row>
    <row r="508">
      <c r="B508" s="53"/>
      <c r="C508" s="14"/>
      <c r="D508" s="14"/>
      <c r="E508" s="14"/>
      <c r="F508" s="14"/>
      <c r="G508" s="14"/>
      <c r="H508" s="14"/>
      <c r="I508" s="14"/>
      <c r="J508" s="14"/>
      <c r="K508" s="14"/>
      <c r="L508" s="14"/>
      <c r="M508" s="14"/>
      <c r="N508" s="25"/>
      <c r="O508" s="14"/>
    </row>
    <row r="509">
      <c r="B509" s="53"/>
      <c r="C509" s="14"/>
      <c r="D509" s="14"/>
      <c r="E509" s="14"/>
      <c r="F509" s="14"/>
      <c r="G509" s="14"/>
      <c r="H509" s="14"/>
      <c r="I509" s="14"/>
      <c r="J509" s="14"/>
      <c r="K509" s="14"/>
      <c r="L509" s="14"/>
      <c r="M509" s="14"/>
      <c r="N509" s="25"/>
      <c r="O509" s="14"/>
    </row>
    <row r="510">
      <c r="B510" s="53"/>
      <c r="C510" s="14"/>
      <c r="D510" s="14"/>
      <c r="E510" s="14"/>
      <c r="F510" s="14"/>
      <c r="G510" s="14"/>
      <c r="H510" s="14"/>
      <c r="I510" s="14"/>
      <c r="J510" s="14"/>
      <c r="K510" s="14"/>
      <c r="L510" s="14"/>
      <c r="M510" s="14"/>
      <c r="N510" s="25"/>
      <c r="O510" s="14"/>
    </row>
    <row r="511">
      <c r="B511" s="53"/>
      <c r="C511" s="14"/>
      <c r="D511" s="14"/>
      <c r="E511" s="14"/>
      <c r="F511" s="14"/>
      <c r="G511" s="14"/>
      <c r="H511" s="14"/>
      <c r="I511" s="14"/>
      <c r="J511" s="14"/>
      <c r="K511" s="14"/>
      <c r="L511" s="14"/>
      <c r="M511" s="14"/>
      <c r="N511" s="25"/>
      <c r="O511" s="14"/>
    </row>
    <row r="512">
      <c r="B512" s="53"/>
      <c r="C512" s="14"/>
      <c r="D512" s="14"/>
      <c r="E512" s="14"/>
      <c r="F512" s="14"/>
      <c r="G512" s="14"/>
      <c r="H512" s="14"/>
      <c r="I512" s="14"/>
      <c r="J512" s="14"/>
      <c r="K512" s="14"/>
      <c r="L512" s="14"/>
      <c r="M512" s="14"/>
      <c r="N512" s="25"/>
      <c r="O512" s="14"/>
    </row>
    <row r="513">
      <c r="B513" s="53"/>
      <c r="C513" s="14"/>
      <c r="D513" s="14"/>
      <c r="E513" s="14"/>
      <c r="F513" s="14"/>
      <c r="G513" s="14"/>
      <c r="H513" s="14"/>
      <c r="I513" s="14"/>
      <c r="J513" s="14"/>
      <c r="K513" s="14"/>
      <c r="L513" s="14"/>
      <c r="M513" s="14"/>
      <c r="N513" s="25"/>
      <c r="O513" s="14"/>
    </row>
    <row r="514">
      <c r="B514" s="53"/>
      <c r="C514" s="14"/>
      <c r="D514" s="14"/>
      <c r="E514" s="14"/>
      <c r="F514" s="14"/>
      <c r="G514" s="14"/>
      <c r="H514" s="14"/>
      <c r="I514" s="14"/>
      <c r="J514" s="14"/>
      <c r="K514" s="14"/>
      <c r="L514" s="14"/>
      <c r="M514" s="14"/>
      <c r="N514" s="25"/>
      <c r="O514" s="14"/>
    </row>
    <row r="515">
      <c r="B515" s="53"/>
      <c r="C515" s="14"/>
      <c r="D515" s="14"/>
      <c r="E515" s="14"/>
      <c r="F515" s="14"/>
      <c r="G515" s="14"/>
      <c r="H515" s="14"/>
      <c r="I515" s="14"/>
      <c r="J515" s="14"/>
      <c r="K515" s="14"/>
      <c r="L515" s="14"/>
      <c r="M515" s="14"/>
      <c r="N515" s="25"/>
      <c r="O515" s="14"/>
    </row>
    <row r="516">
      <c r="B516" s="53"/>
      <c r="C516" s="14"/>
      <c r="D516" s="14"/>
      <c r="E516" s="14"/>
      <c r="F516" s="14"/>
      <c r="G516" s="14"/>
      <c r="H516" s="14"/>
      <c r="I516" s="14"/>
      <c r="J516" s="14"/>
      <c r="K516" s="14"/>
      <c r="L516" s="14"/>
      <c r="M516" s="14"/>
      <c r="N516" s="25"/>
      <c r="O516" s="14"/>
    </row>
    <row r="517">
      <c r="B517" s="53"/>
      <c r="C517" s="14"/>
      <c r="D517" s="14"/>
      <c r="E517" s="14"/>
      <c r="F517" s="14"/>
      <c r="G517" s="14"/>
      <c r="H517" s="14"/>
      <c r="I517" s="14"/>
      <c r="J517" s="14"/>
      <c r="K517" s="14"/>
      <c r="L517" s="14"/>
      <c r="M517" s="14"/>
      <c r="N517" s="25"/>
      <c r="O517" s="14"/>
    </row>
    <row r="518">
      <c r="B518" s="53"/>
      <c r="C518" s="14"/>
      <c r="D518" s="14"/>
      <c r="E518" s="14"/>
      <c r="F518" s="14"/>
      <c r="G518" s="14"/>
      <c r="H518" s="14"/>
      <c r="I518" s="14"/>
      <c r="J518" s="14"/>
      <c r="K518" s="14"/>
      <c r="L518" s="14"/>
      <c r="M518" s="14"/>
      <c r="N518" s="25"/>
      <c r="O518" s="14"/>
    </row>
    <row r="519">
      <c r="B519" s="53"/>
      <c r="C519" s="14"/>
      <c r="D519" s="14"/>
      <c r="E519" s="14"/>
      <c r="F519" s="14"/>
      <c r="G519" s="14"/>
      <c r="H519" s="14"/>
      <c r="I519" s="14"/>
      <c r="J519" s="14"/>
      <c r="K519" s="14"/>
      <c r="L519" s="14"/>
      <c r="M519" s="14"/>
      <c r="N519" s="25"/>
      <c r="O519" s="14"/>
    </row>
    <row r="520">
      <c r="B520" s="53"/>
      <c r="C520" s="14"/>
      <c r="D520" s="14"/>
      <c r="E520" s="14"/>
      <c r="F520" s="14"/>
      <c r="G520" s="14"/>
      <c r="H520" s="14"/>
      <c r="I520" s="14"/>
      <c r="J520" s="14"/>
      <c r="K520" s="14"/>
      <c r="L520" s="14"/>
      <c r="M520" s="14"/>
      <c r="N520" s="25"/>
      <c r="O520" s="14"/>
    </row>
    <row r="521">
      <c r="B521" s="53"/>
      <c r="C521" s="14"/>
      <c r="D521" s="14"/>
      <c r="E521" s="14"/>
      <c r="F521" s="14"/>
      <c r="G521" s="14"/>
      <c r="H521" s="14"/>
      <c r="I521" s="14"/>
      <c r="J521" s="14"/>
      <c r="K521" s="14"/>
      <c r="L521" s="14"/>
      <c r="M521" s="14"/>
      <c r="N521" s="25"/>
      <c r="O521" s="14"/>
    </row>
    <row r="522">
      <c r="B522" s="53"/>
      <c r="C522" s="14"/>
      <c r="D522" s="14"/>
      <c r="E522" s="14"/>
      <c r="F522" s="14"/>
      <c r="G522" s="14"/>
      <c r="H522" s="14"/>
      <c r="I522" s="14"/>
      <c r="J522" s="14"/>
      <c r="K522" s="14"/>
      <c r="L522" s="14"/>
      <c r="M522" s="14"/>
      <c r="N522" s="25"/>
      <c r="O522" s="14"/>
    </row>
    <row r="523">
      <c r="B523" s="53"/>
      <c r="C523" s="14"/>
      <c r="D523" s="14"/>
      <c r="E523" s="14"/>
      <c r="F523" s="14"/>
      <c r="G523" s="14"/>
      <c r="H523" s="14"/>
      <c r="I523" s="14"/>
      <c r="J523" s="14"/>
      <c r="K523" s="14"/>
      <c r="L523" s="14"/>
      <c r="M523" s="14"/>
      <c r="N523" s="25"/>
      <c r="O523" s="14"/>
    </row>
    <row r="524">
      <c r="B524" s="53"/>
      <c r="C524" s="14"/>
      <c r="D524" s="14"/>
      <c r="E524" s="14"/>
      <c r="F524" s="14"/>
      <c r="G524" s="14"/>
      <c r="H524" s="14"/>
      <c r="I524" s="14"/>
      <c r="J524" s="14"/>
      <c r="K524" s="14"/>
      <c r="L524" s="14"/>
      <c r="M524" s="14"/>
      <c r="N524" s="25"/>
      <c r="O524" s="14"/>
    </row>
    <row r="525">
      <c r="B525" s="53"/>
      <c r="C525" s="14"/>
      <c r="D525" s="14"/>
      <c r="E525" s="14"/>
      <c r="F525" s="14"/>
      <c r="G525" s="14"/>
      <c r="H525" s="14"/>
      <c r="I525" s="14"/>
      <c r="J525" s="14"/>
      <c r="K525" s="14"/>
      <c r="L525" s="14"/>
      <c r="M525" s="14"/>
      <c r="N525" s="25"/>
      <c r="O525" s="14"/>
    </row>
    <row r="526">
      <c r="B526" s="53"/>
      <c r="C526" s="14"/>
      <c r="D526" s="14"/>
      <c r="E526" s="14"/>
      <c r="F526" s="14"/>
      <c r="G526" s="14"/>
      <c r="H526" s="14"/>
      <c r="I526" s="14"/>
      <c r="J526" s="14"/>
      <c r="K526" s="14"/>
      <c r="L526" s="14"/>
      <c r="M526" s="14"/>
      <c r="N526" s="25"/>
      <c r="O526" s="14"/>
    </row>
    <row r="527">
      <c r="B527" s="53"/>
      <c r="C527" s="14"/>
      <c r="D527" s="14"/>
      <c r="E527" s="14"/>
      <c r="F527" s="14"/>
      <c r="G527" s="14"/>
      <c r="H527" s="14"/>
      <c r="I527" s="14"/>
      <c r="J527" s="14"/>
      <c r="K527" s="14"/>
      <c r="L527" s="14"/>
      <c r="M527" s="14"/>
      <c r="N527" s="25"/>
      <c r="O527" s="14"/>
    </row>
    <row r="528">
      <c r="B528" s="53"/>
      <c r="C528" s="14"/>
      <c r="D528" s="14"/>
      <c r="E528" s="14"/>
      <c r="F528" s="14"/>
      <c r="G528" s="14"/>
      <c r="H528" s="14"/>
      <c r="I528" s="14"/>
      <c r="J528" s="14"/>
      <c r="K528" s="14"/>
      <c r="L528" s="14"/>
      <c r="M528" s="14"/>
      <c r="N528" s="25"/>
      <c r="O528" s="14"/>
    </row>
    <row r="529">
      <c r="B529" s="53"/>
      <c r="C529" s="14"/>
      <c r="D529" s="14"/>
      <c r="E529" s="14"/>
      <c r="F529" s="14"/>
      <c r="G529" s="14"/>
      <c r="H529" s="14"/>
      <c r="I529" s="14"/>
      <c r="J529" s="14"/>
      <c r="K529" s="14"/>
      <c r="L529" s="14"/>
      <c r="M529" s="14"/>
      <c r="N529" s="25"/>
      <c r="O529" s="14"/>
    </row>
    <row r="530">
      <c r="B530" s="53"/>
      <c r="C530" s="14"/>
      <c r="D530" s="14"/>
      <c r="E530" s="14"/>
      <c r="F530" s="14"/>
      <c r="G530" s="14"/>
      <c r="H530" s="14"/>
      <c r="I530" s="14"/>
      <c r="J530" s="14"/>
      <c r="K530" s="14"/>
      <c r="L530" s="14"/>
      <c r="M530" s="14"/>
      <c r="N530" s="25"/>
      <c r="O530" s="14"/>
    </row>
    <row r="531">
      <c r="B531" s="53"/>
      <c r="C531" s="14"/>
      <c r="D531" s="14"/>
      <c r="E531" s="14"/>
      <c r="F531" s="14"/>
      <c r="G531" s="14"/>
      <c r="H531" s="14"/>
      <c r="I531" s="14"/>
      <c r="J531" s="14"/>
      <c r="K531" s="14"/>
      <c r="L531" s="14"/>
      <c r="M531" s="14"/>
      <c r="N531" s="25"/>
      <c r="O531" s="14"/>
    </row>
    <row r="532">
      <c r="B532" s="53"/>
      <c r="C532" s="14"/>
      <c r="D532" s="14"/>
      <c r="E532" s="14"/>
      <c r="F532" s="14"/>
      <c r="G532" s="14"/>
      <c r="H532" s="14"/>
      <c r="I532" s="14"/>
      <c r="J532" s="14"/>
      <c r="K532" s="14"/>
      <c r="L532" s="14"/>
      <c r="M532" s="14"/>
      <c r="N532" s="25"/>
      <c r="O532" s="14"/>
    </row>
    <row r="533">
      <c r="B533" s="53"/>
      <c r="C533" s="14"/>
      <c r="D533" s="14"/>
      <c r="E533" s="14"/>
      <c r="F533" s="14"/>
      <c r="G533" s="14"/>
      <c r="H533" s="14"/>
      <c r="I533" s="14"/>
      <c r="J533" s="14"/>
      <c r="K533" s="14"/>
      <c r="L533" s="14"/>
      <c r="M533" s="14"/>
      <c r="N533" s="25"/>
      <c r="O533" s="14"/>
    </row>
    <row r="534">
      <c r="B534" s="53"/>
      <c r="C534" s="14"/>
      <c r="D534" s="14"/>
      <c r="E534" s="14"/>
      <c r="F534" s="14"/>
      <c r="G534" s="14"/>
      <c r="H534" s="14"/>
      <c r="I534" s="14"/>
      <c r="J534" s="14"/>
      <c r="K534" s="14"/>
      <c r="L534" s="14"/>
      <c r="M534" s="14"/>
      <c r="N534" s="25"/>
      <c r="O534" s="14"/>
    </row>
    <row r="535">
      <c r="B535" s="53"/>
      <c r="C535" s="14"/>
      <c r="D535" s="14"/>
      <c r="E535" s="14"/>
      <c r="F535" s="14"/>
      <c r="G535" s="14"/>
      <c r="H535" s="14"/>
      <c r="I535" s="14"/>
      <c r="J535" s="14"/>
      <c r="K535" s="14"/>
      <c r="L535" s="14"/>
      <c r="M535" s="14"/>
      <c r="N535" s="25"/>
      <c r="O535" s="14"/>
    </row>
    <row r="536">
      <c r="B536" s="53"/>
      <c r="C536" s="14"/>
      <c r="D536" s="14"/>
      <c r="E536" s="14"/>
      <c r="F536" s="14"/>
      <c r="G536" s="14"/>
      <c r="H536" s="14"/>
      <c r="I536" s="14"/>
      <c r="J536" s="14"/>
      <c r="K536" s="14"/>
      <c r="L536" s="14"/>
      <c r="M536" s="14"/>
      <c r="N536" s="25"/>
      <c r="O536" s="14"/>
    </row>
    <row r="537">
      <c r="B537" s="53"/>
      <c r="C537" s="14"/>
      <c r="D537" s="14"/>
      <c r="E537" s="14"/>
      <c r="F537" s="14"/>
      <c r="G537" s="14"/>
      <c r="H537" s="14"/>
      <c r="I537" s="14"/>
      <c r="J537" s="14"/>
      <c r="K537" s="14"/>
      <c r="L537" s="14"/>
      <c r="M537" s="14"/>
      <c r="N537" s="25"/>
      <c r="O537" s="14"/>
    </row>
    <row r="538">
      <c r="B538" s="53"/>
      <c r="C538" s="14"/>
      <c r="D538" s="14"/>
      <c r="E538" s="14"/>
      <c r="F538" s="14"/>
      <c r="G538" s="14"/>
      <c r="H538" s="14"/>
      <c r="I538" s="14"/>
      <c r="J538" s="14"/>
      <c r="K538" s="14"/>
      <c r="L538" s="14"/>
      <c r="M538" s="14"/>
      <c r="N538" s="25"/>
      <c r="O538" s="14"/>
    </row>
    <row r="539">
      <c r="B539" s="53"/>
      <c r="C539" s="14"/>
      <c r="D539" s="14"/>
      <c r="E539" s="14"/>
      <c r="F539" s="14"/>
      <c r="G539" s="14"/>
      <c r="H539" s="14"/>
      <c r="I539" s="14"/>
      <c r="J539" s="14"/>
      <c r="K539" s="14"/>
      <c r="L539" s="14"/>
      <c r="M539" s="14"/>
      <c r="N539" s="25"/>
      <c r="O539" s="14"/>
    </row>
    <row r="540">
      <c r="B540" s="53"/>
      <c r="C540" s="14"/>
      <c r="D540" s="14"/>
      <c r="E540" s="14"/>
      <c r="F540" s="14"/>
      <c r="G540" s="14"/>
      <c r="H540" s="14"/>
      <c r="I540" s="14"/>
      <c r="J540" s="14"/>
      <c r="K540" s="14"/>
      <c r="L540" s="14"/>
      <c r="M540" s="14"/>
      <c r="N540" s="25"/>
      <c r="O540" s="14"/>
    </row>
    <row r="541">
      <c r="B541" s="53"/>
      <c r="C541" s="14"/>
      <c r="D541" s="14"/>
      <c r="E541" s="14"/>
      <c r="F541" s="14"/>
      <c r="G541" s="14"/>
      <c r="H541" s="14"/>
      <c r="I541" s="14"/>
      <c r="J541" s="14"/>
      <c r="K541" s="14"/>
      <c r="L541" s="14"/>
      <c r="M541" s="14"/>
      <c r="N541" s="25"/>
      <c r="O541" s="14"/>
    </row>
    <row r="542">
      <c r="B542" s="53"/>
      <c r="C542" s="14"/>
      <c r="D542" s="14"/>
      <c r="E542" s="14"/>
      <c r="F542" s="14"/>
      <c r="G542" s="14"/>
      <c r="H542" s="14"/>
      <c r="I542" s="14"/>
      <c r="J542" s="14"/>
      <c r="K542" s="14"/>
      <c r="L542" s="14"/>
      <c r="M542" s="14"/>
      <c r="N542" s="25"/>
      <c r="O542" s="14"/>
    </row>
    <row r="543">
      <c r="B543" s="53"/>
      <c r="C543" s="14"/>
      <c r="D543" s="14"/>
      <c r="E543" s="14"/>
      <c r="F543" s="14"/>
      <c r="G543" s="14"/>
      <c r="H543" s="14"/>
      <c r="I543" s="14"/>
      <c r="J543" s="14"/>
      <c r="K543" s="14"/>
      <c r="L543" s="14"/>
      <c r="M543" s="14"/>
      <c r="N543" s="25"/>
      <c r="O543" s="14"/>
    </row>
    <row r="544">
      <c r="B544" s="53"/>
      <c r="C544" s="14"/>
      <c r="D544" s="14"/>
      <c r="E544" s="14"/>
      <c r="F544" s="14"/>
      <c r="G544" s="14"/>
      <c r="H544" s="14"/>
      <c r="I544" s="14"/>
      <c r="J544" s="14"/>
      <c r="K544" s="14"/>
      <c r="L544" s="14"/>
      <c r="M544" s="14"/>
      <c r="N544" s="25"/>
      <c r="O544" s="14"/>
    </row>
    <row r="545">
      <c r="B545" s="53"/>
      <c r="C545" s="14"/>
      <c r="D545" s="14"/>
      <c r="E545" s="14"/>
      <c r="F545" s="14"/>
      <c r="G545" s="14"/>
      <c r="H545" s="14"/>
      <c r="I545" s="14"/>
      <c r="J545" s="14"/>
      <c r="K545" s="14"/>
      <c r="L545" s="14"/>
      <c r="M545" s="14"/>
      <c r="N545" s="25"/>
      <c r="O545" s="14"/>
    </row>
    <row r="546">
      <c r="B546" s="53"/>
      <c r="C546" s="14"/>
      <c r="D546" s="14"/>
      <c r="E546" s="14"/>
      <c r="F546" s="14"/>
      <c r="G546" s="14"/>
      <c r="H546" s="14"/>
      <c r="I546" s="14"/>
      <c r="J546" s="14"/>
      <c r="K546" s="14"/>
      <c r="L546" s="14"/>
      <c r="M546" s="14"/>
      <c r="N546" s="25"/>
      <c r="O546" s="14"/>
    </row>
    <row r="547">
      <c r="B547" s="53"/>
      <c r="C547" s="14"/>
      <c r="D547" s="14"/>
      <c r="E547" s="14"/>
      <c r="F547" s="14"/>
      <c r="G547" s="14"/>
      <c r="H547" s="14"/>
      <c r="I547" s="14"/>
      <c r="J547" s="14"/>
      <c r="K547" s="14"/>
      <c r="L547" s="14"/>
      <c r="M547" s="14"/>
      <c r="N547" s="25"/>
      <c r="O547" s="14"/>
    </row>
    <row r="548">
      <c r="B548" s="53"/>
      <c r="C548" s="14"/>
      <c r="D548" s="14"/>
      <c r="E548" s="14"/>
      <c r="F548" s="14"/>
      <c r="G548" s="14"/>
      <c r="H548" s="14"/>
      <c r="I548" s="14"/>
      <c r="J548" s="14"/>
      <c r="K548" s="14"/>
      <c r="L548" s="14"/>
      <c r="M548" s="14"/>
      <c r="N548" s="25"/>
      <c r="O548" s="14"/>
    </row>
    <row r="549">
      <c r="B549" s="53"/>
      <c r="C549" s="14"/>
      <c r="D549" s="14"/>
      <c r="E549" s="14"/>
      <c r="F549" s="14"/>
      <c r="G549" s="14"/>
      <c r="H549" s="14"/>
      <c r="I549" s="14"/>
      <c r="J549" s="14"/>
      <c r="K549" s="14"/>
      <c r="L549" s="14"/>
      <c r="M549" s="14"/>
      <c r="N549" s="25"/>
      <c r="O549" s="14"/>
    </row>
    <row r="550">
      <c r="B550" s="53"/>
      <c r="C550" s="14"/>
      <c r="D550" s="14"/>
      <c r="E550" s="14"/>
      <c r="F550" s="14"/>
      <c r="G550" s="14"/>
      <c r="H550" s="14"/>
      <c r="I550" s="14"/>
      <c r="J550" s="14"/>
      <c r="K550" s="14"/>
      <c r="L550" s="14"/>
      <c r="M550" s="14"/>
      <c r="N550" s="25"/>
      <c r="O550" s="14"/>
    </row>
    <row r="551">
      <c r="B551" s="53"/>
      <c r="C551" s="14"/>
      <c r="D551" s="14"/>
      <c r="E551" s="14"/>
      <c r="F551" s="14"/>
      <c r="G551" s="14"/>
      <c r="H551" s="14"/>
      <c r="I551" s="14"/>
      <c r="J551" s="14"/>
      <c r="K551" s="14"/>
      <c r="L551" s="14"/>
      <c r="M551" s="14"/>
      <c r="N551" s="25"/>
      <c r="O551" s="14"/>
    </row>
    <row r="552">
      <c r="B552" s="53"/>
      <c r="C552" s="14"/>
      <c r="D552" s="14"/>
      <c r="E552" s="14"/>
      <c r="F552" s="14"/>
      <c r="G552" s="14"/>
      <c r="H552" s="14"/>
      <c r="I552" s="14"/>
      <c r="J552" s="14"/>
      <c r="K552" s="14"/>
      <c r="L552" s="14"/>
      <c r="M552" s="14"/>
      <c r="N552" s="25"/>
      <c r="O552" s="14"/>
    </row>
    <row r="553">
      <c r="B553" s="53"/>
      <c r="C553" s="14"/>
      <c r="D553" s="14"/>
      <c r="E553" s="14"/>
      <c r="F553" s="14"/>
      <c r="G553" s="14"/>
      <c r="H553" s="14"/>
      <c r="I553" s="14"/>
      <c r="J553" s="14"/>
      <c r="K553" s="14"/>
      <c r="L553" s="14"/>
      <c r="M553" s="14"/>
      <c r="N553" s="25"/>
      <c r="O553" s="14"/>
    </row>
    <row r="554">
      <c r="B554" s="53"/>
      <c r="C554" s="14"/>
      <c r="D554" s="14"/>
      <c r="E554" s="14"/>
      <c r="F554" s="14"/>
      <c r="G554" s="14"/>
      <c r="H554" s="14"/>
      <c r="I554" s="14"/>
      <c r="J554" s="14"/>
      <c r="K554" s="14"/>
      <c r="L554" s="14"/>
      <c r="M554" s="14"/>
      <c r="N554" s="25"/>
      <c r="O554" s="14"/>
    </row>
    <row r="555">
      <c r="B555" s="53"/>
      <c r="C555" s="14"/>
      <c r="D555" s="14"/>
      <c r="E555" s="14"/>
      <c r="F555" s="14"/>
      <c r="G555" s="14"/>
      <c r="H555" s="14"/>
      <c r="I555" s="14"/>
      <c r="J555" s="14"/>
      <c r="K555" s="14"/>
      <c r="L555" s="14"/>
      <c r="M555" s="14"/>
      <c r="N555" s="25"/>
      <c r="O555" s="14"/>
    </row>
    <row r="556">
      <c r="B556" s="53"/>
      <c r="C556" s="14"/>
      <c r="D556" s="14"/>
      <c r="E556" s="14"/>
      <c r="F556" s="14"/>
      <c r="G556" s="14"/>
      <c r="H556" s="14"/>
      <c r="I556" s="14"/>
      <c r="J556" s="14"/>
      <c r="K556" s="14"/>
      <c r="L556" s="14"/>
      <c r="M556" s="14"/>
      <c r="N556" s="25"/>
      <c r="O556" s="14"/>
    </row>
    <row r="557">
      <c r="B557" s="53"/>
      <c r="C557" s="14"/>
      <c r="D557" s="14"/>
      <c r="E557" s="14"/>
      <c r="F557" s="14"/>
      <c r="G557" s="14"/>
      <c r="H557" s="14"/>
      <c r="I557" s="14"/>
      <c r="J557" s="14"/>
      <c r="K557" s="14"/>
      <c r="L557" s="14"/>
      <c r="M557" s="14"/>
      <c r="N557" s="25"/>
      <c r="O557" s="14"/>
    </row>
    <row r="558">
      <c r="B558" s="53"/>
      <c r="C558" s="14"/>
      <c r="D558" s="14"/>
      <c r="E558" s="14"/>
      <c r="F558" s="14"/>
      <c r="G558" s="14"/>
      <c r="H558" s="14"/>
      <c r="I558" s="14"/>
      <c r="J558" s="14"/>
      <c r="K558" s="14"/>
      <c r="L558" s="14"/>
      <c r="M558" s="14"/>
      <c r="N558" s="25"/>
      <c r="O558" s="14"/>
    </row>
    <row r="559">
      <c r="B559" s="53"/>
      <c r="C559" s="14"/>
      <c r="D559" s="14"/>
      <c r="E559" s="14"/>
      <c r="F559" s="14"/>
      <c r="G559" s="14"/>
      <c r="H559" s="14"/>
      <c r="I559" s="14"/>
      <c r="J559" s="14"/>
      <c r="K559" s="14"/>
      <c r="L559" s="14"/>
      <c r="M559" s="14"/>
      <c r="N559" s="25"/>
      <c r="O559" s="14"/>
    </row>
    <row r="560">
      <c r="B560" s="53"/>
      <c r="C560" s="14"/>
      <c r="D560" s="14"/>
      <c r="E560" s="14"/>
      <c r="F560" s="14"/>
      <c r="G560" s="14"/>
      <c r="H560" s="14"/>
      <c r="I560" s="14"/>
      <c r="J560" s="14"/>
      <c r="K560" s="14"/>
      <c r="L560" s="14"/>
      <c r="M560" s="14"/>
      <c r="N560" s="25"/>
      <c r="O560" s="14"/>
    </row>
    <row r="561">
      <c r="B561" s="53"/>
      <c r="C561" s="14"/>
      <c r="D561" s="14"/>
      <c r="E561" s="14"/>
      <c r="F561" s="14"/>
      <c r="G561" s="14"/>
      <c r="H561" s="14"/>
      <c r="I561" s="14"/>
      <c r="J561" s="14"/>
      <c r="K561" s="14"/>
      <c r="L561" s="14"/>
      <c r="M561" s="14"/>
      <c r="N561" s="25"/>
      <c r="O561" s="14"/>
    </row>
    <row r="562">
      <c r="B562" s="53"/>
      <c r="C562" s="14"/>
      <c r="D562" s="14"/>
      <c r="E562" s="14"/>
      <c r="F562" s="14"/>
      <c r="G562" s="14"/>
      <c r="H562" s="14"/>
      <c r="I562" s="14"/>
      <c r="J562" s="14"/>
      <c r="K562" s="14"/>
      <c r="L562" s="14"/>
      <c r="M562" s="14"/>
      <c r="N562" s="25"/>
      <c r="O562" s="14"/>
    </row>
    <row r="563">
      <c r="B563" s="53"/>
      <c r="C563" s="14"/>
      <c r="D563" s="14"/>
      <c r="E563" s="14"/>
      <c r="F563" s="14"/>
      <c r="G563" s="14"/>
      <c r="H563" s="14"/>
      <c r="I563" s="14"/>
      <c r="J563" s="14"/>
      <c r="K563" s="14"/>
      <c r="L563" s="14"/>
      <c r="M563" s="14"/>
      <c r="N563" s="25"/>
      <c r="O563" s="14"/>
    </row>
    <row r="564">
      <c r="B564" s="53"/>
      <c r="C564" s="14"/>
      <c r="D564" s="14"/>
      <c r="E564" s="14"/>
      <c r="F564" s="14"/>
      <c r="G564" s="14"/>
      <c r="H564" s="14"/>
      <c r="I564" s="14"/>
      <c r="J564" s="14"/>
      <c r="K564" s="14"/>
      <c r="L564" s="14"/>
      <c r="M564" s="14"/>
      <c r="N564" s="25"/>
      <c r="O564" s="14"/>
    </row>
    <row r="565">
      <c r="B565" s="53"/>
      <c r="C565" s="14"/>
      <c r="D565" s="14"/>
      <c r="E565" s="14"/>
      <c r="F565" s="14"/>
      <c r="G565" s="14"/>
      <c r="H565" s="14"/>
      <c r="I565" s="14"/>
      <c r="J565" s="14"/>
      <c r="K565" s="14"/>
      <c r="L565" s="14"/>
      <c r="M565" s="14"/>
      <c r="N565" s="25"/>
      <c r="O565" s="14"/>
    </row>
    <row r="566">
      <c r="B566" s="53"/>
      <c r="C566" s="14"/>
      <c r="D566" s="14"/>
      <c r="E566" s="14"/>
      <c r="F566" s="14"/>
      <c r="G566" s="14"/>
      <c r="H566" s="14"/>
      <c r="I566" s="14"/>
      <c r="J566" s="14"/>
      <c r="K566" s="14"/>
      <c r="L566" s="14"/>
      <c r="M566" s="14"/>
      <c r="N566" s="25"/>
      <c r="O566" s="14"/>
    </row>
    <row r="567">
      <c r="B567" s="53"/>
      <c r="C567" s="14"/>
      <c r="D567" s="14"/>
      <c r="E567" s="14"/>
      <c r="F567" s="14"/>
      <c r="G567" s="14"/>
      <c r="H567" s="14"/>
      <c r="I567" s="14"/>
      <c r="J567" s="14"/>
      <c r="K567" s="14"/>
      <c r="L567" s="14"/>
      <c r="M567" s="14"/>
      <c r="N567" s="25"/>
      <c r="O567" s="14"/>
    </row>
    <row r="568">
      <c r="B568" s="53"/>
      <c r="C568" s="14"/>
      <c r="D568" s="14"/>
      <c r="E568" s="14"/>
      <c r="F568" s="14"/>
      <c r="G568" s="14"/>
      <c r="H568" s="14"/>
      <c r="I568" s="14"/>
      <c r="J568" s="14"/>
      <c r="K568" s="14"/>
      <c r="L568" s="14"/>
      <c r="M568" s="14"/>
      <c r="N568" s="25"/>
      <c r="O568" s="14"/>
    </row>
    <row r="569">
      <c r="B569" s="53"/>
      <c r="C569" s="14"/>
      <c r="D569" s="14"/>
      <c r="E569" s="14"/>
      <c r="F569" s="14"/>
      <c r="G569" s="14"/>
      <c r="H569" s="14"/>
      <c r="I569" s="14"/>
      <c r="J569" s="14"/>
      <c r="K569" s="14"/>
      <c r="L569" s="14"/>
      <c r="M569" s="14"/>
      <c r="N569" s="25"/>
      <c r="O569" s="14"/>
    </row>
    <row r="570">
      <c r="B570" s="53"/>
      <c r="C570" s="14"/>
      <c r="D570" s="14"/>
      <c r="E570" s="14"/>
      <c r="F570" s="14"/>
      <c r="G570" s="14"/>
      <c r="H570" s="14"/>
      <c r="I570" s="14"/>
      <c r="J570" s="14"/>
      <c r="K570" s="14"/>
      <c r="L570" s="14"/>
      <c r="M570" s="14"/>
      <c r="N570" s="25"/>
      <c r="O570" s="14"/>
    </row>
    <row r="571">
      <c r="B571" s="53"/>
      <c r="C571" s="14"/>
      <c r="D571" s="14"/>
      <c r="E571" s="14"/>
      <c r="F571" s="14"/>
      <c r="G571" s="14"/>
      <c r="H571" s="14"/>
      <c r="I571" s="14"/>
      <c r="J571" s="14"/>
      <c r="K571" s="14"/>
      <c r="L571" s="14"/>
      <c r="M571" s="14"/>
      <c r="N571" s="25"/>
      <c r="O571" s="14"/>
    </row>
    <row r="572">
      <c r="B572" s="53"/>
      <c r="C572" s="14"/>
      <c r="D572" s="14"/>
      <c r="E572" s="14"/>
      <c r="F572" s="14"/>
      <c r="G572" s="14"/>
      <c r="H572" s="14"/>
      <c r="I572" s="14"/>
      <c r="J572" s="14"/>
      <c r="K572" s="14"/>
      <c r="L572" s="14"/>
      <c r="M572" s="14"/>
      <c r="N572" s="25"/>
      <c r="O572" s="14"/>
    </row>
    <row r="573">
      <c r="B573" s="53"/>
      <c r="C573" s="14"/>
      <c r="D573" s="14"/>
      <c r="E573" s="14"/>
      <c r="F573" s="14"/>
      <c r="G573" s="14"/>
      <c r="H573" s="14"/>
      <c r="I573" s="14"/>
      <c r="J573" s="14"/>
      <c r="K573" s="14"/>
      <c r="L573" s="14"/>
      <c r="M573" s="14"/>
      <c r="N573" s="25"/>
      <c r="O573" s="14"/>
    </row>
    <row r="574">
      <c r="B574" s="53"/>
      <c r="C574" s="14"/>
      <c r="D574" s="14"/>
      <c r="E574" s="14"/>
      <c r="F574" s="14"/>
      <c r="G574" s="14"/>
      <c r="H574" s="14"/>
      <c r="I574" s="14"/>
      <c r="J574" s="14"/>
      <c r="K574" s="14"/>
      <c r="L574" s="14"/>
      <c r="M574" s="14"/>
      <c r="N574" s="25"/>
      <c r="O574" s="14"/>
    </row>
    <row r="575">
      <c r="B575" s="53"/>
      <c r="C575" s="14"/>
      <c r="D575" s="14"/>
      <c r="E575" s="14"/>
      <c r="F575" s="14"/>
      <c r="G575" s="14"/>
      <c r="H575" s="14"/>
      <c r="I575" s="14"/>
      <c r="J575" s="14"/>
      <c r="K575" s="14"/>
      <c r="L575" s="14"/>
      <c r="M575" s="14"/>
      <c r="N575" s="25"/>
      <c r="O575" s="14"/>
    </row>
    <row r="576">
      <c r="B576" s="53"/>
      <c r="C576" s="14"/>
      <c r="D576" s="14"/>
      <c r="E576" s="14"/>
      <c r="F576" s="14"/>
      <c r="G576" s="14"/>
      <c r="H576" s="14"/>
      <c r="I576" s="14"/>
      <c r="J576" s="14"/>
      <c r="K576" s="14"/>
      <c r="L576" s="14"/>
      <c r="M576" s="14"/>
      <c r="N576" s="25"/>
      <c r="O576" s="14"/>
    </row>
    <row r="577">
      <c r="B577" s="53"/>
      <c r="C577" s="14"/>
      <c r="D577" s="14"/>
      <c r="E577" s="14"/>
      <c r="F577" s="14"/>
      <c r="G577" s="14"/>
      <c r="H577" s="14"/>
      <c r="I577" s="14"/>
      <c r="J577" s="14"/>
      <c r="K577" s="14"/>
      <c r="L577" s="14"/>
      <c r="M577" s="14"/>
      <c r="N577" s="25"/>
      <c r="O577" s="14"/>
    </row>
    <row r="578">
      <c r="B578" s="53"/>
      <c r="C578" s="14"/>
      <c r="D578" s="14"/>
      <c r="E578" s="14"/>
      <c r="F578" s="14"/>
      <c r="G578" s="14"/>
      <c r="H578" s="14"/>
      <c r="I578" s="14"/>
      <c r="J578" s="14"/>
      <c r="K578" s="14"/>
      <c r="L578" s="14"/>
      <c r="M578" s="14"/>
      <c r="N578" s="25"/>
      <c r="O578" s="14"/>
    </row>
    <row r="579">
      <c r="B579" s="53"/>
      <c r="C579" s="14"/>
      <c r="D579" s="14"/>
      <c r="E579" s="14"/>
      <c r="F579" s="14"/>
      <c r="G579" s="14"/>
      <c r="H579" s="14"/>
      <c r="I579" s="14"/>
      <c r="J579" s="14"/>
      <c r="K579" s="14"/>
      <c r="L579" s="14"/>
      <c r="M579" s="14"/>
      <c r="N579" s="25"/>
      <c r="O579" s="14"/>
    </row>
    <row r="580">
      <c r="B580" s="53"/>
      <c r="C580" s="14"/>
      <c r="D580" s="14"/>
      <c r="E580" s="14"/>
      <c r="F580" s="14"/>
      <c r="G580" s="14"/>
      <c r="H580" s="14"/>
      <c r="I580" s="14"/>
      <c r="J580" s="14"/>
      <c r="K580" s="14"/>
      <c r="L580" s="14"/>
      <c r="M580" s="14"/>
      <c r="N580" s="25"/>
      <c r="O580" s="14"/>
    </row>
    <row r="581">
      <c r="B581" s="53"/>
      <c r="C581" s="14"/>
      <c r="D581" s="14"/>
      <c r="E581" s="14"/>
      <c r="F581" s="14"/>
      <c r="G581" s="14"/>
      <c r="H581" s="14"/>
      <c r="I581" s="14"/>
      <c r="J581" s="14"/>
      <c r="K581" s="14"/>
      <c r="L581" s="14"/>
      <c r="M581" s="14"/>
      <c r="N581" s="25"/>
      <c r="O581" s="14"/>
    </row>
    <row r="582">
      <c r="B582" s="53"/>
      <c r="C582" s="14"/>
      <c r="D582" s="14"/>
      <c r="E582" s="14"/>
      <c r="F582" s="14"/>
      <c r="G582" s="14"/>
      <c r="H582" s="14"/>
      <c r="I582" s="14"/>
      <c r="J582" s="14"/>
      <c r="K582" s="14"/>
      <c r="L582" s="14"/>
      <c r="M582" s="14"/>
      <c r="N582" s="25"/>
      <c r="O582" s="14"/>
    </row>
    <row r="583">
      <c r="B583" s="53"/>
      <c r="C583" s="14"/>
      <c r="D583" s="14"/>
      <c r="E583" s="14"/>
      <c r="F583" s="14"/>
      <c r="G583" s="14"/>
      <c r="H583" s="14"/>
      <c r="I583" s="14"/>
      <c r="J583" s="14"/>
      <c r="K583" s="14"/>
      <c r="L583" s="14"/>
      <c r="M583" s="14"/>
      <c r="N583" s="25"/>
      <c r="O583" s="14"/>
    </row>
    <row r="584">
      <c r="B584" s="53"/>
      <c r="C584" s="14"/>
      <c r="D584" s="14"/>
      <c r="E584" s="14"/>
      <c r="F584" s="14"/>
      <c r="G584" s="14"/>
      <c r="H584" s="14"/>
      <c r="I584" s="14"/>
      <c r="J584" s="14"/>
      <c r="K584" s="14"/>
      <c r="L584" s="14"/>
      <c r="M584" s="14"/>
      <c r="N584" s="25"/>
      <c r="O584" s="14"/>
    </row>
    <row r="585">
      <c r="B585" s="53"/>
      <c r="C585" s="14"/>
      <c r="D585" s="14"/>
      <c r="E585" s="14"/>
      <c r="F585" s="14"/>
      <c r="G585" s="14"/>
      <c r="H585" s="14"/>
      <c r="I585" s="14"/>
      <c r="J585" s="14"/>
      <c r="K585" s="14"/>
      <c r="L585" s="14"/>
      <c r="M585" s="14"/>
      <c r="N585" s="25"/>
      <c r="O585" s="14"/>
    </row>
    <row r="586">
      <c r="B586" s="53"/>
      <c r="C586" s="14"/>
      <c r="D586" s="14"/>
      <c r="E586" s="14"/>
      <c r="F586" s="14"/>
      <c r="G586" s="14"/>
      <c r="H586" s="14"/>
      <c r="I586" s="14"/>
      <c r="J586" s="14"/>
      <c r="K586" s="14"/>
      <c r="L586" s="14"/>
      <c r="M586" s="14"/>
      <c r="N586" s="25"/>
      <c r="O586" s="14"/>
    </row>
    <row r="587">
      <c r="B587" s="53"/>
      <c r="C587" s="14"/>
      <c r="D587" s="14"/>
      <c r="E587" s="14"/>
      <c r="F587" s="14"/>
      <c r="G587" s="14"/>
      <c r="H587" s="14"/>
      <c r="I587" s="14"/>
      <c r="J587" s="14"/>
      <c r="K587" s="14"/>
      <c r="L587" s="14"/>
      <c r="M587" s="14"/>
      <c r="N587" s="25"/>
      <c r="O587" s="14"/>
    </row>
    <row r="588">
      <c r="B588" s="53"/>
      <c r="C588" s="14"/>
      <c r="D588" s="14"/>
      <c r="E588" s="14"/>
      <c r="F588" s="14"/>
      <c r="G588" s="14"/>
      <c r="H588" s="14"/>
      <c r="I588" s="14"/>
      <c r="J588" s="14"/>
      <c r="K588" s="14"/>
      <c r="L588" s="14"/>
      <c r="M588" s="14"/>
      <c r="N588" s="25"/>
      <c r="O588" s="14"/>
    </row>
    <row r="589">
      <c r="B589" s="53"/>
      <c r="C589" s="14"/>
      <c r="D589" s="14"/>
      <c r="E589" s="14"/>
      <c r="F589" s="14"/>
      <c r="G589" s="14"/>
      <c r="H589" s="14"/>
      <c r="I589" s="14"/>
      <c r="J589" s="14"/>
      <c r="K589" s="14"/>
      <c r="L589" s="14"/>
      <c r="M589" s="14"/>
      <c r="N589" s="25"/>
      <c r="O589" s="14"/>
    </row>
    <row r="590">
      <c r="B590" s="53"/>
      <c r="C590" s="14"/>
      <c r="D590" s="14"/>
      <c r="E590" s="14"/>
      <c r="F590" s="14"/>
      <c r="G590" s="14"/>
      <c r="H590" s="14"/>
      <c r="I590" s="14"/>
      <c r="J590" s="14"/>
      <c r="K590" s="14"/>
      <c r="L590" s="14"/>
      <c r="M590" s="14"/>
      <c r="N590" s="25"/>
      <c r="O590" s="14"/>
    </row>
    <row r="591">
      <c r="B591" s="53"/>
      <c r="C591" s="14"/>
      <c r="D591" s="14"/>
      <c r="E591" s="14"/>
      <c r="F591" s="14"/>
      <c r="G591" s="14"/>
      <c r="H591" s="14"/>
      <c r="I591" s="14"/>
      <c r="J591" s="14"/>
      <c r="K591" s="14"/>
      <c r="L591" s="14"/>
      <c r="M591" s="14"/>
      <c r="N591" s="25"/>
      <c r="O591" s="14"/>
    </row>
    <row r="592">
      <c r="B592" s="53"/>
      <c r="C592" s="14"/>
      <c r="D592" s="14"/>
      <c r="E592" s="14"/>
      <c r="F592" s="14"/>
      <c r="G592" s="14"/>
      <c r="H592" s="14"/>
      <c r="I592" s="14"/>
      <c r="J592" s="14"/>
      <c r="K592" s="14"/>
      <c r="L592" s="14"/>
      <c r="M592" s="14"/>
      <c r="N592" s="25"/>
      <c r="O592" s="14"/>
    </row>
    <row r="593">
      <c r="B593" s="53"/>
      <c r="C593" s="14"/>
      <c r="D593" s="14"/>
      <c r="E593" s="14"/>
      <c r="F593" s="14"/>
      <c r="G593" s="14"/>
      <c r="H593" s="14"/>
      <c r="I593" s="14"/>
      <c r="J593" s="14"/>
      <c r="K593" s="14"/>
      <c r="L593" s="14"/>
      <c r="M593" s="14"/>
      <c r="N593" s="25"/>
      <c r="O593" s="14"/>
    </row>
    <row r="594">
      <c r="B594" s="53"/>
      <c r="C594" s="14"/>
      <c r="D594" s="14"/>
      <c r="E594" s="14"/>
      <c r="F594" s="14"/>
      <c r="G594" s="14"/>
      <c r="H594" s="14"/>
      <c r="I594" s="14"/>
      <c r="J594" s="14"/>
      <c r="K594" s="14"/>
      <c r="L594" s="14"/>
      <c r="M594" s="14"/>
      <c r="N594" s="25"/>
      <c r="O594" s="14"/>
    </row>
    <row r="595">
      <c r="B595" s="53"/>
      <c r="C595" s="14"/>
      <c r="D595" s="14"/>
      <c r="E595" s="14"/>
      <c r="F595" s="14"/>
      <c r="G595" s="14"/>
      <c r="H595" s="14"/>
      <c r="I595" s="14"/>
      <c r="J595" s="14"/>
      <c r="K595" s="14"/>
      <c r="L595" s="14"/>
      <c r="M595" s="14"/>
      <c r="N595" s="25"/>
      <c r="O595" s="14"/>
    </row>
    <row r="596">
      <c r="B596" s="53"/>
      <c r="C596" s="14"/>
      <c r="D596" s="14"/>
      <c r="E596" s="14"/>
      <c r="F596" s="14"/>
      <c r="G596" s="14"/>
      <c r="H596" s="14"/>
      <c r="I596" s="14"/>
      <c r="J596" s="14"/>
      <c r="K596" s="14"/>
      <c r="L596" s="14"/>
      <c r="M596" s="14"/>
      <c r="N596" s="25"/>
      <c r="O596" s="14"/>
    </row>
    <row r="597">
      <c r="B597" s="53"/>
      <c r="C597" s="14"/>
      <c r="D597" s="14"/>
      <c r="E597" s="14"/>
      <c r="F597" s="14"/>
      <c r="G597" s="14"/>
      <c r="H597" s="14"/>
      <c r="I597" s="14"/>
      <c r="J597" s="14"/>
      <c r="K597" s="14"/>
      <c r="L597" s="14"/>
      <c r="M597" s="14"/>
      <c r="N597" s="25"/>
      <c r="O597" s="14"/>
    </row>
    <row r="598">
      <c r="B598" s="53"/>
      <c r="C598" s="14"/>
      <c r="D598" s="14"/>
      <c r="E598" s="14"/>
      <c r="F598" s="14"/>
      <c r="G598" s="14"/>
      <c r="H598" s="14"/>
      <c r="I598" s="14"/>
      <c r="J598" s="14"/>
      <c r="K598" s="14"/>
      <c r="L598" s="14"/>
      <c r="M598" s="14"/>
      <c r="N598" s="25"/>
      <c r="O598" s="14"/>
    </row>
    <row r="599">
      <c r="B599" s="53"/>
      <c r="C599" s="14"/>
      <c r="D599" s="14"/>
      <c r="E599" s="14"/>
      <c r="F599" s="14"/>
      <c r="G599" s="14"/>
      <c r="H599" s="14"/>
      <c r="I599" s="14"/>
      <c r="J599" s="14"/>
      <c r="K599" s="14"/>
      <c r="L599" s="14"/>
      <c r="M599" s="14"/>
      <c r="N599" s="25"/>
      <c r="O599" s="14"/>
    </row>
    <row r="600">
      <c r="B600" s="53"/>
      <c r="C600" s="14"/>
      <c r="D600" s="14"/>
      <c r="E600" s="14"/>
      <c r="F600" s="14"/>
      <c r="G600" s="14"/>
      <c r="H600" s="14"/>
      <c r="I600" s="14"/>
      <c r="J600" s="14"/>
      <c r="K600" s="14"/>
      <c r="L600" s="14"/>
      <c r="M600" s="14"/>
      <c r="N600" s="25"/>
      <c r="O600" s="14"/>
    </row>
    <row r="601">
      <c r="B601" s="53"/>
      <c r="C601" s="14"/>
      <c r="D601" s="14"/>
      <c r="E601" s="14"/>
      <c r="F601" s="14"/>
      <c r="G601" s="14"/>
      <c r="H601" s="14"/>
      <c r="I601" s="14"/>
      <c r="J601" s="14"/>
      <c r="K601" s="14"/>
      <c r="L601" s="14"/>
      <c r="M601" s="14"/>
      <c r="N601" s="25"/>
      <c r="O601" s="14"/>
    </row>
    <row r="602">
      <c r="B602" s="53"/>
      <c r="C602" s="14"/>
      <c r="D602" s="14"/>
      <c r="E602" s="14"/>
      <c r="F602" s="14"/>
      <c r="G602" s="14"/>
      <c r="H602" s="14"/>
      <c r="I602" s="14"/>
      <c r="J602" s="14"/>
      <c r="K602" s="14"/>
      <c r="L602" s="14"/>
      <c r="M602" s="14"/>
      <c r="N602" s="25"/>
      <c r="O602" s="14"/>
    </row>
    <row r="603">
      <c r="B603" s="53"/>
      <c r="C603" s="14"/>
      <c r="D603" s="14"/>
      <c r="E603" s="14"/>
      <c r="F603" s="14"/>
      <c r="G603" s="14"/>
      <c r="H603" s="14"/>
      <c r="I603" s="14"/>
      <c r="J603" s="14"/>
      <c r="K603" s="14"/>
      <c r="L603" s="14"/>
      <c r="M603" s="14"/>
      <c r="N603" s="25"/>
      <c r="O603" s="14"/>
    </row>
    <row r="604">
      <c r="B604" s="53"/>
      <c r="C604" s="14"/>
      <c r="D604" s="14"/>
      <c r="E604" s="14"/>
      <c r="F604" s="14"/>
      <c r="G604" s="14"/>
      <c r="H604" s="14"/>
      <c r="I604" s="14"/>
      <c r="J604" s="14"/>
      <c r="K604" s="14"/>
      <c r="L604" s="14"/>
      <c r="M604" s="14"/>
      <c r="N604" s="25"/>
      <c r="O604" s="14"/>
    </row>
    <row r="605">
      <c r="B605" s="53"/>
      <c r="C605" s="14"/>
      <c r="D605" s="14"/>
      <c r="E605" s="14"/>
      <c r="F605" s="14"/>
      <c r="G605" s="14"/>
      <c r="H605" s="14"/>
      <c r="I605" s="14"/>
      <c r="J605" s="14"/>
      <c r="K605" s="14"/>
      <c r="L605" s="14"/>
      <c r="M605" s="14"/>
      <c r="N605" s="25"/>
      <c r="O605" s="14"/>
    </row>
    <row r="606">
      <c r="B606" s="53"/>
      <c r="C606" s="14"/>
      <c r="D606" s="14"/>
      <c r="E606" s="14"/>
      <c r="F606" s="14"/>
      <c r="G606" s="14"/>
      <c r="H606" s="14"/>
      <c r="I606" s="14"/>
      <c r="J606" s="14"/>
      <c r="K606" s="14"/>
      <c r="L606" s="14"/>
      <c r="M606" s="14"/>
      <c r="N606" s="25"/>
      <c r="O606" s="14"/>
    </row>
    <row r="607">
      <c r="B607" s="53"/>
      <c r="C607" s="14"/>
      <c r="D607" s="14"/>
      <c r="E607" s="14"/>
      <c r="F607" s="14"/>
      <c r="G607" s="14"/>
      <c r="H607" s="14"/>
      <c r="I607" s="14"/>
      <c r="J607" s="14"/>
      <c r="K607" s="14"/>
      <c r="L607" s="14"/>
      <c r="M607" s="14"/>
      <c r="N607" s="25"/>
      <c r="O607" s="14"/>
    </row>
    <row r="608">
      <c r="B608" s="53"/>
      <c r="C608" s="14"/>
      <c r="D608" s="14"/>
      <c r="E608" s="14"/>
      <c r="F608" s="14"/>
      <c r="G608" s="14"/>
      <c r="H608" s="14"/>
      <c r="I608" s="14"/>
      <c r="J608" s="14"/>
      <c r="K608" s="14"/>
      <c r="L608" s="14"/>
      <c r="M608" s="14"/>
      <c r="N608" s="25"/>
      <c r="O608" s="14"/>
    </row>
    <row r="609">
      <c r="B609" s="53"/>
      <c r="C609" s="14"/>
      <c r="D609" s="14"/>
      <c r="E609" s="14"/>
      <c r="F609" s="14"/>
      <c r="G609" s="14"/>
      <c r="H609" s="14"/>
      <c r="I609" s="14"/>
      <c r="J609" s="14"/>
      <c r="K609" s="14"/>
      <c r="L609" s="14"/>
      <c r="M609" s="14"/>
      <c r="N609" s="25"/>
      <c r="O609" s="14"/>
    </row>
    <row r="610">
      <c r="B610" s="53"/>
      <c r="C610" s="14"/>
      <c r="D610" s="14"/>
      <c r="E610" s="14"/>
      <c r="F610" s="14"/>
      <c r="G610" s="14"/>
      <c r="H610" s="14"/>
      <c r="I610" s="14"/>
      <c r="J610" s="14"/>
      <c r="K610" s="14"/>
      <c r="L610" s="14"/>
      <c r="M610" s="14"/>
      <c r="N610" s="25"/>
      <c r="O610" s="14"/>
    </row>
    <row r="611">
      <c r="B611" s="53"/>
      <c r="C611" s="14"/>
      <c r="D611" s="14"/>
      <c r="E611" s="14"/>
      <c r="F611" s="14"/>
      <c r="G611" s="14"/>
      <c r="H611" s="14"/>
      <c r="I611" s="14"/>
      <c r="J611" s="14"/>
      <c r="K611" s="14"/>
      <c r="L611" s="14"/>
      <c r="M611" s="14"/>
      <c r="N611" s="25"/>
      <c r="O611" s="14"/>
    </row>
    <row r="612">
      <c r="B612" s="53"/>
      <c r="C612" s="14"/>
      <c r="D612" s="14"/>
      <c r="E612" s="14"/>
      <c r="F612" s="14"/>
      <c r="G612" s="14"/>
      <c r="H612" s="14"/>
      <c r="I612" s="14"/>
      <c r="J612" s="14"/>
      <c r="K612" s="14"/>
      <c r="L612" s="14"/>
      <c r="M612" s="14"/>
      <c r="N612" s="25"/>
      <c r="O612" s="14"/>
    </row>
    <row r="613">
      <c r="B613" s="53"/>
      <c r="C613" s="14"/>
      <c r="D613" s="14"/>
      <c r="E613" s="14"/>
      <c r="F613" s="14"/>
      <c r="G613" s="14"/>
      <c r="H613" s="14"/>
      <c r="I613" s="14"/>
      <c r="J613" s="14"/>
      <c r="K613" s="14"/>
      <c r="L613" s="14"/>
      <c r="M613" s="14"/>
      <c r="N613" s="25"/>
      <c r="O613" s="14"/>
    </row>
    <row r="614">
      <c r="B614" s="53"/>
      <c r="C614" s="14"/>
      <c r="D614" s="14"/>
      <c r="E614" s="14"/>
      <c r="F614" s="14"/>
      <c r="G614" s="14"/>
      <c r="H614" s="14"/>
      <c r="I614" s="14"/>
      <c r="J614" s="14"/>
      <c r="K614" s="14"/>
      <c r="L614" s="14"/>
      <c r="M614" s="14"/>
      <c r="N614" s="25"/>
      <c r="O614" s="14"/>
    </row>
    <row r="615">
      <c r="B615" s="53"/>
      <c r="C615" s="14"/>
      <c r="D615" s="14"/>
      <c r="E615" s="14"/>
      <c r="F615" s="14"/>
      <c r="G615" s="14"/>
      <c r="H615" s="14"/>
      <c r="I615" s="14"/>
      <c r="J615" s="14"/>
      <c r="K615" s="14"/>
      <c r="L615" s="14"/>
      <c r="M615" s="14"/>
      <c r="N615" s="25"/>
      <c r="O615" s="14"/>
    </row>
    <row r="616">
      <c r="B616" s="53"/>
      <c r="C616" s="14"/>
      <c r="D616" s="14"/>
      <c r="E616" s="14"/>
      <c r="F616" s="14"/>
      <c r="G616" s="14"/>
      <c r="H616" s="14"/>
      <c r="I616" s="14"/>
      <c r="J616" s="14"/>
      <c r="K616" s="14"/>
      <c r="L616" s="14"/>
      <c r="M616" s="14"/>
      <c r="N616" s="25"/>
      <c r="O616" s="14"/>
    </row>
    <row r="617">
      <c r="B617" s="53"/>
      <c r="C617" s="14"/>
      <c r="D617" s="14"/>
      <c r="E617" s="14"/>
      <c r="F617" s="14"/>
      <c r="G617" s="14"/>
      <c r="H617" s="14"/>
      <c r="I617" s="14"/>
      <c r="J617" s="14"/>
      <c r="K617" s="14"/>
      <c r="L617" s="14"/>
      <c r="M617" s="14"/>
      <c r="N617" s="25"/>
      <c r="O617" s="14"/>
    </row>
    <row r="618">
      <c r="B618" s="53"/>
      <c r="C618" s="14"/>
      <c r="D618" s="14"/>
      <c r="E618" s="14"/>
      <c r="F618" s="14"/>
      <c r="G618" s="14"/>
      <c r="H618" s="14"/>
      <c r="I618" s="14"/>
      <c r="J618" s="14"/>
      <c r="K618" s="14"/>
      <c r="L618" s="14"/>
      <c r="M618" s="14"/>
      <c r="N618" s="25"/>
      <c r="O618" s="14"/>
    </row>
    <row r="619">
      <c r="B619" s="53"/>
      <c r="C619" s="14"/>
      <c r="D619" s="14"/>
      <c r="E619" s="14"/>
      <c r="F619" s="14"/>
      <c r="G619" s="14"/>
      <c r="H619" s="14"/>
      <c r="I619" s="14"/>
      <c r="J619" s="14"/>
      <c r="K619" s="14"/>
      <c r="L619" s="14"/>
      <c r="M619" s="14"/>
      <c r="N619" s="25"/>
      <c r="O619" s="14"/>
    </row>
    <row r="620">
      <c r="B620" s="53"/>
      <c r="C620" s="14"/>
      <c r="D620" s="14"/>
      <c r="E620" s="14"/>
      <c r="F620" s="14"/>
      <c r="G620" s="14"/>
      <c r="H620" s="14"/>
      <c r="I620" s="14"/>
      <c r="J620" s="14"/>
      <c r="K620" s="14"/>
      <c r="L620" s="14"/>
      <c r="M620" s="14"/>
      <c r="N620" s="25"/>
      <c r="O620" s="14"/>
    </row>
    <row r="621">
      <c r="B621" s="53"/>
      <c r="C621" s="14"/>
      <c r="D621" s="14"/>
      <c r="E621" s="14"/>
      <c r="F621" s="14"/>
      <c r="G621" s="14"/>
      <c r="H621" s="14"/>
      <c r="I621" s="14"/>
      <c r="J621" s="14"/>
      <c r="K621" s="14"/>
      <c r="L621" s="14"/>
      <c r="M621" s="14"/>
      <c r="N621" s="25"/>
      <c r="O621" s="14"/>
    </row>
    <row r="622">
      <c r="B622" s="53"/>
      <c r="C622" s="14"/>
      <c r="D622" s="14"/>
      <c r="E622" s="14"/>
      <c r="F622" s="14"/>
      <c r="G622" s="14"/>
      <c r="H622" s="14"/>
      <c r="I622" s="14"/>
      <c r="J622" s="14"/>
      <c r="K622" s="14"/>
      <c r="L622" s="14"/>
      <c r="M622" s="14"/>
      <c r="N622" s="25"/>
      <c r="O622" s="14"/>
    </row>
    <row r="623">
      <c r="B623" s="53"/>
      <c r="C623" s="14"/>
      <c r="D623" s="14"/>
      <c r="E623" s="14"/>
      <c r="F623" s="14"/>
      <c r="G623" s="14"/>
      <c r="H623" s="14"/>
      <c r="I623" s="14"/>
      <c r="J623" s="14"/>
      <c r="K623" s="14"/>
      <c r="L623" s="14"/>
      <c r="M623" s="14"/>
      <c r="N623" s="25"/>
      <c r="O623" s="14"/>
    </row>
    <row r="624">
      <c r="B624" s="53"/>
      <c r="C624" s="14"/>
      <c r="D624" s="14"/>
      <c r="E624" s="14"/>
      <c r="F624" s="14"/>
      <c r="G624" s="14"/>
      <c r="H624" s="14"/>
      <c r="I624" s="14"/>
      <c r="J624" s="14"/>
      <c r="K624" s="14"/>
      <c r="L624" s="14"/>
      <c r="M624" s="14"/>
      <c r="N624" s="25"/>
      <c r="O624" s="14"/>
    </row>
    <row r="625">
      <c r="B625" s="53"/>
      <c r="C625" s="14"/>
      <c r="D625" s="14"/>
      <c r="E625" s="14"/>
      <c r="F625" s="14"/>
      <c r="G625" s="14"/>
      <c r="H625" s="14"/>
      <c r="I625" s="14"/>
      <c r="J625" s="14"/>
      <c r="K625" s="14"/>
      <c r="L625" s="14"/>
      <c r="M625" s="14"/>
      <c r="N625" s="25"/>
      <c r="O625" s="14"/>
    </row>
    <row r="626">
      <c r="B626" s="53"/>
      <c r="C626" s="14"/>
      <c r="D626" s="14"/>
      <c r="E626" s="14"/>
      <c r="F626" s="14"/>
      <c r="G626" s="14"/>
      <c r="H626" s="14"/>
      <c r="I626" s="14"/>
      <c r="J626" s="14"/>
      <c r="K626" s="14"/>
      <c r="L626" s="14"/>
      <c r="M626" s="14"/>
      <c r="N626" s="25"/>
      <c r="O626" s="14"/>
    </row>
    <row r="627">
      <c r="B627" s="53"/>
      <c r="C627" s="14"/>
      <c r="D627" s="14"/>
      <c r="E627" s="14"/>
      <c r="F627" s="14"/>
      <c r="G627" s="14"/>
      <c r="H627" s="14"/>
      <c r="I627" s="14"/>
      <c r="J627" s="14"/>
      <c r="K627" s="14"/>
      <c r="L627" s="14"/>
      <c r="M627" s="14"/>
      <c r="N627" s="25"/>
      <c r="O627" s="14"/>
    </row>
    <row r="628">
      <c r="B628" s="53"/>
      <c r="C628" s="14"/>
      <c r="D628" s="14"/>
      <c r="E628" s="14"/>
      <c r="F628" s="14"/>
      <c r="G628" s="14"/>
      <c r="H628" s="14"/>
      <c r="I628" s="14"/>
      <c r="J628" s="14"/>
      <c r="K628" s="14"/>
      <c r="L628" s="14"/>
      <c r="M628" s="14"/>
      <c r="N628" s="25"/>
      <c r="O628" s="14"/>
    </row>
    <row r="629">
      <c r="B629" s="53"/>
      <c r="C629" s="14"/>
      <c r="D629" s="14"/>
      <c r="E629" s="14"/>
      <c r="F629" s="14"/>
      <c r="G629" s="14"/>
      <c r="H629" s="14"/>
      <c r="I629" s="14"/>
      <c r="J629" s="14"/>
      <c r="K629" s="14"/>
      <c r="L629" s="14"/>
      <c r="M629" s="14"/>
      <c r="N629" s="25"/>
      <c r="O629" s="14"/>
    </row>
    <row r="630">
      <c r="B630" s="53"/>
      <c r="C630" s="14"/>
      <c r="D630" s="14"/>
      <c r="E630" s="14"/>
      <c r="F630" s="14"/>
      <c r="G630" s="14"/>
      <c r="H630" s="14"/>
      <c r="I630" s="14"/>
      <c r="J630" s="14"/>
      <c r="K630" s="14"/>
      <c r="L630" s="14"/>
      <c r="M630" s="14"/>
      <c r="N630" s="25"/>
      <c r="O630" s="14"/>
    </row>
    <row r="631">
      <c r="B631" s="53"/>
      <c r="C631" s="14"/>
      <c r="D631" s="14"/>
      <c r="E631" s="14"/>
      <c r="F631" s="14"/>
      <c r="G631" s="14"/>
      <c r="H631" s="14"/>
      <c r="I631" s="14"/>
      <c r="J631" s="14"/>
      <c r="K631" s="14"/>
      <c r="L631" s="14"/>
      <c r="M631" s="14"/>
      <c r="N631" s="25"/>
      <c r="O631" s="14"/>
    </row>
    <row r="632">
      <c r="B632" s="53"/>
      <c r="C632" s="14"/>
      <c r="D632" s="14"/>
      <c r="E632" s="14"/>
      <c r="F632" s="14"/>
      <c r="G632" s="14"/>
      <c r="H632" s="14"/>
      <c r="I632" s="14"/>
      <c r="J632" s="14"/>
      <c r="K632" s="14"/>
      <c r="L632" s="14"/>
      <c r="M632" s="14"/>
      <c r="N632" s="25"/>
      <c r="O632" s="14"/>
    </row>
    <row r="633">
      <c r="B633" s="53"/>
      <c r="C633" s="14"/>
      <c r="D633" s="14"/>
      <c r="E633" s="14"/>
      <c r="F633" s="14"/>
      <c r="G633" s="14"/>
      <c r="H633" s="14"/>
      <c r="I633" s="14"/>
      <c r="J633" s="14"/>
      <c r="K633" s="14"/>
      <c r="L633" s="14"/>
      <c r="M633" s="14"/>
      <c r="N633" s="25"/>
      <c r="O633" s="14"/>
    </row>
    <row r="634">
      <c r="B634" s="53"/>
      <c r="C634" s="14"/>
      <c r="D634" s="14"/>
      <c r="E634" s="14"/>
      <c r="F634" s="14"/>
      <c r="G634" s="14"/>
      <c r="H634" s="14"/>
      <c r="I634" s="14"/>
      <c r="J634" s="14"/>
      <c r="K634" s="14"/>
      <c r="L634" s="14"/>
      <c r="M634" s="14"/>
      <c r="N634" s="25"/>
      <c r="O634" s="14"/>
    </row>
    <row r="635">
      <c r="B635" s="53"/>
      <c r="C635" s="14"/>
      <c r="D635" s="14"/>
      <c r="E635" s="14"/>
      <c r="F635" s="14"/>
      <c r="G635" s="14"/>
      <c r="H635" s="14"/>
      <c r="I635" s="14"/>
      <c r="J635" s="14"/>
      <c r="K635" s="14"/>
      <c r="L635" s="14"/>
      <c r="M635" s="14"/>
      <c r="N635" s="25"/>
      <c r="O635" s="14"/>
    </row>
    <row r="636">
      <c r="B636" s="53"/>
      <c r="C636" s="14"/>
      <c r="D636" s="14"/>
      <c r="E636" s="14"/>
      <c r="F636" s="14"/>
      <c r="G636" s="14"/>
      <c r="H636" s="14"/>
      <c r="I636" s="14"/>
      <c r="J636" s="14"/>
      <c r="K636" s="14"/>
      <c r="L636" s="14"/>
      <c r="M636" s="14"/>
      <c r="N636" s="25"/>
      <c r="O636" s="14"/>
    </row>
    <row r="637">
      <c r="B637" s="53"/>
      <c r="C637" s="14"/>
      <c r="D637" s="14"/>
      <c r="E637" s="14"/>
      <c r="F637" s="14"/>
      <c r="G637" s="14"/>
      <c r="H637" s="14"/>
      <c r="I637" s="14"/>
      <c r="J637" s="14"/>
      <c r="K637" s="14"/>
      <c r="L637" s="14"/>
      <c r="M637" s="14"/>
      <c r="N637" s="25"/>
      <c r="O637" s="14"/>
    </row>
    <row r="638">
      <c r="B638" s="53"/>
      <c r="C638" s="14"/>
      <c r="D638" s="14"/>
      <c r="E638" s="14"/>
      <c r="F638" s="14"/>
      <c r="G638" s="14"/>
      <c r="H638" s="14"/>
      <c r="I638" s="14"/>
      <c r="J638" s="14"/>
      <c r="K638" s="14"/>
      <c r="L638" s="14"/>
      <c r="M638" s="14"/>
      <c r="N638" s="25"/>
      <c r="O638" s="14"/>
    </row>
    <row r="639">
      <c r="B639" s="53"/>
      <c r="C639" s="14"/>
      <c r="D639" s="14"/>
      <c r="E639" s="14"/>
      <c r="F639" s="14"/>
      <c r="G639" s="14"/>
      <c r="H639" s="14"/>
      <c r="I639" s="14"/>
      <c r="J639" s="14"/>
      <c r="K639" s="14"/>
      <c r="L639" s="14"/>
      <c r="M639" s="14"/>
      <c r="N639" s="25"/>
      <c r="O639" s="14"/>
    </row>
    <row r="640">
      <c r="B640" s="53"/>
      <c r="C640" s="14"/>
      <c r="D640" s="14"/>
      <c r="E640" s="14"/>
      <c r="F640" s="14"/>
      <c r="G640" s="14"/>
      <c r="H640" s="14"/>
      <c r="I640" s="14"/>
      <c r="J640" s="14"/>
      <c r="K640" s="14"/>
      <c r="L640" s="14"/>
      <c r="M640" s="14"/>
      <c r="N640" s="25"/>
      <c r="O640" s="14"/>
    </row>
    <row r="641">
      <c r="B641" s="53"/>
      <c r="C641" s="14"/>
      <c r="D641" s="14"/>
      <c r="E641" s="14"/>
      <c r="F641" s="14"/>
      <c r="G641" s="14"/>
      <c r="H641" s="14"/>
      <c r="I641" s="14"/>
      <c r="J641" s="14"/>
      <c r="K641" s="14"/>
      <c r="L641" s="14"/>
      <c r="M641" s="14"/>
      <c r="N641" s="25"/>
      <c r="O641" s="14"/>
    </row>
    <row r="642">
      <c r="B642" s="53"/>
      <c r="C642" s="14"/>
      <c r="D642" s="14"/>
      <c r="E642" s="14"/>
      <c r="F642" s="14"/>
      <c r="G642" s="14"/>
      <c r="H642" s="14"/>
      <c r="I642" s="14"/>
      <c r="J642" s="14"/>
      <c r="K642" s="14"/>
      <c r="L642" s="14"/>
      <c r="M642" s="14"/>
      <c r="N642" s="25"/>
      <c r="O642" s="14"/>
    </row>
    <row r="643">
      <c r="B643" s="53"/>
      <c r="C643" s="14"/>
      <c r="D643" s="14"/>
      <c r="E643" s="14"/>
      <c r="F643" s="14"/>
      <c r="G643" s="14"/>
      <c r="H643" s="14"/>
      <c r="I643" s="14"/>
      <c r="J643" s="14"/>
      <c r="K643" s="14"/>
      <c r="L643" s="14"/>
      <c r="M643" s="14"/>
      <c r="N643" s="25"/>
      <c r="O643" s="14"/>
    </row>
    <row r="644">
      <c r="B644" s="53"/>
      <c r="C644" s="14"/>
      <c r="D644" s="14"/>
      <c r="E644" s="14"/>
      <c r="F644" s="14"/>
      <c r="G644" s="14"/>
      <c r="H644" s="14"/>
      <c r="I644" s="14"/>
      <c r="J644" s="14"/>
      <c r="K644" s="14"/>
      <c r="L644" s="14"/>
      <c r="M644" s="14"/>
      <c r="N644" s="25"/>
      <c r="O644" s="14"/>
    </row>
    <row r="645">
      <c r="B645" s="53"/>
      <c r="C645" s="14"/>
      <c r="D645" s="14"/>
      <c r="E645" s="14"/>
      <c r="F645" s="14"/>
      <c r="G645" s="14"/>
      <c r="H645" s="14"/>
      <c r="I645" s="14"/>
      <c r="J645" s="14"/>
      <c r="K645" s="14"/>
      <c r="L645" s="14"/>
      <c r="M645" s="14"/>
      <c r="N645" s="25"/>
      <c r="O645" s="14"/>
    </row>
    <row r="646">
      <c r="B646" s="53"/>
      <c r="C646" s="14"/>
      <c r="D646" s="14"/>
      <c r="E646" s="14"/>
      <c r="F646" s="14"/>
      <c r="G646" s="14"/>
      <c r="H646" s="14"/>
      <c r="I646" s="14"/>
      <c r="J646" s="14"/>
      <c r="K646" s="14"/>
      <c r="L646" s="14"/>
      <c r="M646" s="14"/>
      <c r="N646" s="25"/>
      <c r="O646" s="14"/>
    </row>
    <row r="647">
      <c r="B647" s="53"/>
      <c r="C647" s="14"/>
      <c r="D647" s="14"/>
      <c r="E647" s="14"/>
      <c r="F647" s="14"/>
      <c r="G647" s="14"/>
      <c r="H647" s="14"/>
      <c r="I647" s="14"/>
      <c r="J647" s="14"/>
      <c r="K647" s="14"/>
      <c r="L647" s="14"/>
      <c r="M647" s="14"/>
      <c r="N647" s="25"/>
      <c r="O647" s="14"/>
    </row>
    <row r="648">
      <c r="B648" s="53"/>
      <c r="C648" s="14"/>
      <c r="D648" s="14"/>
      <c r="E648" s="14"/>
      <c r="F648" s="14"/>
      <c r="G648" s="14"/>
      <c r="H648" s="14"/>
      <c r="I648" s="14"/>
      <c r="J648" s="14"/>
      <c r="K648" s="14"/>
      <c r="L648" s="14"/>
      <c r="M648" s="14"/>
      <c r="N648" s="25"/>
      <c r="O648" s="14"/>
    </row>
    <row r="649">
      <c r="B649" s="53"/>
      <c r="C649" s="14"/>
      <c r="D649" s="14"/>
      <c r="E649" s="14"/>
      <c r="F649" s="14"/>
      <c r="G649" s="14"/>
      <c r="H649" s="14"/>
      <c r="I649" s="14"/>
      <c r="J649" s="14"/>
      <c r="K649" s="14"/>
      <c r="L649" s="14"/>
      <c r="M649" s="14"/>
      <c r="N649" s="25"/>
      <c r="O649" s="14"/>
    </row>
    <row r="650">
      <c r="B650" s="53"/>
      <c r="C650" s="14"/>
      <c r="D650" s="14"/>
      <c r="E650" s="14"/>
      <c r="F650" s="14"/>
      <c r="G650" s="14"/>
      <c r="H650" s="14"/>
      <c r="I650" s="14"/>
      <c r="J650" s="14"/>
      <c r="K650" s="14"/>
      <c r="L650" s="14"/>
      <c r="M650" s="14"/>
      <c r="N650" s="25"/>
      <c r="O650" s="14"/>
    </row>
    <row r="651">
      <c r="B651" s="53"/>
      <c r="C651" s="14"/>
      <c r="D651" s="14"/>
      <c r="E651" s="14"/>
      <c r="F651" s="14"/>
      <c r="G651" s="14"/>
      <c r="H651" s="14"/>
      <c r="I651" s="14"/>
      <c r="J651" s="14"/>
      <c r="K651" s="14"/>
      <c r="L651" s="14"/>
      <c r="M651" s="14"/>
      <c r="N651" s="25"/>
      <c r="O651" s="14"/>
    </row>
    <row r="652">
      <c r="B652" s="53"/>
      <c r="C652" s="14"/>
      <c r="D652" s="14"/>
      <c r="E652" s="14"/>
      <c r="F652" s="14"/>
      <c r="G652" s="14"/>
      <c r="H652" s="14"/>
      <c r="I652" s="14"/>
      <c r="J652" s="14"/>
      <c r="K652" s="14"/>
      <c r="L652" s="14"/>
      <c r="M652" s="14"/>
      <c r="N652" s="25"/>
      <c r="O652" s="14"/>
    </row>
    <row r="653">
      <c r="B653" s="53"/>
      <c r="C653" s="14"/>
      <c r="D653" s="14"/>
      <c r="E653" s="14"/>
      <c r="F653" s="14"/>
      <c r="G653" s="14"/>
      <c r="H653" s="14"/>
      <c r="I653" s="14"/>
      <c r="J653" s="14"/>
      <c r="K653" s="14"/>
      <c r="L653" s="14"/>
      <c r="M653" s="14"/>
      <c r="N653" s="25"/>
      <c r="O653" s="14"/>
    </row>
    <row r="654">
      <c r="B654" s="53"/>
      <c r="C654" s="14"/>
      <c r="D654" s="14"/>
      <c r="E654" s="14"/>
      <c r="F654" s="14"/>
      <c r="G654" s="14"/>
      <c r="H654" s="14"/>
      <c r="I654" s="14"/>
      <c r="J654" s="14"/>
      <c r="K654" s="14"/>
      <c r="L654" s="14"/>
      <c r="M654" s="14"/>
      <c r="N654" s="25"/>
      <c r="O654" s="14"/>
    </row>
    <row r="655">
      <c r="B655" s="53"/>
      <c r="C655" s="14"/>
      <c r="D655" s="14"/>
      <c r="E655" s="14"/>
      <c r="F655" s="14"/>
      <c r="G655" s="14"/>
      <c r="H655" s="14"/>
      <c r="I655" s="14"/>
      <c r="J655" s="14"/>
      <c r="K655" s="14"/>
      <c r="L655" s="14"/>
      <c r="M655" s="14"/>
      <c r="N655" s="25"/>
      <c r="O655" s="14"/>
    </row>
    <row r="656">
      <c r="B656" s="53"/>
      <c r="C656" s="14"/>
      <c r="D656" s="14"/>
      <c r="E656" s="14"/>
      <c r="F656" s="14"/>
      <c r="G656" s="14"/>
      <c r="H656" s="14"/>
      <c r="I656" s="14"/>
      <c r="J656" s="14"/>
      <c r="K656" s="14"/>
      <c r="L656" s="14"/>
      <c r="M656" s="14"/>
      <c r="N656" s="25"/>
      <c r="O656" s="14"/>
    </row>
    <row r="657">
      <c r="B657" s="53"/>
      <c r="C657" s="14"/>
      <c r="D657" s="14"/>
      <c r="E657" s="14"/>
      <c r="F657" s="14"/>
      <c r="G657" s="14"/>
      <c r="H657" s="14"/>
      <c r="I657" s="14"/>
      <c r="J657" s="14"/>
      <c r="K657" s="14"/>
      <c r="L657" s="14"/>
      <c r="M657" s="14"/>
      <c r="N657" s="25"/>
      <c r="O657" s="14"/>
    </row>
    <row r="658">
      <c r="B658" s="53"/>
      <c r="C658" s="14"/>
      <c r="D658" s="14"/>
      <c r="E658" s="14"/>
      <c r="F658" s="14"/>
      <c r="G658" s="14"/>
      <c r="H658" s="14"/>
      <c r="I658" s="14"/>
      <c r="J658" s="14"/>
      <c r="K658" s="14"/>
      <c r="L658" s="14"/>
      <c r="M658" s="14"/>
      <c r="N658" s="25"/>
      <c r="O658" s="14"/>
    </row>
    <row r="659">
      <c r="B659" s="53"/>
      <c r="C659" s="14"/>
      <c r="D659" s="14"/>
      <c r="E659" s="14"/>
      <c r="F659" s="14"/>
      <c r="G659" s="14"/>
      <c r="H659" s="14"/>
      <c r="I659" s="14"/>
      <c r="J659" s="14"/>
      <c r="K659" s="14"/>
      <c r="L659" s="14"/>
      <c r="M659" s="14"/>
      <c r="N659" s="25"/>
      <c r="O659" s="14"/>
    </row>
    <row r="660">
      <c r="B660" s="53"/>
      <c r="C660" s="14"/>
      <c r="D660" s="14"/>
      <c r="E660" s="14"/>
      <c r="F660" s="14"/>
      <c r="G660" s="14"/>
      <c r="H660" s="14"/>
      <c r="I660" s="14"/>
      <c r="J660" s="14"/>
      <c r="K660" s="14"/>
      <c r="L660" s="14"/>
      <c r="M660" s="14"/>
      <c r="N660" s="25"/>
      <c r="O660" s="14"/>
    </row>
    <row r="661">
      <c r="B661" s="53"/>
      <c r="C661" s="14"/>
      <c r="D661" s="14"/>
      <c r="E661" s="14"/>
      <c r="F661" s="14"/>
      <c r="G661" s="14"/>
      <c r="H661" s="14"/>
      <c r="I661" s="14"/>
      <c r="J661" s="14"/>
      <c r="K661" s="14"/>
      <c r="L661" s="14"/>
      <c r="M661" s="14"/>
      <c r="N661" s="25"/>
      <c r="O661" s="14"/>
    </row>
    <row r="662">
      <c r="B662" s="53"/>
      <c r="C662" s="14"/>
      <c r="D662" s="14"/>
      <c r="E662" s="14"/>
      <c r="F662" s="14"/>
      <c r="G662" s="14"/>
      <c r="H662" s="14"/>
      <c r="I662" s="14"/>
      <c r="J662" s="14"/>
      <c r="K662" s="14"/>
      <c r="L662" s="14"/>
      <c r="M662" s="14"/>
      <c r="N662" s="25"/>
      <c r="O662" s="14"/>
    </row>
    <row r="663">
      <c r="B663" s="53"/>
      <c r="C663" s="14"/>
      <c r="D663" s="14"/>
      <c r="E663" s="14"/>
      <c r="F663" s="14"/>
      <c r="G663" s="14"/>
      <c r="H663" s="14"/>
      <c r="I663" s="14"/>
      <c r="J663" s="14"/>
      <c r="K663" s="14"/>
      <c r="L663" s="14"/>
      <c r="M663" s="14"/>
      <c r="N663" s="25"/>
      <c r="O663" s="14"/>
    </row>
    <row r="664">
      <c r="B664" s="53"/>
      <c r="C664" s="14"/>
      <c r="D664" s="14"/>
      <c r="E664" s="14"/>
      <c r="F664" s="14"/>
      <c r="G664" s="14"/>
      <c r="H664" s="14"/>
      <c r="I664" s="14"/>
      <c r="J664" s="14"/>
      <c r="K664" s="14"/>
      <c r="L664" s="14"/>
      <c r="M664" s="14"/>
      <c r="N664" s="25"/>
      <c r="O664" s="14"/>
    </row>
    <row r="665">
      <c r="B665" s="53"/>
      <c r="C665" s="14"/>
      <c r="D665" s="14"/>
      <c r="E665" s="14"/>
      <c r="F665" s="14"/>
      <c r="G665" s="14"/>
      <c r="H665" s="14"/>
      <c r="I665" s="14"/>
      <c r="J665" s="14"/>
      <c r="K665" s="14"/>
      <c r="L665" s="14"/>
      <c r="M665" s="14"/>
      <c r="N665" s="25"/>
      <c r="O665" s="14"/>
    </row>
    <row r="666">
      <c r="B666" s="53"/>
      <c r="C666" s="14"/>
      <c r="D666" s="14"/>
      <c r="E666" s="14"/>
      <c r="F666" s="14"/>
      <c r="G666" s="14"/>
      <c r="H666" s="14"/>
      <c r="I666" s="14"/>
      <c r="J666" s="14"/>
      <c r="K666" s="14"/>
      <c r="L666" s="14"/>
      <c r="M666" s="14"/>
      <c r="N666" s="25"/>
      <c r="O666" s="14"/>
    </row>
    <row r="667">
      <c r="B667" s="53"/>
      <c r="C667" s="14"/>
      <c r="D667" s="14"/>
      <c r="E667" s="14"/>
      <c r="F667" s="14"/>
      <c r="G667" s="14"/>
      <c r="H667" s="14"/>
      <c r="I667" s="14"/>
      <c r="J667" s="14"/>
      <c r="K667" s="14"/>
      <c r="L667" s="14"/>
      <c r="M667" s="14"/>
      <c r="N667" s="25"/>
      <c r="O667" s="14"/>
    </row>
    <row r="668">
      <c r="B668" s="53"/>
      <c r="C668" s="14"/>
      <c r="D668" s="14"/>
      <c r="E668" s="14"/>
      <c r="F668" s="14"/>
      <c r="G668" s="14"/>
      <c r="H668" s="14"/>
      <c r="I668" s="14"/>
      <c r="J668" s="14"/>
      <c r="K668" s="14"/>
      <c r="L668" s="14"/>
      <c r="M668" s="14"/>
      <c r="N668" s="25"/>
      <c r="O668" s="14"/>
    </row>
    <row r="669">
      <c r="B669" s="53"/>
      <c r="C669" s="14"/>
      <c r="D669" s="14"/>
      <c r="E669" s="14"/>
      <c r="F669" s="14"/>
      <c r="G669" s="14"/>
      <c r="H669" s="14"/>
      <c r="I669" s="14"/>
      <c r="J669" s="14"/>
      <c r="K669" s="14"/>
      <c r="L669" s="14"/>
      <c r="M669" s="14"/>
      <c r="N669" s="25"/>
      <c r="O669" s="14"/>
    </row>
    <row r="670">
      <c r="B670" s="53"/>
      <c r="C670" s="14"/>
      <c r="D670" s="14"/>
      <c r="E670" s="14"/>
      <c r="F670" s="14"/>
      <c r="G670" s="14"/>
      <c r="H670" s="14"/>
      <c r="I670" s="14"/>
      <c r="J670" s="14"/>
      <c r="K670" s="14"/>
      <c r="L670" s="14"/>
      <c r="M670" s="14"/>
      <c r="N670" s="25"/>
      <c r="O670" s="14"/>
    </row>
    <row r="671">
      <c r="B671" s="53"/>
      <c r="C671" s="14"/>
      <c r="D671" s="14"/>
      <c r="E671" s="14"/>
      <c r="F671" s="14"/>
      <c r="G671" s="14"/>
      <c r="H671" s="14"/>
      <c r="I671" s="14"/>
      <c r="J671" s="14"/>
      <c r="K671" s="14"/>
      <c r="L671" s="14"/>
      <c r="M671" s="14"/>
      <c r="N671" s="25"/>
      <c r="O671" s="14"/>
    </row>
    <row r="672">
      <c r="B672" s="53"/>
      <c r="C672" s="14"/>
      <c r="D672" s="14"/>
      <c r="E672" s="14"/>
      <c r="F672" s="14"/>
      <c r="G672" s="14"/>
      <c r="H672" s="14"/>
      <c r="I672" s="14"/>
      <c r="J672" s="14"/>
      <c r="K672" s="14"/>
      <c r="L672" s="14"/>
      <c r="M672" s="14"/>
      <c r="N672" s="25"/>
      <c r="O672" s="14"/>
    </row>
    <row r="673">
      <c r="B673" s="53"/>
      <c r="C673" s="14"/>
      <c r="D673" s="14"/>
      <c r="E673" s="14"/>
      <c r="F673" s="14"/>
      <c r="G673" s="14"/>
      <c r="H673" s="14"/>
      <c r="I673" s="14"/>
      <c r="J673" s="14"/>
      <c r="K673" s="14"/>
      <c r="L673" s="14"/>
      <c r="M673" s="14"/>
      <c r="N673" s="25"/>
      <c r="O673" s="14"/>
    </row>
    <row r="674">
      <c r="B674" s="53"/>
      <c r="C674" s="14"/>
      <c r="D674" s="14"/>
      <c r="E674" s="14"/>
      <c r="F674" s="14"/>
      <c r="G674" s="14"/>
      <c r="H674" s="14"/>
      <c r="I674" s="14"/>
      <c r="J674" s="14"/>
      <c r="K674" s="14"/>
      <c r="L674" s="14"/>
      <c r="M674" s="14"/>
      <c r="N674" s="25"/>
      <c r="O674" s="14"/>
    </row>
    <row r="675">
      <c r="B675" s="53"/>
      <c r="C675" s="14"/>
      <c r="D675" s="14"/>
      <c r="E675" s="14"/>
      <c r="F675" s="14"/>
      <c r="G675" s="14"/>
      <c r="H675" s="14"/>
      <c r="I675" s="14"/>
      <c r="J675" s="14"/>
      <c r="K675" s="14"/>
      <c r="L675" s="14"/>
      <c r="M675" s="14"/>
      <c r="N675" s="25"/>
      <c r="O675" s="14"/>
    </row>
    <row r="676">
      <c r="B676" s="53"/>
      <c r="C676" s="14"/>
      <c r="D676" s="14"/>
      <c r="E676" s="14"/>
      <c r="F676" s="14"/>
      <c r="G676" s="14"/>
      <c r="H676" s="14"/>
      <c r="I676" s="14"/>
      <c r="J676" s="14"/>
      <c r="K676" s="14"/>
      <c r="L676" s="14"/>
      <c r="M676" s="14"/>
      <c r="N676" s="25"/>
      <c r="O676" s="14"/>
    </row>
    <row r="677">
      <c r="B677" s="53"/>
      <c r="C677" s="14"/>
      <c r="D677" s="14"/>
      <c r="E677" s="14"/>
      <c r="F677" s="14"/>
      <c r="G677" s="14"/>
      <c r="H677" s="14"/>
      <c r="I677" s="14"/>
      <c r="J677" s="14"/>
      <c r="K677" s="14"/>
      <c r="L677" s="14"/>
      <c r="M677" s="14"/>
      <c r="N677" s="25"/>
      <c r="O677" s="14"/>
    </row>
    <row r="678">
      <c r="B678" s="53"/>
      <c r="C678" s="14"/>
      <c r="D678" s="14"/>
      <c r="E678" s="14"/>
      <c r="F678" s="14"/>
      <c r="G678" s="14"/>
      <c r="H678" s="14"/>
      <c r="I678" s="14"/>
      <c r="J678" s="14"/>
      <c r="K678" s="14"/>
      <c r="L678" s="14"/>
      <c r="M678" s="14"/>
      <c r="N678" s="25"/>
      <c r="O678" s="14"/>
    </row>
    <row r="679">
      <c r="B679" s="53"/>
      <c r="C679" s="14"/>
      <c r="D679" s="14"/>
      <c r="E679" s="14"/>
      <c r="F679" s="14"/>
      <c r="G679" s="14"/>
      <c r="H679" s="14"/>
      <c r="I679" s="14"/>
      <c r="J679" s="14"/>
      <c r="K679" s="14"/>
      <c r="L679" s="14"/>
      <c r="M679" s="14"/>
      <c r="N679" s="25"/>
      <c r="O679" s="14"/>
    </row>
    <row r="680">
      <c r="B680" s="53"/>
      <c r="C680" s="14"/>
      <c r="D680" s="14"/>
      <c r="E680" s="14"/>
      <c r="F680" s="14"/>
      <c r="G680" s="14"/>
      <c r="H680" s="14"/>
      <c r="I680" s="14"/>
      <c r="J680" s="14"/>
      <c r="K680" s="14"/>
      <c r="L680" s="14"/>
      <c r="M680" s="14"/>
      <c r="N680" s="25"/>
      <c r="O680" s="14"/>
    </row>
    <row r="681">
      <c r="B681" s="53"/>
      <c r="C681" s="14"/>
      <c r="D681" s="14"/>
      <c r="E681" s="14"/>
      <c r="F681" s="14"/>
      <c r="G681" s="14"/>
      <c r="H681" s="14"/>
      <c r="I681" s="14"/>
      <c r="J681" s="14"/>
      <c r="K681" s="14"/>
      <c r="L681" s="14"/>
      <c r="M681" s="14"/>
      <c r="N681" s="25"/>
      <c r="O681" s="14"/>
    </row>
    <row r="682">
      <c r="B682" s="53"/>
      <c r="C682" s="14"/>
      <c r="D682" s="14"/>
      <c r="E682" s="14"/>
      <c r="F682" s="14"/>
      <c r="G682" s="14"/>
      <c r="H682" s="14"/>
      <c r="I682" s="14"/>
      <c r="J682" s="14"/>
      <c r="K682" s="14"/>
      <c r="L682" s="14"/>
      <c r="M682" s="14"/>
      <c r="N682" s="25"/>
      <c r="O682" s="14"/>
    </row>
    <row r="683">
      <c r="B683" s="53"/>
      <c r="C683" s="14"/>
      <c r="D683" s="14"/>
      <c r="E683" s="14"/>
      <c r="F683" s="14"/>
      <c r="G683" s="14"/>
      <c r="H683" s="14"/>
      <c r="I683" s="14"/>
      <c r="J683" s="14"/>
      <c r="K683" s="14"/>
      <c r="L683" s="14"/>
      <c r="M683" s="14"/>
      <c r="N683" s="25"/>
      <c r="O683" s="14"/>
    </row>
    <row r="684">
      <c r="B684" s="53"/>
      <c r="C684" s="14"/>
      <c r="D684" s="14"/>
      <c r="E684" s="14"/>
      <c r="F684" s="14"/>
      <c r="G684" s="14"/>
      <c r="H684" s="14"/>
      <c r="I684" s="14"/>
      <c r="J684" s="14"/>
      <c r="K684" s="14"/>
      <c r="L684" s="14"/>
      <c r="M684" s="14"/>
      <c r="N684" s="25"/>
      <c r="O684" s="14"/>
    </row>
    <row r="685">
      <c r="B685" s="53"/>
      <c r="C685" s="14"/>
      <c r="D685" s="14"/>
      <c r="E685" s="14"/>
      <c r="F685" s="14"/>
      <c r="G685" s="14"/>
      <c r="H685" s="14"/>
      <c r="I685" s="14"/>
      <c r="J685" s="14"/>
      <c r="K685" s="14"/>
      <c r="L685" s="14"/>
      <c r="M685" s="14"/>
      <c r="N685" s="25"/>
      <c r="O685" s="14"/>
    </row>
    <row r="686">
      <c r="B686" s="53"/>
      <c r="C686" s="14"/>
      <c r="D686" s="14"/>
      <c r="E686" s="14"/>
      <c r="F686" s="14"/>
      <c r="G686" s="14"/>
      <c r="H686" s="14"/>
      <c r="I686" s="14"/>
      <c r="J686" s="14"/>
      <c r="K686" s="14"/>
      <c r="L686" s="14"/>
      <c r="M686" s="14"/>
      <c r="N686" s="25"/>
      <c r="O686" s="14"/>
    </row>
    <row r="687">
      <c r="B687" s="53"/>
      <c r="C687" s="14"/>
      <c r="D687" s="14"/>
      <c r="E687" s="14"/>
      <c r="F687" s="14"/>
      <c r="G687" s="14"/>
      <c r="H687" s="14"/>
      <c r="I687" s="14"/>
      <c r="J687" s="14"/>
      <c r="K687" s="14"/>
      <c r="L687" s="14"/>
      <c r="M687" s="14"/>
      <c r="N687" s="25"/>
      <c r="O687" s="14"/>
    </row>
    <row r="688">
      <c r="B688" s="53"/>
      <c r="C688" s="14"/>
      <c r="D688" s="14"/>
      <c r="E688" s="14"/>
      <c r="F688" s="14"/>
      <c r="G688" s="14"/>
      <c r="H688" s="14"/>
      <c r="I688" s="14"/>
      <c r="J688" s="14"/>
      <c r="K688" s="14"/>
      <c r="L688" s="14"/>
      <c r="M688" s="14"/>
      <c r="N688" s="25"/>
      <c r="O688" s="14"/>
    </row>
    <row r="689">
      <c r="B689" s="53"/>
      <c r="C689" s="14"/>
      <c r="D689" s="14"/>
      <c r="E689" s="14"/>
      <c r="F689" s="14"/>
      <c r="G689" s="14"/>
      <c r="H689" s="14"/>
      <c r="I689" s="14"/>
      <c r="J689" s="14"/>
      <c r="K689" s="14"/>
      <c r="L689" s="14"/>
      <c r="M689" s="14"/>
      <c r="N689" s="25"/>
      <c r="O689" s="14"/>
    </row>
    <row r="690">
      <c r="B690" s="53"/>
      <c r="C690" s="14"/>
      <c r="D690" s="14"/>
      <c r="E690" s="14"/>
      <c r="F690" s="14"/>
      <c r="G690" s="14"/>
      <c r="H690" s="14"/>
      <c r="I690" s="14"/>
      <c r="J690" s="14"/>
      <c r="K690" s="14"/>
      <c r="L690" s="14"/>
      <c r="M690" s="14"/>
      <c r="N690" s="25"/>
      <c r="O690" s="14"/>
    </row>
    <row r="691">
      <c r="B691" s="53"/>
      <c r="C691" s="14"/>
      <c r="D691" s="14"/>
      <c r="E691" s="14"/>
      <c r="F691" s="14"/>
      <c r="G691" s="14"/>
      <c r="H691" s="14"/>
      <c r="I691" s="14"/>
      <c r="J691" s="14"/>
      <c r="K691" s="14"/>
      <c r="L691" s="14"/>
      <c r="M691" s="14"/>
      <c r="N691" s="25"/>
      <c r="O691" s="14"/>
    </row>
    <row r="692">
      <c r="B692" s="53"/>
      <c r="C692" s="14"/>
      <c r="D692" s="14"/>
      <c r="E692" s="14"/>
      <c r="F692" s="14"/>
      <c r="G692" s="14"/>
      <c r="H692" s="14"/>
      <c r="I692" s="14"/>
      <c r="J692" s="14"/>
      <c r="K692" s="14"/>
      <c r="L692" s="14"/>
      <c r="M692" s="14"/>
      <c r="N692" s="25"/>
      <c r="O692" s="14"/>
    </row>
    <row r="693">
      <c r="B693" s="53"/>
      <c r="C693" s="14"/>
      <c r="D693" s="14"/>
      <c r="E693" s="14"/>
      <c r="F693" s="14"/>
      <c r="G693" s="14"/>
      <c r="H693" s="14"/>
      <c r="I693" s="14"/>
      <c r="J693" s="14"/>
      <c r="K693" s="14"/>
      <c r="L693" s="14"/>
      <c r="M693" s="14"/>
      <c r="N693" s="25"/>
      <c r="O693" s="14"/>
    </row>
    <row r="694">
      <c r="B694" s="53"/>
      <c r="C694" s="14"/>
      <c r="D694" s="14"/>
      <c r="E694" s="14"/>
      <c r="F694" s="14"/>
      <c r="G694" s="14"/>
      <c r="H694" s="14"/>
      <c r="I694" s="14"/>
      <c r="J694" s="14"/>
      <c r="K694" s="14"/>
      <c r="L694" s="14"/>
      <c r="M694" s="14"/>
      <c r="N694" s="25"/>
      <c r="O694" s="14"/>
    </row>
    <row r="695">
      <c r="B695" s="53"/>
      <c r="C695" s="14"/>
      <c r="D695" s="14"/>
      <c r="E695" s="14"/>
      <c r="F695" s="14"/>
      <c r="G695" s="14"/>
      <c r="H695" s="14"/>
      <c r="I695" s="14"/>
      <c r="J695" s="14"/>
      <c r="K695" s="14"/>
      <c r="L695" s="14"/>
      <c r="M695" s="14"/>
      <c r="N695" s="25"/>
      <c r="O695" s="14"/>
    </row>
    <row r="696">
      <c r="B696" s="53"/>
      <c r="C696" s="14"/>
      <c r="D696" s="14"/>
      <c r="E696" s="14"/>
      <c r="F696" s="14"/>
      <c r="G696" s="14"/>
      <c r="H696" s="14"/>
      <c r="I696" s="14"/>
      <c r="J696" s="14"/>
      <c r="K696" s="14"/>
      <c r="L696" s="14"/>
      <c r="M696" s="14"/>
      <c r="N696" s="25"/>
      <c r="O696" s="14"/>
    </row>
    <row r="697">
      <c r="B697" s="53"/>
      <c r="C697" s="14"/>
      <c r="D697" s="14"/>
      <c r="E697" s="14"/>
      <c r="F697" s="14"/>
      <c r="G697" s="14"/>
      <c r="H697" s="14"/>
      <c r="I697" s="14"/>
      <c r="J697" s="14"/>
      <c r="K697" s="14"/>
      <c r="L697" s="14"/>
      <c r="M697" s="14"/>
      <c r="N697" s="25"/>
      <c r="O697" s="14"/>
    </row>
    <row r="698">
      <c r="B698" s="53"/>
      <c r="C698" s="14"/>
      <c r="D698" s="14"/>
      <c r="E698" s="14"/>
      <c r="F698" s="14"/>
      <c r="G698" s="14"/>
      <c r="H698" s="14"/>
      <c r="I698" s="14"/>
      <c r="J698" s="14"/>
      <c r="K698" s="14"/>
      <c r="L698" s="14"/>
      <c r="M698" s="14"/>
      <c r="N698" s="25"/>
      <c r="O698" s="14"/>
    </row>
    <row r="699">
      <c r="B699" s="53"/>
      <c r="C699" s="14"/>
      <c r="D699" s="14"/>
      <c r="E699" s="14"/>
      <c r="F699" s="14"/>
      <c r="G699" s="14"/>
      <c r="H699" s="14"/>
      <c r="I699" s="14"/>
      <c r="J699" s="14"/>
      <c r="K699" s="14"/>
      <c r="L699" s="14"/>
      <c r="M699" s="14"/>
      <c r="N699" s="25"/>
      <c r="O699" s="14"/>
    </row>
    <row r="700">
      <c r="B700" s="53"/>
      <c r="C700" s="14"/>
      <c r="D700" s="14"/>
      <c r="E700" s="14"/>
      <c r="F700" s="14"/>
      <c r="G700" s="14"/>
      <c r="H700" s="14"/>
      <c r="I700" s="14"/>
      <c r="J700" s="14"/>
      <c r="K700" s="14"/>
      <c r="L700" s="14"/>
      <c r="M700" s="14"/>
      <c r="N700" s="25"/>
      <c r="O700" s="14"/>
    </row>
    <row r="701">
      <c r="B701" s="53"/>
      <c r="C701" s="14"/>
      <c r="D701" s="14"/>
      <c r="E701" s="14"/>
      <c r="F701" s="14"/>
      <c r="G701" s="14"/>
      <c r="H701" s="14"/>
      <c r="I701" s="14"/>
      <c r="J701" s="14"/>
      <c r="K701" s="14"/>
      <c r="L701" s="14"/>
      <c r="M701" s="14"/>
      <c r="N701" s="25"/>
      <c r="O701" s="14"/>
    </row>
    <row r="702">
      <c r="B702" s="53"/>
      <c r="C702" s="14"/>
      <c r="D702" s="14"/>
      <c r="E702" s="14"/>
      <c r="F702" s="14"/>
      <c r="G702" s="14"/>
      <c r="H702" s="14"/>
      <c r="I702" s="14"/>
      <c r="J702" s="14"/>
      <c r="K702" s="14"/>
      <c r="L702" s="14"/>
      <c r="M702" s="14"/>
      <c r="N702" s="25"/>
      <c r="O702" s="14"/>
    </row>
    <row r="703">
      <c r="B703" s="53"/>
      <c r="C703" s="14"/>
      <c r="D703" s="14"/>
      <c r="E703" s="14"/>
      <c r="F703" s="14"/>
      <c r="G703" s="14"/>
      <c r="H703" s="14"/>
      <c r="I703" s="14"/>
      <c r="J703" s="14"/>
      <c r="K703" s="14"/>
      <c r="L703" s="14"/>
      <c r="M703" s="14"/>
      <c r="N703" s="25"/>
      <c r="O703" s="14"/>
    </row>
    <row r="704">
      <c r="B704" s="53"/>
      <c r="C704" s="14"/>
      <c r="D704" s="14"/>
      <c r="E704" s="14"/>
      <c r="F704" s="14"/>
      <c r="G704" s="14"/>
      <c r="H704" s="14"/>
      <c r="I704" s="14"/>
      <c r="J704" s="14"/>
      <c r="K704" s="14"/>
      <c r="L704" s="14"/>
      <c r="M704" s="14"/>
      <c r="N704" s="25"/>
      <c r="O704" s="14"/>
    </row>
    <row r="705">
      <c r="B705" s="53"/>
      <c r="C705" s="14"/>
      <c r="D705" s="14"/>
      <c r="E705" s="14"/>
      <c r="F705" s="14"/>
      <c r="G705" s="14"/>
      <c r="H705" s="14"/>
      <c r="I705" s="14"/>
      <c r="J705" s="14"/>
      <c r="K705" s="14"/>
      <c r="L705" s="14"/>
      <c r="M705" s="14"/>
      <c r="N705" s="25"/>
      <c r="O705" s="14"/>
    </row>
    <row r="706">
      <c r="B706" s="53"/>
      <c r="C706" s="14"/>
      <c r="D706" s="14"/>
      <c r="E706" s="14"/>
      <c r="F706" s="14"/>
      <c r="G706" s="14"/>
      <c r="H706" s="14"/>
      <c r="I706" s="14"/>
      <c r="J706" s="14"/>
      <c r="K706" s="14"/>
      <c r="L706" s="14"/>
      <c r="M706" s="14"/>
      <c r="N706" s="25"/>
      <c r="O706" s="14"/>
    </row>
    <row r="707">
      <c r="B707" s="53"/>
      <c r="C707" s="14"/>
      <c r="D707" s="14"/>
      <c r="E707" s="14"/>
      <c r="F707" s="14"/>
      <c r="G707" s="14"/>
      <c r="H707" s="14"/>
      <c r="I707" s="14"/>
      <c r="J707" s="14"/>
      <c r="K707" s="14"/>
      <c r="L707" s="14"/>
      <c r="M707" s="14"/>
      <c r="N707" s="25"/>
      <c r="O707" s="14"/>
    </row>
    <row r="708">
      <c r="B708" s="53"/>
      <c r="C708" s="14"/>
      <c r="D708" s="14"/>
      <c r="E708" s="14"/>
      <c r="F708" s="14"/>
      <c r="G708" s="14"/>
      <c r="H708" s="14"/>
      <c r="I708" s="14"/>
      <c r="J708" s="14"/>
      <c r="K708" s="14"/>
      <c r="L708" s="14"/>
      <c r="M708" s="14"/>
      <c r="N708" s="25"/>
      <c r="O708" s="14"/>
    </row>
    <row r="709">
      <c r="B709" s="53"/>
      <c r="C709" s="14"/>
      <c r="D709" s="14"/>
      <c r="E709" s="14"/>
      <c r="F709" s="14"/>
      <c r="G709" s="14"/>
      <c r="H709" s="14"/>
      <c r="I709" s="14"/>
      <c r="J709" s="14"/>
      <c r="K709" s="14"/>
      <c r="L709" s="14"/>
      <c r="M709" s="14"/>
      <c r="N709" s="25"/>
      <c r="O709" s="14"/>
    </row>
    <row r="710">
      <c r="B710" s="53"/>
      <c r="C710" s="14"/>
      <c r="D710" s="14"/>
      <c r="E710" s="14"/>
      <c r="F710" s="14"/>
      <c r="G710" s="14"/>
      <c r="H710" s="14"/>
      <c r="I710" s="14"/>
      <c r="J710" s="14"/>
      <c r="K710" s="14"/>
      <c r="L710" s="14"/>
      <c r="M710" s="14"/>
      <c r="N710" s="25"/>
      <c r="O710" s="14"/>
    </row>
    <row r="711">
      <c r="B711" s="53"/>
      <c r="C711" s="14"/>
      <c r="D711" s="14"/>
      <c r="E711" s="14"/>
      <c r="F711" s="14"/>
      <c r="G711" s="14"/>
      <c r="H711" s="14"/>
      <c r="I711" s="14"/>
      <c r="J711" s="14"/>
      <c r="K711" s="14"/>
      <c r="L711" s="14"/>
      <c r="M711" s="14"/>
      <c r="N711" s="25"/>
      <c r="O711" s="14"/>
    </row>
    <row r="712">
      <c r="B712" s="53"/>
      <c r="C712" s="14"/>
      <c r="D712" s="14"/>
      <c r="E712" s="14"/>
      <c r="F712" s="14"/>
      <c r="G712" s="14"/>
      <c r="H712" s="14"/>
      <c r="I712" s="14"/>
      <c r="J712" s="14"/>
      <c r="K712" s="14"/>
      <c r="L712" s="14"/>
      <c r="M712" s="14"/>
      <c r="N712" s="25"/>
      <c r="O712" s="14"/>
    </row>
    <row r="713">
      <c r="B713" s="53"/>
      <c r="C713" s="14"/>
      <c r="D713" s="14"/>
      <c r="E713" s="14"/>
      <c r="F713" s="14"/>
      <c r="G713" s="14"/>
      <c r="H713" s="14"/>
      <c r="I713" s="14"/>
      <c r="J713" s="14"/>
      <c r="K713" s="14"/>
      <c r="L713" s="14"/>
      <c r="M713" s="14"/>
      <c r="N713" s="25"/>
      <c r="O713" s="14"/>
    </row>
    <row r="714">
      <c r="B714" s="53"/>
      <c r="C714" s="14"/>
      <c r="D714" s="14"/>
      <c r="E714" s="14"/>
      <c r="F714" s="14"/>
      <c r="G714" s="14"/>
      <c r="H714" s="14"/>
      <c r="I714" s="14"/>
      <c r="J714" s="14"/>
      <c r="K714" s="14"/>
      <c r="L714" s="14"/>
      <c r="M714" s="14"/>
      <c r="N714" s="25"/>
      <c r="O714" s="14"/>
    </row>
    <row r="715">
      <c r="B715" s="53"/>
      <c r="C715" s="14"/>
      <c r="D715" s="14"/>
      <c r="E715" s="14"/>
      <c r="F715" s="14"/>
      <c r="G715" s="14"/>
      <c r="H715" s="14"/>
      <c r="I715" s="14"/>
      <c r="J715" s="14"/>
      <c r="K715" s="14"/>
      <c r="L715" s="14"/>
      <c r="M715" s="14"/>
      <c r="N715" s="25"/>
      <c r="O715" s="14"/>
    </row>
    <row r="716">
      <c r="B716" s="53"/>
      <c r="C716" s="14"/>
      <c r="D716" s="14"/>
      <c r="E716" s="14"/>
      <c r="F716" s="14"/>
      <c r="G716" s="14"/>
      <c r="H716" s="14"/>
      <c r="I716" s="14"/>
      <c r="J716" s="14"/>
      <c r="K716" s="14"/>
      <c r="L716" s="14"/>
      <c r="M716" s="14"/>
      <c r="N716" s="25"/>
      <c r="O716" s="14"/>
    </row>
    <row r="717">
      <c r="B717" s="53"/>
      <c r="C717" s="14"/>
      <c r="D717" s="14"/>
      <c r="E717" s="14"/>
      <c r="F717" s="14"/>
      <c r="G717" s="14"/>
      <c r="H717" s="14"/>
      <c r="I717" s="14"/>
      <c r="J717" s="14"/>
      <c r="K717" s="14"/>
      <c r="L717" s="14"/>
      <c r="M717" s="14"/>
      <c r="N717" s="25"/>
      <c r="O717" s="14"/>
    </row>
    <row r="718">
      <c r="B718" s="53"/>
      <c r="C718" s="14"/>
      <c r="D718" s="14"/>
      <c r="E718" s="14"/>
      <c r="F718" s="14"/>
      <c r="G718" s="14"/>
      <c r="H718" s="14"/>
      <c r="I718" s="14"/>
      <c r="J718" s="14"/>
      <c r="K718" s="14"/>
      <c r="L718" s="14"/>
      <c r="M718" s="14"/>
      <c r="N718" s="25"/>
      <c r="O718" s="14"/>
    </row>
    <row r="719">
      <c r="B719" s="53"/>
      <c r="C719" s="14"/>
      <c r="D719" s="14"/>
      <c r="E719" s="14"/>
      <c r="F719" s="14"/>
      <c r="G719" s="14"/>
      <c r="H719" s="14"/>
      <c r="I719" s="14"/>
      <c r="J719" s="14"/>
      <c r="K719" s="14"/>
      <c r="L719" s="14"/>
      <c r="M719" s="14"/>
      <c r="N719" s="25"/>
      <c r="O719" s="14"/>
    </row>
    <row r="720">
      <c r="B720" s="53"/>
      <c r="C720" s="14"/>
      <c r="D720" s="14"/>
      <c r="E720" s="14"/>
      <c r="F720" s="14"/>
      <c r="G720" s="14"/>
      <c r="H720" s="14"/>
      <c r="I720" s="14"/>
      <c r="J720" s="14"/>
      <c r="K720" s="14"/>
      <c r="L720" s="14"/>
      <c r="M720" s="14"/>
      <c r="N720" s="25"/>
      <c r="O720" s="14"/>
    </row>
    <row r="721">
      <c r="B721" s="53"/>
      <c r="C721" s="14"/>
      <c r="D721" s="14"/>
      <c r="E721" s="14"/>
      <c r="F721" s="14"/>
      <c r="G721" s="14"/>
      <c r="H721" s="14"/>
      <c r="I721" s="14"/>
      <c r="J721" s="14"/>
      <c r="K721" s="14"/>
      <c r="L721" s="14"/>
      <c r="M721" s="14"/>
      <c r="N721" s="25"/>
      <c r="O721" s="14"/>
    </row>
    <row r="722">
      <c r="B722" s="53"/>
      <c r="C722" s="14"/>
      <c r="D722" s="14"/>
      <c r="E722" s="14"/>
      <c r="F722" s="14"/>
      <c r="G722" s="14"/>
      <c r="H722" s="14"/>
      <c r="I722" s="14"/>
      <c r="J722" s="14"/>
      <c r="K722" s="14"/>
      <c r="L722" s="14"/>
      <c r="M722" s="14"/>
      <c r="N722" s="25"/>
      <c r="O722" s="14"/>
    </row>
    <row r="723">
      <c r="B723" s="53"/>
      <c r="C723" s="14"/>
      <c r="D723" s="14"/>
      <c r="E723" s="14"/>
      <c r="F723" s="14"/>
      <c r="G723" s="14"/>
      <c r="H723" s="14"/>
      <c r="I723" s="14"/>
      <c r="J723" s="14"/>
      <c r="K723" s="14"/>
      <c r="L723" s="14"/>
      <c r="M723" s="14"/>
      <c r="N723" s="25"/>
      <c r="O723" s="14"/>
    </row>
    <row r="724">
      <c r="B724" s="53"/>
      <c r="C724" s="14"/>
      <c r="D724" s="14"/>
      <c r="E724" s="14"/>
      <c r="F724" s="14"/>
      <c r="G724" s="14"/>
      <c r="H724" s="14"/>
      <c r="I724" s="14"/>
      <c r="J724" s="14"/>
      <c r="K724" s="14"/>
      <c r="L724" s="14"/>
      <c r="M724" s="14"/>
      <c r="N724" s="25"/>
      <c r="O724" s="14"/>
    </row>
    <row r="725">
      <c r="B725" s="53"/>
      <c r="C725" s="14"/>
      <c r="D725" s="14"/>
      <c r="E725" s="14"/>
      <c r="F725" s="14"/>
      <c r="G725" s="14"/>
      <c r="H725" s="14"/>
      <c r="I725" s="14"/>
      <c r="J725" s="14"/>
      <c r="K725" s="14"/>
      <c r="L725" s="14"/>
      <c r="M725" s="14"/>
      <c r="N725" s="25"/>
      <c r="O725" s="14"/>
    </row>
    <row r="726">
      <c r="B726" s="53"/>
      <c r="C726" s="14"/>
      <c r="D726" s="14"/>
      <c r="E726" s="14"/>
      <c r="F726" s="14"/>
      <c r="G726" s="14"/>
      <c r="H726" s="14"/>
      <c r="I726" s="14"/>
      <c r="J726" s="14"/>
      <c r="K726" s="14"/>
      <c r="L726" s="14"/>
      <c r="M726" s="14"/>
      <c r="N726" s="25"/>
      <c r="O726" s="14"/>
    </row>
    <row r="727">
      <c r="B727" s="53"/>
      <c r="C727" s="14"/>
      <c r="D727" s="14"/>
      <c r="E727" s="14"/>
      <c r="F727" s="14"/>
      <c r="G727" s="14"/>
      <c r="H727" s="14"/>
      <c r="I727" s="14"/>
      <c r="J727" s="14"/>
      <c r="K727" s="14"/>
      <c r="L727" s="14"/>
      <c r="M727" s="14"/>
      <c r="N727" s="25"/>
      <c r="O727" s="14"/>
    </row>
    <row r="728">
      <c r="B728" s="53"/>
      <c r="C728" s="14"/>
      <c r="D728" s="14"/>
      <c r="E728" s="14"/>
      <c r="F728" s="14"/>
      <c r="G728" s="14"/>
      <c r="H728" s="14"/>
      <c r="I728" s="14"/>
      <c r="J728" s="14"/>
      <c r="K728" s="14"/>
      <c r="L728" s="14"/>
      <c r="M728" s="14"/>
      <c r="N728" s="25"/>
      <c r="O728" s="14"/>
    </row>
    <row r="729">
      <c r="B729" s="53"/>
      <c r="C729" s="14"/>
      <c r="D729" s="14"/>
      <c r="E729" s="14"/>
      <c r="F729" s="14"/>
      <c r="G729" s="14"/>
      <c r="H729" s="14"/>
      <c r="I729" s="14"/>
      <c r="J729" s="14"/>
      <c r="K729" s="14"/>
      <c r="L729" s="14"/>
      <c r="M729" s="14"/>
      <c r="N729" s="25"/>
      <c r="O729" s="14"/>
    </row>
    <row r="730">
      <c r="B730" s="53"/>
      <c r="C730" s="14"/>
      <c r="D730" s="14"/>
      <c r="E730" s="14"/>
      <c r="F730" s="14"/>
      <c r="G730" s="14"/>
      <c r="H730" s="14"/>
      <c r="I730" s="14"/>
      <c r="J730" s="14"/>
      <c r="K730" s="14"/>
      <c r="L730" s="14"/>
      <c r="M730" s="14"/>
      <c r="N730" s="25"/>
      <c r="O730" s="14"/>
    </row>
    <row r="731">
      <c r="B731" s="53"/>
      <c r="C731" s="14"/>
      <c r="D731" s="14"/>
      <c r="E731" s="14"/>
      <c r="F731" s="14"/>
      <c r="G731" s="14"/>
      <c r="H731" s="14"/>
      <c r="I731" s="14"/>
      <c r="J731" s="14"/>
      <c r="K731" s="14"/>
      <c r="L731" s="14"/>
      <c r="M731" s="14"/>
      <c r="N731" s="25"/>
      <c r="O731" s="14"/>
    </row>
    <row r="732">
      <c r="B732" s="53"/>
      <c r="C732" s="14"/>
      <c r="D732" s="14"/>
      <c r="E732" s="14"/>
      <c r="F732" s="14"/>
      <c r="G732" s="14"/>
      <c r="H732" s="14"/>
      <c r="I732" s="14"/>
      <c r="J732" s="14"/>
      <c r="K732" s="14"/>
      <c r="L732" s="14"/>
      <c r="M732" s="14"/>
      <c r="N732" s="25"/>
      <c r="O732" s="14"/>
    </row>
    <row r="733">
      <c r="B733" s="53"/>
      <c r="C733" s="14"/>
      <c r="D733" s="14"/>
      <c r="E733" s="14"/>
      <c r="F733" s="14"/>
      <c r="G733" s="14"/>
      <c r="H733" s="14"/>
      <c r="I733" s="14"/>
      <c r="J733" s="14"/>
      <c r="K733" s="14"/>
      <c r="L733" s="14"/>
      <c r="M733" s="14"/>
      <c r="N733" s="25"/>
      <c r="O733" s="14"/>
    </row>
    <row r="734">
      <c r="B734" s="53"/>
      <c r="C734" s="14"/>
      <c r="D734" s="14"/>
      <c r="E734" s="14"/>
      <c r="F734" s="14"/>
      <c r="G734" s="14"/>
      <c r="H734" s="14"/>
      <c r="I734" s="14"/>
      <c r="J734" s="14"/>
      <c r="K734" s="14"/>
      <c r="L734" s="14"/>
      <c r="M734" s="14"/>
      <c r="N734" s="25"/>
      <c r="O734" s="14"/>
    </row>
    <row r="735">
      <c r="B735" s="53"/>
      <c r="C735" s="14"/>
      <c r="D735" s="14"/>
      <c r="E735" s="14"/>
      <c r="F735" s="14"/>
      <c r="G735" s="14"/>
      <c r="H735" s="14"/>
      <c r="I735" s="14"/>
      <c r="J735" s="14"/>
      <c r="K735" s="14"/>
      <c r="L735" s="14"/>
      <c r="M735" s="14"/>
      <c r="N735" s="25"/>
      <c r="O735" s="14"/>
    </row>
    <row r="736">
      <c r="B736" s="53"/>
      <c r="C736" s="14"/>
      <c r="D736" s="14"/>
      <c r="E736" s="14"/>
      <c r="F736" s="14"/>
      <c r="G736" s="14"/>
      <c r="H736" s="14"/>
      <c r="I736" s="14"/>
      <c r="J736" s="14"/>
      <c r="K736" s="14"/>
      <c r="L736" s="14"/>
      <c r="M736" s="14"/>
      <c r="N736" s="25"/>
      <c r="O736" s="14"/>
    </row>
    <row r="737">
      <c r="B737" s="53"/>
      <c r="C737" s="14"/>
      <c r="D737" s="14"/>
      <c r="E737" s="14"/>
      <c r="F737" s="14"/>
      <c r="G737" s="14"/>
      <c r="H737" s="14"/>
      <c r="I737" s="14"/>
      <c r="J737" s="14"/>
      <c r="K737" s="14"/>
      <c r="L737" s="14"/>
      <c r="M737" s="14"/>
      <c r="N737" s="25"/>
      <c r="O737" s="14"/>
    </row>
    <row r="738">
      <c r="B738" s="53"/>
      <c r="C738" s="14"/>
      <c r="D738" s="14"/>
      <c r="E738" s="14"/>
      <c r="F738" s="14"/>
      <c r="G738" s="14"/>
      <c r="H738" s="14"/>
      <c r="I738" s="14"/>
      <c r="J738" s="14"/>
      <c r="K738" s="14"/>
      <c r="L738" s="14"/>
      <c r="M738" s="14"/>
      <c r="N738" s="25"/>
      <c r="O738" s="14"/>
    </row>
    <row r="739">
      <c r="B739" s="53"/>
      <c r="C739" s="14"/>
      <c r="D739" s="14"/>
      <c r="E739" s="14"/>
      <c r="F739" s="14"/>
      <c r="G739" s="14"/>
      <c r="H739" s="14"/>
      <c r="I739" s="14"/>
      <c r="J739" s="14"/>
      <c r="K739" s="14"/>
      <c r="L739" s="14"/>
      <c r="M739" s="14"/>
      <c r="N739" s="25"/>
      <c r="O739" s="14"/>
    </row>
    <row r="740">
      <c r="B740" s="53"/>
      <c r="C740" s="14"/>
      <c r="D740" s="14"/>
      <c r="E740" s="14"/>
      <c r="F740" s="14"/>
      <c r="G740" s="14"/>
      <c r="H740" s="14"/>
      <c r="I740" s="14"/>
      <c r="J740" s="14"/>
      <c r="K740" s="14"/>
      <c r="L740" s="14"/>
      <c r="M740" s="14"/>
      <c r="N740" s="25"/>
      <c r="O740" s="14"/>
    </row>
    <row r="741">
      <c r="B741" s="53"/>
      <c r="C741" s="14"/>
      <c r="D741" s="14"/>
      <c r="E741" s="14"/>
      <c r="F741" s="14"/>
      <c r="G741" s="14"/>
      <c r="H741" s="14"/>
      <c r="I741" s="14"/>
      <c r="J741" s="14"/>
      <c r="K741" s="14"/>
      <c r="L741" s="14"/>
      <c r="M741" s="14"/>
      <c r="N741" s="25"/>
      <c r="O741" s="14"/>
    </row>
    <row r="742">
      <c r="B742" s="53"/>
      <c r="C742" s="14"/>
      <c r="D742" s="14"/>
      <c r="E742" s="14"/>
      <c r="F742" s="14"/>
      <c r="G742" s="14"/>
      <c r="H742" s="14"/>
      <c r="I742" s="14"/>
      <c r="J742" s="14"/>
      <c r="K742" s="14"/>
      <c r="L742" s="14"/>
      <c r="M742" s="14"/>
      <c r="N742" s="25"/>
      <c r="O742" s="14"/>
    </row>
    <row r="743">
      <c r="B743" s="53"/>
      <c r="C743" s="14"/>
      <c r="D743" s="14"/>
      <c r="E743" s="14"/>
      <c r="F743" s="14"/>
      <c r="G743" s="14"/>
      <c r="H743" s="14"/>
      <c r="I743" s="14"/>
      <c r="J743" s="14"/>
      <c r="K743" s="14"/>
      <c r="L743" s="14"/>
      <c r="M743" s="14"/>
      <c r="N743" s="25"/>
      <c r="O743" s="14"/>
    </row>
    <row r="744">
      <c r="B744" s="53"/>
      <c r="C744" s="14"/>
      <c r="D744" s="14"/>
      <c r="E744" s="14"/>
      <c r="F744" s="14"/>
      <c r="G744" s="14"/>
      <c r="H744" s="14"/>
      <c r="I744" s="14"/>
      <c r="J744" s="14"/>
      <c r="K744" s="14"/>
      <c r="L744" s="14"/>
      <c r="M744" s="14"/>
      <c r="N744" s="25"/>
      <c r="O744" s="14"/>
    </row>
    <row r="745">
      <c r="B745" s="53"/>
      <c r="C745" s="14"/>
      <c r="D745" s="14"/>
      <c r="E745" s="14"/>
      <c r="F745" s="14"/>
      <c r="G745" s="14"/>
      <c r="H745" s="14"/>
      <c r="I745" s="14"/>
      <c r="J745" s="14"/>
      <c r="K745" s="14"/>
      <c r="L745" s="14"/>
      <c r="M745" s="14"/>
      <c r="N745" s="25"/>
      <c r="O745" s="14"/>
    </row>
    <row r="746">
      <c r="B746" s="53"/>
      <c r="C746" s="14"/>
      <c r="D746" s="14"/>
      <c r="E746" s="14"/>
      <c r="F746" s="14"/>
      <c r="G746" s="14"/>
      <c r="H746" s="14"/>
      <c r="I746" s="14"/>
      <c r="J746" s="14"/>
      <c r="K746" s="14"/>
      <c r="L746" s="14"/>
      <c r="M746" s="14"/>
      <c r="N746" s="25"/>
      <c r="O746" s="14"/>
    </row>
    <row r="747">
      <c r="B747" s="53"/>
      <c r="C747" s="14"/>
      <c r="D747" s="14"/>
      <c r="E747" s="14"/>
      <c r="F747" s="14"/>
      <c r="G747" s="14"/>
      <c r="H747" s="14"/>
      <c r="I747" s="14"/>
      <c r="J747" s="14"/>
      <c r="K747" s="14"/>
      <c r="L747" s="14"/>
      <c r="M747" s="14"/>
      <c r="N747" s="25"/>
      <c r="O747" s="14"/>
    </row>
    <row r="748">
      <c r="B748" s="53"/>
      <c r="C748" s="14"/>
      <c r="D748" s="14"/>
      <c r="E748" s="14"/>
      <c r="F748" s="14"/>
      <c r="G748" s="14"/>
      <c r="H748" s="14"/>
      <c r="I748" s="14"/>
      <c r="J748" s="14"/>
      <c r="K748" s="14"/>
      <c r="L748" s="14"/>
      <c r="M748" s="14"/>
      <c r="N748" s="25"/>
      <c r="O748" s="14"/>
    </row>
    <row r="749">
      <c r="B749" s="53"/>
      <c r="C749" s="14"/>
      <c r="D749" s="14"/>
      <c r="E749" s="14"/>
      <c r="F749" s="14"/>
      <c r="G749" s="14"/>
      <c r="H749" s="14"/>
      <c r="I749" s="14"/>
      <c r="J749" s="14"/>
      <c r="K749" s="14"/>
      <c r="L749" s="14"/>
      <c r="M749" s="14"/>
      <c r="N749" s="25"/>
      <c r="O749" s="14"/>
    </row>
    <row r="750">
      <c r="B750" s="53"/>
      <c r="C750" s="14"/>
      <c r="D750" s="14"/>
      <c r="E750" s="14"/>
      <c r="F750" s="14"/>
      <c r="G750" s="14"/>
      <c r="H750" s="14"/>
      <c r="I750" s="14"/>
      <c r="J750" s="14"/>
      <c r="K750" s="14"/>
      <c r="L750" s="14"/>
      <c r="M750" s="14"/>
      <c r="N750" s="25"/>
      <c r="O750" s="14"/>
    </row>
    <row r="751">
      <c r="B751" s="53"/>
      <c r="C751" s="14"/>
      <c r="D751" s="14"/>
      <c r="E751" s="14"/>
      <c r="F751" s="14"/>
      <c r="G751" s="14"/>
      <c r="H751" s="14"/>
      <c r="I751" s="14"/>
      <c r="J751" s="14"/>
      <c r="K751" s="14"/>
      <c r="L751" s="14"/>
      <c r="M751" s="14"/>
      <c r="N751" s="25"/>
      <c r="O751" s="14"/>
    </row>
    <row r="752">
      <c r="B752" s="53"/>
      <c r="C752" s="14"/>
      <c r="D752" s="14"/>
      <c r="E752" s="14"/>
      <c r="F752" s="14"/>
      <c r="G752" s="14"/>
      <c r="H752" s="14"/>
      <c r="I752" s="14"/>
      <c r="J752" s="14"/>
      <c r="K752" s="14"/>
      <c r="L752" s="14"/>
      <c r="M752" s="14"/>
      <c r="N752" s="25"/>
      <c r="O752" s="14"/>
    </row>
    <row r="753">
      <c r="B753" s="53"/>
      <c r="C753" s="14"/>
      <c r="D753" s="14"/>
      <c r="E753" s="14"/>
      <c r="F753" s="14"/>
      <c r="G753" s="14"/>
      <c r="H753" s="14"/>
      <c r="I753" s="14"/>
      <c r="J753" s="14"/>
      <c r="K753" s="14"/>
      <c r="L753" s="14"/>
      <c r="M753" s="14"/>
      <c r="N753" s="25"/>
      <c r="O753" s="14"/>
    </row>
    <row r="754">
      <c r="B754" s="53"/>
      <c r="C754" s="14"/>
      <c r="D754" s="14"/>
      <c r="E754" s="14"/>
      <c r="F754" s="14"/>
      <c r="G754" s="14"/>
      <c r="H754" s="14"/>
      <c r="I754" s="14"/>
      <c r="J754" s="14"/>
      <c r="K754" s="14"/>
      <c r="L754" s="14"/>
      <c r="M754" s="14"/>
      <c r="N754" s="25"/>
      <c r="O754" s="14"/>
    </row>
    <row r="755">
      <c r="B755" s="53"/>
      <c r="C755" s="14"/>
      <c r="D755" s="14"/>
      <c r="E755" s="14"/>
      <c r="F755" s="14"/>
      <c r="G755" s="14"/>
      <c r="H755" s="14"/>
      <c r="I755" s="14"/>
      <c r="J755" s="14"/>
      <c r="K755" s="14"/>
      <c r="L755" s="14"/>
      <c r="M755" s="14"/>
      <c r="N755" s="25"/>
      <c r="O755" s="14"/>
    </row>
    <row r="756">
      <c r="B756" s="53"/>
      <c r="C756" s="14"/>
      <c r="D756" s="14"/>
      <c r="E756" s="14"/>
      <c r="F756" s="14"/>
      <c r="G756" s="14"/>
      <c r="H756" s="14"/>
      <c r="I756" s="14"/>
      <c r="J756" s="14"/>
      <c r="K756" s="14"/>
      <c r="L756" s="14"/>
      <c r="M756" s="14"/>
      <c r="N756" s="25"/>
      <c r="O756" s="14"/>
    </row>
    <row r="757">
      <c r="B757" s="53"/>
      <c r="C757" s="14"/>
      <c r="D757" s="14"/>
      <c r="E757" s="14"/>
      <c r="F757" s="14"/>
      <c r="G757" s="14"/>
      <c r="H757" s="14"/>
      <c r="I757" s="14"/>
      <c r="J757" s="14"/>
      <c r="K757" s="14"/>
      <c r="L757" s="14"/>
      <c r="M757" s="14"/>
      <c r="N757" s="25"/>
      <c r="O757" s="14"/>
    </row>
    <row r="758">
      <c r="B758" s="53"/>
      <c r="C758" s="14"/>
      <c r="D758" s="14"/>
      <c r="E758" s="14"/>
      <c r="F758" s="14"/>
      <c r="G758" s="14"/>
      <c r="H758" s="14"/>
      <c r="I758" s="14"/>
      <c r="J758" s="14"/>
      <c r="K758" s="14"/>
      <c r="L758" s="14"/>
      <c r="M758" s="14"/>
      <c r="N758" s="25"/>
      <c r="O758" s="14"/>
    </row>
    <row r="759">
      <c r="B759" s="53"/>
      <c r="C759" s="14"/>
      <c r="D759" s="14"/>
      <c r="E759" s="14"/>
      <c r="F759" s="14"/>
      <c r="G759" s="14"/>
      <c r="H759" s="14"/>
      <c r="I759" s="14"/>
      <c r="J759" s="14"/>
      <c r="K759" s="14"/>
      <c r="L759" s="14"/>
      <c r="M759" s="14"/>
      <c r="N759" s="25"/>
      <c r="O759" s="14"/>
    </row>
    <row r="760">
      <c r="B760" s="53"/>
      <c r="C760" s="14"/>
      <c r="D760" s="14"/>
      <c r="E760" s="14"/>
      <c r="F760" s="14"/>
      <c r="G760" s="14"/>
      <c r="H760" s="14"/>
      <c r="I760" s="14"/>
      <c r="J760" s="14"/>
      <c r="K760" s="14"/>
      <c r="L760" s="14"/>
      <c r="M760" s="14"/>
      <c r="N760" s="25"/>
      <c r="O760" s="14"/>
    </row>
    <row r="761">
      <c r="B761" s="53"/>
      <c r="C761" s="14"/>
      <c r="D761" s="14"/>
      <c r="E761" s="14"/>
      <c r="F761" s="14"/>
      <c r="G761" s="14"/>
      <c r="H761" s="14"/>
      <c r="I761" s="14"/>
      <c r="J761" s="14"/>
      <c r="K761" s="14"/>
      <c r="L761" s="14"/>
      <c r="M761" s="14"/>
      <c r="N761" s="25"/>
      <c r="O761" s="14"/>
    </row>
    <row r="762">
      <c r="B762" s="53"/>
      <c r="C762" s="14"/>
      <c r="D762" s="14"/>
      <c r="E762" s="14"/>
      <c r="F762" s="14"/>
      <c r="G762" s="14"/>
      <c r="H762" s="14"/>
      <c r="I762" s="14"/>
      <c r="J762" s="14"/>
      <c r="K762" s="14"/>
      <c r="L762" s="14"/>
      <c r="M762" s="14"/>
      <c r="N762" s="25"/>
      <c r="O762" s="14"/>
    </row>
    <row r="763">
      <c r="B763" s="53"/>
      <c r="C763" s="14"/>
      <c r="D763" s="14"/>
      <c r="E763" s="14"/>
      <c r="F763" s="14"/>
      <c r="G763" s="14"/>
      <c r="H763" s="14"/>
      <c r="I763" s="14"/>
      <c r="J763" s="14"/>
      <c r="K763" s="14"/>
      <c r="L763" s="14"/>
      <c r="M763" s="14"/>
      <c r="N763" s="25"/>
      <c r="O763" s="14"/>
    </row>
    <row r="764">
      <c r="B764" s="53"/>
      <c r="C764" s="14"/>
      <c r="D764" s="14"/>
      <c r="E764" s="14"/>
      <c r="F764" s="14"/>
      <c r="G764" s="14"/>
      <c r="H764" s="14"/>
      <c r="I764" s="14"/>
      <c r="J764" s="14"/>
      <c r="K764" s="14"/>
      <c r="L764" s="14"/>
      <c r="M764" s="14"/>
      <c r="N764" s="25"/>
      <c r="O764" s="14"/>
    </row>
    <row r="765">
      <c r="B765" s="53"/>
      <c r="C765" s="14"/>
      <c r="D765" s="14"/>
      <c r="E765" s="14"/>
      <c r="F765" s="14"/>
      <c r="G765" s="14"/>
      <c r="H765" s="14"/>
      <c r="I765" s="14"/>
      <c r="J765" s="14"/>
      <c r="K765" s="14"/>
      <c r="L765" s="14"/>
      <c r="M765" s="14"/>
      <c r="N765" s="25"/>
      <c r="O765" s="14"/>
    </row>
    <row r="766">
      <c r="B766" s="53"/>
      <c r="C766" s="14"/>
      <c r="D766" s="14"/>
      <c r="E766" s="14"/>
      <c r="F766" s="14"/>
      <c r="G766" s="14"/>
      <c r="H766" s="14"/>
      <c r="I766" s="14"/>
      <c r="J766" s="14"/>
      <c r="K766" s="14"/>
      <c r="L766" s="14"/>
      <c r="M766" s="14"/>
      <c r="N766" s="25"/>
      <c r="O766" s="14"/>
    </row>
    <row r="767">
      <c r="B767" s="53"/>
      <c r="C767" s="14"/>
      <c r="D767" s="14"/>
      <c r="E767" s="14"/>
      <c r="F767" s="14"/>
      <c r="G767" s="14"/>
      <c r="H767" s="14"/>
      <c r="I767" s="14"/>
      <c r="J767" s="14"/>
      <c r="K767" s="14"/>
      <c r="L767" s="14"/>
      <c r="M767" s="14"/>
      <c r="N767" s="25"/>
      <c r="O767" s="14"/>
    </row>
    <row r="768">
      <c r="B768" s="53"/>
      <c r="C768" s="14"/>
      <c r="D768" s="14"/>
      <c r="E768" s="14"/>
      <c r="F768" s="14"/>
      <c r="G768" s="14"/>
      <c r="H768" s="14"/>
      <c r="I768" s="14"/>
      <c r="J768" s="14"/>
      <c r="K768" s="14"/>
      <c r="L768" s="14"/>
      <c r="M768" s="14"/>
      <c r="N768" s="25"/>
      <c r="O768" s="14"/>
    </row>
    <row r="769">
      <c r="B769" s="53"/>
      <c r="C769" s="14"/>
      <c r="D769" s="14"/>
      <c r="E769" s="14"/>
      <c r="F769" s="14"/>
      <c r="G769" s="14"/>
      <c r="H769" s="14"/>
      <c r="I769" s="14"/>
      <c r="J769" s="14"/>
      <c r="K769" s="14"/>
      <c r="L769" s="14"/>
      <c r="M769" s="14"/>
      <c r="N769" s="25"/>
      <c r="O769" s="14"/>
    </row>
    <row r="770">
      <c r="B770" s="53"/>
      <c r="C770" s="14"/>
      <c r="D770" s="14"/>
      <c r="E770" s="14"/>
      <c r="F770" s="14"/>
      <c r="G770" s="14"/>
      <c r="H770" s="14"/>
      <c r="I770" s="14"/>
      <c r="J770" s="14"/>
      <c r="K770" s="14"/>
      <c r="L770" s="14"/>
      <c r="M770" s="14"/>
      <c r="N770" s="25"/>
      <c r="O770" s="14"/>
    </row>
    <row r="771">
      <c r="B771" s="53"/>
      <c r="C771" s="14"/>
      <c r="D771" s="14"/>
      <c r="E771" s="14"/>
      <c r="F771" s="14"/>
      <c r="G771" s="14"/>
      <c r="H771" s="14"/>
      <c r="I771" s="14"/>
      <c r="J771" s="14"/>
      <c r="K771" s="14"/>
      <c r="L771" s="14"/>
      <c r="M771" s="14"/>
      <c r="N771" s="25"/>
      <c r="O771" s="14"/>
    </row>
    <row r="772">
      <c r="B772" s="53"/>
      <c r="C772" s="14"/>
      <c r="D772" s="14"/>
      <c r="E772" s="14"/>
      <c r="F772" s="14"/>
      <c r="G772" s="14"/>
      <c r="H772" s="14"/>
      <c r="I772" s="14"/>
      <c r="J772" s="14"/>
      <c r="K772" s="14"/>
      <c r="L772" s="14"/>
      <c r="M772" s="14"/>
      <c r="N772" s="25"/>
      <c r="O772" s="14"/>
    </row>
    <row r="773">
      <c r="B773" s="53"/>
      <c r="C773" s="14"/>
      <c r="D773" s="14"/>
      <c r="E773" s="14"/>
      <c r="F773" s="14"/>
      <c r="G773" s="14"/>
      <c r="H773" s="14"/>
      <c r="I773" s="14"/>
      <c r="J773" s="14"/>
      <c r="K773" s="14"/>
      <c r="L773" s="14"/>
      <c r="M773" s="14"/>
      <c r="N773" s="25"/>
      <c r="O773" s="14"/>
    </row>
    <row r="774">
      <c r="B774" s="53"/>
      <c r="C774" s="14"/>
      <c r="D774" s="14"/>
      <c r="E774" s="14"/>
      <c r="F774" s="14"/>
      <c r="G774" s="14"/>
      <c r="H774" s="14"/>
      <c r="I774" s="14"/>
      <c r="J774" s="14"/>
      <c r="K774" s="14"/>
      <c r="L774" s="14"/>
      <c r="M774" s="14"/>
      <c r="N774" s="25"/>
      <c r="O774" s="14"/>
    </row>
    <row r="775">
      <c r="B775" s="53"/>
      <c r="C775" s="14"/>
      <c r="D775" s="14"/>
      <c r="E775" s="14"/>
      <c r="F775" s="14"/>
      <c r="G775" s="14"/>
      <c r="H775" s="14"/>
      <c r="I775" s="14"/>
      <c r="J775" s="14"/>
      <c r="K775" s="14"/>
      <c r="L775" s="14"/>
      <c r="M775" s="14"/>
      <c r="N775" s="25"/>
      <c r="O775" s="14"/>
    </row>
    <row r="776">
      <c r="B776" s="53"/>
      <c r="C776" s="14"/>
      <c r="D776" s="14"/>
      <c r="E776" s="14"/>
      <c r="F776" s="14"/>
      <c r="G776" s="14"/>
      <c r="H776" s="14"/>
      <c r="I776" s="14"/>
      <c r="J776" s="14"/>
      <c r="K776" s="14"/>
      <c r="L776" s="14"/>
      <c r="M776" s="14"/>
      <c r="N776" s="25"/>
      <c r="O776" s="14"/>
    </row>
    <row r="777">
      <c r="B777" s="53"/>
      <c r="C777" s="14"/>
      <c r="D777" s="14"/>
      <c r="E777" s="14"/>
      <c r="F777" s="14"/>
      <c r="G777" s="14"/>
      <c r="H777" s="14"/>
      <c r="I777" s="14"/>
      <c r="J777" s="14"/>
      <c r="K777" s="14"/>
      <c r="L777" s="14"/>
      <c r="M777" s="14"/>
      <c r="N777" s="25"/>
      <c r="O777" s="14"/>
    </row>
    <row r="778">
      <c r="B778" s="53"/>
      <c r="C778" s="14"/>
      <c r="D778" s="14"/>
      <c r="E778" s="14"/>
      <c r="F778" s="14"/>
      <c r="G778" s="14"/>
      <c r="H778" s="14"/>
      <c r="I778" s="14"/>
      <c r="J778" s="14"/>
      <c r="K778" s="14"/>
      <c r="L778" s="14"/>
      <c r="M778" s="14"/>
      <c r="N778" s="25"/>
      <c r="O778" s="14"/>
    </row>
    <row r="779">
      <c r="B779" s="53"/>
      <c r="C779" s="14"/>
      <c r="D779" s="14"/>
      <c r="E779" s="14"/>
      <c r="F779" s="14"/>
      <c r="G779" s="14"/>
      <c r="H779" s="14"/>
      <c r="I779" s="14"/>
      <c r="J779" s="14"/>
      <c r="K779" s="14"/>
      <c r="L779" s="14"/>
      <c r="M779" s="14"/>
      <c r="N779" s="25"/>
      <c r="O779" s="14"/>
    </row>
    <row r="780">
      <c r="B780" s="53"/>
      <c r="C780" s="14"/>
      <c r="D780" s="14"/>
      <c r="E780" s="14"/>
      <c r="F780" s="14"/>
      <c r="G780" s="14"/>
      <c r="H780" s="14"/>
      <c r="I780" s="14"/>
      <c r="J780" s="14"/>
      <c r="K780" s="14"/>
      <c r="L780" s="14"/>
      <c r="M780" s="14"/>
      <c r="N780" s="25"/>
      <c r="O780" s="14"/>
    </row>
    <row r="781">
      <c r="B781" s="53"/>
      <c r="C781" s="14"/>
      <c r="D781" s="14"/>
      <c r="E781" s="14"/>
      <c r="F781" s="14"/>
      <c r="G781" s="14"/>
      <c r="H781" s="14"/>
      <c r="I781" s="14"/>
      <c r="J781" s="14"/>
      <c r="K781" s="14"/>
      <c r="L781" s="14"/>
      <c r="M781" s="14"/>
      <c r="N781" s="25"/>
      <c r="O781" s="14"/>
    </row>
    <row r="782">
      <c r="B782" s="53"/>
      <c r="C782" s="14"/>
      <c r="D782" s="14"/>
      <c r="E782" s="14"/>
      <c r="F782" s="14"/>
      <c r="G782" s="14"/>
      <c r="H782" s="14"/>
      <c r="I782" s="14"/>
      <c r="J782" s="14"/>
      <c r="K782" s="14"/>
      <c r="L782" s="14"/>
      <c r="M782" s="14"/>
      <c r="N782" s="25"/>
      <c r="O782" s="14"/>
    </row>
    <row r="783">
      <c r="B783" s="53"/>
      <c r="C783" s="14"/>
      <c r="D783" s="14"/>
      <c r="E783" s="14"/>
      <c r="F783" s="14"/>
      <c r="G783" s="14"/>
      <c r="H783" s="14"/>
      <c r="I783" s="14"/>
      <c r="J783" s="14"/>
      <c r="K783" s="14"/>
      <c r="L783" s="14"/>
      <c r="M783" s="14"/>
      <c r="N783" s="25"/>
      <c r="O783" s="14"/>
    </row>
    <row r="784">
      <c r="B784" s="53"/>
      <c r="C784" s="14"/>
      <c r="D784" s="14"/>
      <c r="E784" s="14"/>
      <c r="F784" s="14"/>
      <c r="G784" s="14"/>
      <c r="H784" s="14"/>
      <c r="I784" s="14"/>
      <c r="J784" s="14"/>
      <c r="K784" s="14"/>
      <c r="L784" s="14"/>
      <c r="M784" s="14"/>
      <c r="N784" s="25"/>
      <c r="O784" s="14"/>
    </row>
    <row r="785">
      <c r="B785" s="53"/>
      <c r="C785" s="14"/>
      <c r="D785" s="14"/>
      <c r="E785" s="14"/>
      <c r="F785" s="14"/>
      <c r="G785" s="14"/>
      <c r="H785" s="14"/>
      <c r="I785" s="14"/>
      <c r="J785" s="14"/>
      <c r="K785" s="14"/>
      <c r="L785" s="14"/>
      <c r="M785" s="14"/>
      <c r="N785" s="25"/>
      <c r="O785" s="14"/>
    </row>
    <row r="786">
      <c r="B786" s="53"/>
      <c r="C786" s="14"/>
      <c r="D786" s="14"/>
      <c r="E786" s="14"/>
      <c r="F786" s="14"/>
      <c r="G786" s="14"/>
      <c r="H786" s="14"/>
      <c r="I786" s="14"/>
      <c r="J786" s="14"/>
      <c r="K786" s="14"/>
      <c r="L786" s="14"/>
      <c r="M786" s="14"/>
      <c r="N786" s="25"/>
      <c r="O786" s="14"/>
    </row>
    <row r="787">
      <c r="B787" s="53"/>
      <c r="C787" s="14"/>
      <c r="D787" s="14"/>
      <c r="E787" s="14"/>
      <c r="F787" s="14"/>
      <c r="G787" s="14"/>
      <c r="H787" s="14"/>
      <c r="I787" s="14"/>
      <c r="J787" s="14"/>
      <c r="K787" s="14"/>
      <c r="L787" s="14"/>
      <c r="M787" s="14"/>
      <c r="N787" s="25"/>
      <c r="O787" s="14"/>
    </row>
    <row r="788">
      <c r="B788" s="53"/>
      <c r="C788" s="14"/>
      <c r="D788" s="14"/>
      <c r="E788" s="14"/>
      <c r="F788" s="14"/>
      <c r="G788" s="14"/>
      <c r="H788" s="14"/>
      <c r="I788" s="14"/>
      <c r="J788" s="14"/>
      <c r="K788" s="14"/>
      <c r="L788" s="14"/>
      <c r="M788" s="14"/>
      <c r="N788" s="25"/>
      <c r="O788" s="14"/>
    </row>
    <row r="789">
      <c r="B789" s="53"/>
      <c r="C789" s="14"/>
      <c r="D789" s="14"/>
      <c r="E789" s="14"/>
      <c r="F789" s="14"/>
      <c r="G789" s="14"/>
      <c r="H789" s="14"/>
      <c r="I789" s="14"/>
      <c r="J789" s="14"/>
      <c r="K789" s="14"/>
      <c r="L789" s="14"/>
      <c r="M789" s="14"/>
      <c r="N789" s="25"/>
      <c r="O789" s="14"/>
    </row>
    <row r="790">
      <c r="B790" s="53"/>
      <c r="C790" s="14"/>
      <c r="D790" s="14"/>
      <c r="E790" s="14"/>
      <c r="F790" s="14"/>
      <c r="G790" s="14"/>
      <c r="H790" s="14"/>
      <c r="I790" s="14"/>
      <c r="J790" s="14"/>
      <c r="K790" s="14"/>
      <c r="L790" s="14"/>
      <c r="M790" s="14"/>
      <c r="N790" s="25"/>
      <c r="O790" s="14"/>
    </row>
    <row r="791">
      <c r="B791" s="53"/>
      <c r="C791" s="14"/>
      <c r="D791" s="14"/>
      <c r="E791" s="14"/>
      <c r="F791" s="14"/>
      <c r="G791" s="14"/>
      <c r="H791" s="14"/>
      <c r="I791" s="14"/>
      <c r="J791" s="14"/>
      <c r="K791" s="14"/>
      <c r="L791" s="14"/>
      <c r="M791" s="14"/>
      <c r="N791" s="25"/>
      <c r="O791" s="14"/>
    </row>
    <row r="792">
      <c r="B792" s="53"/>
      <c r="C792" s="14"/>
      <c r="D792" s="14"/>
      <c r="E792" s="14"/>
      <c r="F792" s="14"/>
      <c r="G792" s="14"/>
      <c r="H792" s="14"/>
      <c r="I792" s="14"/>
      <c r="J792" s="14"/>
      <c r="K792" s="14"/>
      <c r="L792" s="14"/>
      <c r="M792" s="14"/>
      <c r="N792" s="25"/>
      <c r="O792" s="14"/>
    </row>
    <row r="793">
      <c r="B793" s="53"/>
      <c r="C793" s="14"/>
      <c r="D793" s="14"/>
      <c r="E793" s="14"/>
      <c r="F793" s="14"/>
      <c r="G793" s="14"/>
      <c r="H793" s="14"/>
      <c r="I793" s="14"/>
      <c r="J793" s="14"/>
      <c r="K793" s="14"/>
      <c r="L793" s="14"/>
      <c r="M793" s="14"/>
      <c r="N793" s="25"/>
      <c r="O793" s="14"/>
    </row>
    <row r="794">
      <c r="B794" s="53"/>
      <c r="C794" s="14"/>
      <c r="D794" s="14"/>
      <c r="E794" s="14"/>
      <c r="F794" s="14"/>
      <c r="G794" s="14"/>
      <c r="H794" s="14"/>
      <c r="I794" s="14"/>
      <c r="J794" s="14"/>
      <c r="K794" s="14"/>
      <c r="L794" s="14"/>
      <c r="M794" s="14"/>
      <c r="N794" s="25"/>
      <c r="O794" s="14"/>
    </row>
    <row r="795">
      <c r="B795" s="53"/>
      <c r="C795" s="14"/>
      <c r="D795" s="14"/>
      <c r="E795" s="14"/>
      <c r="F795" s="14"/>
      <c r="G795" s="14"/>
      <c r="H795" s="14"/>
      <c r="I795" s="14"/>
      <c r="J795" s="14"/>
      <c r="K795" s="14"/>
      <c r="L795" s="14"/>
      <c r="M795" s="14"/>
      <c r="N795" s="25"/>
      <c r="O795" s="14"/>
    </row>
    <row r="796">
      <c r="B796" s="53"/>
      <c r="C796" s="14"/>
      <c r="D796" s="14"/>
      <c r="E796" s="14"/>
      <c r="F796" s="14"/>
      <c r="G796" s="14"/>
      <c r="H796" s="14"/>
      <c r="I796" s="14"/>
      <c r="J796" s="14"/>
      <c r="K796" s="14"/>
      <c r="L796" s="14"/>
      <c r="M796" s="14"/>
      <c r="N796" s="25"/>
      <c r="O796" s="14"/>
    </row>
    <row r="797">
      <c r="B797" s="53"/>
      <c r="C797" s="14"/>
      <c r="D797" s="14"/>
      <c r="E797" s="14"/>
      <c r="F797" s="14"/>
      <c r="G797" s="14"/>
      <c r="H797" s="14"/>
      <c r="I797" s="14"/>
      <c r="J797" s="14"/>
      <c r="K797" s="14"/>
      <c r="L797" s="14"/>
      <c r="M797" s="14"/>
      <c r="N797" s="25"/>
      <c r="O797" s="14"/>
    </row>
    <row r="798">
      <c r="B798" s="53"/>
      <c r="C798" s="14"/>
      <c r="D798" s="14"/>
      <c r="E798" s="14"/>
      <c r="F798" s="14"/>
      <c r="G798" s="14"/>
      <c r="H798" s="14"/>
      <c r="I798" s="14"/>
      <c r="J798" s="14"/>
      <c r="K798" s="14"/>
      <c r="L798" s="14"/>
      <c r="M798" s="14"/>
      <c r="N798" s="25"/>
      <c r="O798" s="14"/>
    </row>
    <row r="799">
      <c r="B799" s="53"/>
      <c r="C799" s="14"/>
      <c r="D799" s="14"/>
      <c r="E799" s="14"/>
      <c r="F799" s="14"/>
      <c r="G799" s="14"/>
      <c r="H799" s="14"/>
      <c r="I799" s="14"/>
      <c r="J799" s="14"/>
      <c r="K799" s="14"/>
      <c r="L799" s="14"/>
      <c r="M799" s="14"/>
      <c r="N799" s="25"/>
      <c r="O799" s="14"/>
    </row>
    <row r="800">
      <c r="B800" s="53"/>
      <c r="C800" s="14"/>
      <c r="D800" s="14"/>
      <c r="E800" s="14"/>
      <c r="F800" s="14"/>
      <c r="G800" s="14"/>
      <c r="H800" s="14"/>
      <c r="I800" s="14"/>
      <c r="J800" s="14"/>
      <c r="K800" s="14"/>
      <c r="L800" s="14"/>
      <c r="M800" s="14"/>
      <c r="N800" s="25"/>
      <c r="O800" s="14"/>
    </row>
    <row r="801">
      <c r="B801" s="53"/>
      <c r="C801" s="14"/>
      <c r="D801" s="14"/>
      <c r="E801" s="14"/>
      <c r="F801" s="14"/>
      <c r="G801" s="14"/>
      <c r="H801" s="14"/>
      <c r="I801" s="14"/>
      <c r="J801" s="14"/>
      <c r="K801" s="14"/>
      <c r="L801" s="14"/>
      <c r="M801" s="14"/>
      <c r="N801" s="25"/>
      <c r="O801" s="14"/>
    </row>
    <row r="802">
      <c r="B802" s="53"/>
      <c r="C802" s="14"/>
      <c r="D802" s="14"/>
      <c r="E802" s="14"/>
      <c r="F802" s="14"/>
      <c r="G802" s="14"/>
      <c r="H802" s="14"/>
      <c r="I802" s="14"/>
      <c r="J802" s="14"/>
      <c r="K802" s="14"/>
      <c r="L802" s="14"/>
      <c r="M802" s="14"/>
      <c r="N802" s="25"/>
      <c r="O802" s="14"/>
    </row>
    <row r="803">
      <c r="B803" s="53"/>
      <c r="C803" s="14"/>
      <c r="D803" s="14"/>
      <c r="E803" s="14"/>
      <c r="F803" s="14"/>
      <c r="G803" s="14"/>
      <c r="H803" s="14"/>
      <c r="I803" s="14"/>
      <c r="J803" s="14"/>
      <c r="K803" s="14"/>
      <c r="L803" s="14"/>
      <c r="M803" s="14"/>
      <c r="N803" s="25"/>
      <c r="O803" s="14"/>
    </row>
    <row r="804">
      <c r="B804" s="53"/>
      <c r="C804" s="14"/>
      <c r="D804" s="14"/>
      <c r="E804" s="14"/>
      <c r="F804" s="14"/>
      <c r="G804" s="14"/>
      <c r="H804" s="14"/>
      <c r="I804" s="14"/>
      <c r="J804" s="14"/>
      <c r="K804" s="14"/>
      <c r="L804" s="14"/>
      <c r="M804" s="14"/>
      <c r="N804" s="25"/>
      <c r="O804" s="14"/>
    </row>
    <row r="805">
      <c r="B805" s="53"/>
      <c r="C805" s="14"/>
      <c r="D805" s="14"/>
      <c r="E805" s="14"/>
      <c r="F805" s="14"/>
      <c r="G805" s="14"/>
      <c r="H805" s="14"/>
      <c r="I805" s="14"/>
      <c r="J805" s="14"/>
      <c r="K805" s="14"/>
      <c r="L805" s="14"/>
      <c r="M805" s="14"/>
      <c r="N805" s="25"/>
      <c r="O805" s="14"/>
    </row>
    <row r="806">
      <c r="B806" s="53"/>
      <c r="C806" s="14"/>
      <c r="D806" s="14"/>
      <c r="E806" s="14"/>
      <c r="F806" s="14"/>
      <c r="G806" s="14"/>
      <c r="H806" s="14"/>
      <c r="I806" s="14"/>
      <c r="J806" s="14"/>
      <c r="K806" s="14"/>
      <c r="L806" s="14"/>
      <c r="M806" s="14"/>
      <c r="N806" s="25"/>
      <c r="O806" s="14"/>
    </row>
    <row r="807">
      <c r="B807" s="53"/>
      <c r="C807" s="14"/>
      <c r="D807" s="14"/>
      <c r="E807" s="14"/>
      <c r="F807" s="14"/>
      <c r="G807" s="14"/>
      <c r="H807" s="14"/>
      <c r="I807" s="14"/>
      <c r="J807" s="14"/>
      <c r="K807" s="14"/>
      <c r="L807" s="14"/>
      <c r="M807" s="14"/>
      <c r="N807" s="25"/>
      <c r="O807" s="14"/>
    </row>
    <row r="808">
      <c r="B808" s="53"/>
      <c r="C808" s="14"/>
      <c r="D808" s="14"/>
      <c r="E808" s="14"/>
      <c r="F808" s="14"/>
      <c r="G808" s="14"/>
      <c r="H808" s="14"/>
      <c r="I808" s="14"/>
      <c r="J808" s="14"/>
      <c r="K808" s="14"/>
      <c r="L808" s="14"/>
      <c r="M808" s="14"/>
      <c r="N808" s="25"/>
      <c r="O808" s="14"/>
    </row>
    <row r="809">
      <c r="B809" s="53"/>
      <c r="C809" s="14"/>
      <c r="D809" s="14"/>
      <c r="E809" s="14"/>
      <c r="F809" s="14"/>
      <c r="G809" s="14"/>
      <c r="H809" s="14"/>
      <c r="I809" s="14"/>
      <c r="J809" s="14"/>
      <c r="K809" s="14"/>
      <c r="L809" s="14"/>
      <c r="M809" s="14"/>
      <c r="N809" s="25"/>
      <c r="O809" s="14"/>
    </row>
    <row r="810">
      <c r="B810" s="53"/>
      <c r="C810" s="14"/>
      <c r="D810" s="14"/>
      <c r="E810" s="14"/>
      <c r="F810" s="14"/>
      <c r="G810" s="14"/>
      <c r="H810" s="14"/>
      <c r="I810" s="14"/>
      <c r="J810" s="14"/>
      <c r="K810" s="14"/>
      <c r="L810" s="14"/>
      <c r="M810" s="14"/>
      <c r="N810" s="25"/>
      <c r="O810" s="14"/>
    </row>
    <row r="811">
      <c r="B811" s="53"/>
      <c r="C811" s="14"/>
      <c r="D811" s="14"/>
      <c r="E811" s="14"/>
      <c r="F811" s="14"/>
      <c r="G811" s="14"/>
      <c r="H811" s="14"/>
      <c r="I811" s="14"/>
      <c r="J811" s="14"/>
      <c r="K811" s="14"/>
      <c r="L811" s="14"/>
      <c r="M811" s="14"/>
      <c r="N811" s="25"/>
      <c r="O811" s="14"/>
    </row>
    <row r="812">
      <c r="B812" s="53"/>
      <c r="C812" s="14"/>
      <c r="D812" s="14"/>
      <c r="E812" s="14"/>
      <c r="F812" s="14"/>
      <c r="G812" s="14"/>
      <c r="H812" s="14"/>
      <c r="I812" s="14"/>
      <c r="J812" s="14"/>
      <c r="K812" s="14"/>
      <c r="L812" s="14"/>
      <c r="M812" s="14"/>
      <c r="N812" s="25"/>
      <c r="O812" s="14"/>
    </row>
    <row r="813">
      <c r="B813" s="53"/>
      <c r="C813" s="14"/>
      <c r="D813" s="14"/>
      <c r="E813" s="14"/>
      <c r="F813" s="14"/>
      <c r="G813" s="14"/>
      <c r="H813" s="14"/>
      <c r="I813" s="14"/>
      <c r="J813" s="14"/>
      <c r="K813" s="14"/>
      <c r="L813" s="14"/>
      <c r="M813" s="14"/>
      <c r="N813" s="25"/>
      <c r="O813" s="14"/>
    </row>
    <row r="814">
      <c r="B814" s="53"/>
      <c r="C814" s="14"/>
      <c r="D814" s="14"/>
      <c r="E814" s="14"/>
      <c r="F814" s="14"/>
      <c r="G814" s="14"/>
      <c r="H814" s="14"/>
      <c r="I814" s="14"/>
      <c r="J814" s="14"/>
      <c r="K814" s="14"/>
      <c r="L814" s="14"/>
      <c r="M814" s="14"/>
      <c r="N814" s="25"/>
      <c r="O814" s="14"/>
    </row>
    <row r="815">
      <c r="B815" s="53"/>
      <c r="C815" s="14"/>
      <c r="D815" s="14"/>
      <c r="E815" s="14"/>
      <c r="F815" s="14"/>
      <c r="G815" s="14"/>
      <c r="H815" s="14"/>
      <c r="I815" s="14"/>
      <c r="J815" s="14"/>
      <c r="K815" s="14"/>
      <c r="L815" s="14"/>
      <c r="M815" s="14"/>
      <c r="N815" s="25"/>
      <c r="O815" s="14"/>
    </row>
    <row r="816">
      <c r="B816" s="53"/>
      <c r="C816" s="14"/>
      <c r="D816" s="14"/>
      <c r="E816" s="14"/>
      <c r="F816" s="14"/>
      <c r="G816" s="14"/>
      <c r="H816" s="14"/>
      <c r="I816" s="14"/>
      <c r="J816" s="14"/>
      <c r="K816" s="14"/>
      <c r="L816" s="14"/>
      <c r="M816" s="14"/>
      <c r="N816" s="25"/>
      <c r="O816" s="14"/>
    </row>
    <row r="817">
      <c r="B817" s="53"/>
      <c r="C817" s="14"/>
      <c r="D817" s="14"/>
      <c r="E817" s="14"/>
      <c r="F817" s="14"/>
      <c r="G817" s="14"/>
      <c r="H817" s="14"/>
      <c r="I817" s="14"/>
      <c r="J817" s="14"/>
      <c r="K817" s="14"/>
      <c r="L817" s="14"/>
      <c r="M817" s="14"/>
      <c r="N817" s="25"/>
      <c r="O817" s="14"/>
    </row>
    <row r="818">
      <c r="B818" s="53"/>
      <c r="C818" s="14"/>
      <c r="D818" s="14"/>
      <c r="E818" s="14"/>
      <c r="F818" s="14"/>
      <c r="G818" s="14"/>
      <c r="H818" s="14"/>
      <c r="I818" s="14"/>
      <c r="J818" s="14"/>
      <c r="K818" s="14"/>
      <c r="L818" s="14"/>
      <c r="M818" s="14"/>
      <c r="N818" s="25"/>
      <c r="O818" s="14"/>
    </row>
    <row r="819">
      <c r="B819" s="53"/>
      <c r="C819" s="14"/>
      <c r="D819" s="14"/>
      <c r="E819" s="14"/>
      <c r="F819" s="14"/>
      <c r="G819" s="14"/>
      <c r="H819" s="14"/>
      <c r="I819" s="14"/>
      <c r="J819" s="14"/>
      <c r="K819" s="14"/>
      <c r="L819" s="14"/>
      <c r="M819" s="14"/>
      <c r="N819" s="25"/>
      <c r="O819" s="14"/>
    </row>
    <row r="820">
      <c r="B820" s="53"/>
      <c r="C820" s="14"/>
      <c r="D820" s="14"/>
      <c r="E820" s="14"/>
      <c r="F820" s="14"/>
      <c r="G820" s="14"/>
      <c r="H820" s="14"/>
      <c r="I820" s="14"/>
      <c r="J820" s="14"/>
      <c r="K820" s="14"/>
      <c r="L820" s="14"/>
      <c r="M820" s="14"/>
      <c r="N820" s="25"/>
      <c r="O820" s="14"/>
    </row>
    <row r="821">
      <c r="B821" s="53"/>
      <c r="C821" s="14"/>
      <c r="D821" s="14"/>
      <c r="E821" s="14"/>
      <c r="F821" s="14"/>
      <c r="G821" s="14"/>
      <c r="H821" s="14"/>
      <c r="I821" s="14"/>
      <c r="J821" s="14"/>
      <c r="K821" s="14"/>
      <c r="L821" s="14"/>
      <c r="M821" s="14"/>
      <c r="N821" s="25"/>
      <c r="O821" s="14"/>
    </row>
    <row r="822">
      <c r="B822" s="53"/>
      <c r="C822" s="14"/>
      <c r="D822" s="14"/>
      <c r="E822" s="14"/>
      <c r="F822" s="14"/>
      <c r="G822" s="14"/>
      <c r="H822" s="14"/>
      <c r="I822" s="14"/>
      <c r="J822" s="14"/>
      <c r="K822" s="14"/>
      <c r="L822" s="14"/>
      <c r="M822" s="14"/>
      <c r="N822" s="25"/>
      <c r="O822" s="14"/>
    </row>
    <row r="823">
      <c r="B823" s="53"/>
      <c r="C823" s="14"/>
      <c r="D823" s="14"/>
      <c r="E823" s="14"/>
      <c r="F823" s="14"/>
      <c r="G823" s="14"/>
      <c r="H823" s="14"/>
      <c r="I823" s="14"/>
      <c r="J823" s="14"/>
      <c r="K823" s="14"/>
      <c r="L823" s="14"/>
      <c r="M823" s="14"/>
      <c r="N823" s="25"/>
      <c r="O823" s="14"/>
    </row>
    <row r="824">
      <c r="B824" s="53"/>
      <c r="C824" s="14"/>
      <c r="D824" s="14"/>
      <c r="E824" s="14"/>
      <c r="F824" s="14"/>
      <c r="G824" s="14"/>
      <c r="H824" s="14"/>
      <c r="I824" s="14"/>
      <c r="J824" s="14"/>
      <c r="K824" s="14"/>
      <c r="L824" s="14"/>
      <c r="M824" s="14"/>
      <c r="N824" s="25"/>
      <c r="O824" s="14"/>
    </row>
    <row r="825">
      <c r="B825" s="53"/>
      <c r="C825" s="14"/>
      <c r="D825" s="14"/>
      <c r="E825" s="14"/>
      <c r="F825" s="14"/>
      <c r="G825" s="14"/>
      <c r="H825" s="14"/>
      <c r="I825" s="14"/>
      <c r="J825" s="14"/>
      <c r="K825" s="14"/>
      <c r="L825" s="14"/>
      <c r="M825" s="14"/>
      <c r="N825" s="25"/>
      <c r="O825" s="14"/>
    </row>
    <row r="826">
      <c r="B826" s="53"/>
      <c r="C826" s="14"/>
      <c r="D826" s="14"/>
      <c r="E826" s="14"/>
      <c r="F826" s="14"/>
      <c r="G826" s="14"/>
      <c r="H826" s="14"/>
      <c r="I826" s="14"/>
      <c r="J826" s="14"/>
      <c r="K826" s="14"/>
      <c r="L826" s="14"/>
      <c r="M826" s="14"/>
      <c r="N826" s="25"/>
      <c r="O826" s="14"/>
    </row>
    <row r="827">
      <c r="B827" s="53"/>
      <c r="C827" s="14"/>
      <c r="D827" s="14"/>
      <c r="E827" s="14"/>
      <c r="F827" s="14"/>
      <c r="G827" s="14"/>
      <c r="H827" s="14"/>
      <c r="I827" s="14"/>
      <c r="J827" s="14"/>
      <c r="K827" s="14"/>
      <c r="L827" s="14"/>
      <c r="M827" s="14"/>
      <c r="N827" s="25"/>
      <c r="O827" s="14"/>
    </row>
    <row r="828">
      <c r="B828" s="53"/>
      <c r="C828" s="14"/>
      <c r="D828" s="14"/>
      <c r="E828" s="14"/>
      <c r="F828" s="14"/>
      <c r="G828" s="14"/>
      <c r="H828" s="14"/>
      <c r="I828" s="14"/>
      <c r="J828" s="14"/>
      <c r="K828" s="14"/>
      <c r="L828" s="14"/>
      <c r="M828" s="14"/>
      <c r="N828" s="25"/>
      <c r="O828" s="14"/>
    </row>
    <row r="829">
      <c r="B829" s="53"/>
      <c r="C829" s="14"/>
      <c r="D829" s="14"/>
      <c r="E829" s="14"/>
      <c r="F829" s="14"/>
      <c r="G829" s="14"/>
      <c r="H829" s="14"/>
      <c r="I829" s="14"/>
      <c r="J829" s="14"/>
      <c r="K829" s="14"/>
      <c r="L829" s="14"/>
      <c r="M829" s="14"/>
      <c r="N829" s="25"/>
      <c r="O829" s="14"/>
    </row>
    <row r="830">
      <c r="B830" s="53"/>
      <c r="C830" s="14"/>
      <c r="D830" s="14"/>
      <c r="E830" s="14"/>
      <c r="F830" s="14"/>
      <c r="G830" s="14"/>
      <c r="H830" s="14"/>
      <c r="I830" s="14"/>
      <c r="J830" s="14"/>
      <c r="K830" s="14"/>
      <c r="L830" s="14"/>
      <c r="M830" s="14"/>
      <c r="N830" s="25"/>
      <c r="O830" s="14"/>
    </row>
    <row r="831">
      <c r="B831" s="53"/>
      <c r="C831" s="14"/>
      <c r="D831" s="14"/>
      <c r="E831" s="14"/>
      <c r="F831" s="14"/>
      <c r="G831" s="14"/>
      <c r="H831" s="14"/>
      <c r="I831" s="14"/>
      <c r="J831" s="14"/>
      <c r="K831" s="14"/>
      <c r="L831" s="14"/>
      <c r="M831" s="14"/>
      <c r="N831" s="25"/>
      <c r="O831" s="14"/>
    </row>
    <row r="832">
      <c r="B832" s="53"/>
      <c r="C832" s="14"/>
      <c r="D832" s="14"/>
      <c r="E832" s="14"/>
      <c r="F832" s="14"/>
      <c r="G832" s="14"/>
      <c r="H832" s="14"/>
      <c r="I832" s="14"/>
      <c r="J832" s="14"/>
      <c r="K832" s="14"/>
      <c r="L832" s="14"/>
      <c r="M832" s="14"/>
      <c r="N832" s="25"/>
      <c r="O832" s="14"/>
    </row>
    <row r="833">
      <c r="B833" s="53"/>
      <c r="C833" s="14"/>
      <c r="D833" s="14"/>
      <c r="E833" s="14"/>
      <c r="F833" s="14"/>
      <c r="G833" s="14"/>
      <c r="H833" s="14"/>
      <c r="I833" s="14"/>
      <c r="J833" s="14"/>
      <c r="K833" s="14"/>
      <c r="L833" s="14"/>
      <c r="M833" s="14"/>
      <c r="N833" s="25"/>
      <c r="O833" s="14"/>
    </row>
    <row r="834">
      <c r="B834" s="53"/>
      <c r="C834" s="14"/>
      <c r="D834" s="14"/>
      <c r="E834" s="14"/>
      <c r="F834" s="14"/>
      <c r="G834" s="14"/>
      <c r="H834" s="14"/>
      <c r="I834" s="14"/>
      <c r="J834" s="14"/>
      <c r="K834" s="14"/>
      <c r="L834" s="14"/>
      <c r="M834" s="14"/>
      <c r="N834" s="25"/>
      <c r="O834" s="14"/>
    </row>
    <row r="835">
      <c r="B835" s="53"/>
      <c r="C835" s="14"/>
      <c r="D835" s="14"/>
      <c r="E835" s="14"/>
      <c r="F835" s="14"/>
      <c r="G835" s="14"/>
      <c r="H835" s="14"/>
      <c r="I835" s="14"/>
      <c r="J835" s="14"/>
      <c r="K835" s="14"/>
      <c r="L835" s="14"/>
      <c r="M835" s="14"/>
      <c r="N835" s="25"/>
      <c r="O835" s="14"/>
    </row>
    <row r="836">
      <c r="B836" s="53"/>
      <c r="C836" s="14"/>
      <c r="D836" s="14"/>
      <c r="E836" s="14"/>
      <c r="F836" s="14"/>
      <c r="G836" s="14"/>
      <c r="H836" s="14"/>
      <c r="I836" s="14"/>
      <c r="J836" s="14"/>
      <c r="K836" s="14"/>
      <c r="L836" s="14"/>
      <c r="M836" s="14"/>
      <c r="N836" s="25"/>
      <c r="O836" s="14"/>
    </row>
    <row r="837">
      <c r="B837" s="53"/>
      <c r="C837" s="14"/>
      <c r="D837" s="14"/>
      <c r="E837" s="14"/>
      <c r="F837" s="14"/>
      <c r="G837" s="14"/>
      <c r="H837" s="14"/>
      <c r="I837" s="14"/>
      <c r="J837" s="14"/>
      <c r="K837" s="14"/>
      <c r="L837" s="14"/>
      <c r="M837" s="14"/>
      <c r="N837" s="25"/>
      <c r="O837" s="14"/>
    </row>
    <row r="838">
      <c r="B838" s="53"/>
      <c r="C838" s="14"/>
      <c r="D838" s="14"/>
      <c r="E838" s="14"/>
      <c r="F838" s="14"/>
      <c r="G838" s="14"/>
      <c r="H838" s="14"/>
      <c r="I838" s="14"/>
      <c r="J838" s="14"/>
      <c r="K838" s="14"/>
      <c r="L838" s="14"/>
      <c r="M838" s="14"/>
      <c r="N838" s="25"/>
      <c r="O838" s="14"/>
    </row>
    <row r="839">
      <c r="B839" s="53"/>
      <c r="C839" s="14"/>
      <c r="D839" s="14"/>
      <c r="E839" s="14"/>
      <c r="F839" s="14"/>
      <c r="G839" s="14"/>
      <c r="H839" s="14"/>
      <c r="I839" s="14"/>
      <c r="J839" s="14"/>
      <c r="K839" s="14"/>
      <c r="L839" s="14"/>
      <c r="M839" s="14"/>
      <c r="N839" s="25"/>
      <c r="O839" s="14"/>
    </row>
    <row r="840">
      <c r="B840" s="53"/>
      <c r="C840" s="14"/>
      <c r="D840" s="14"/>
      <c r="E840" s="14"/>
      <c r="F840" s="14"/>
      <c r="G840" s="14"/>
      <c r="H840" s="14"/>
      <c r="I840" s="14"/>
      <c r="J840" s="14"/>
      <c r="K840" s="14"/>
      <c r="L840" s="14"/>
      <c r="M840" s="14"/>
      <c r="N840" s="25"/>
      <c r="O840" s="14"/>
    </row>
    <row r="841">
      <c r="B841" s="53"/>
      <c r="C841" s="14"/>
      <c r="D841" s="14"/>
      <c r="E841" s="14"/>
      <c r="F841" s="14"/>
      <c r="G841" s="14"/>
      <c r="H841" s="14"/>
      <c r="I841" s="14"/>
      <c r="J841" s="14"/>
      <c r="K841" s="14"/>
      <c r="L841" s="14"/>
      <c r="M841" s="14"/>
      <c r="N841" s="25"/>
      <c r="O841" s="14"/>
    </row>
    <row r="842">
      <c r="B842" s="53"/>
      <c r="C842" s="14"/>
      <c r="D842" s="14"/>
      <c r="E842" s="14"/>
      <c r="F842" s="14"/>
      <c r="G842" s="14"/>
      <c r="H842" s="14"/>
      <c r="I842" s="14"/>
      <c r="J842" s="14"/>
      <c r="K842" s="14"/>
      <c r="L842" s="14"/>
      <c r="M842" s="14"/>
      <c r="N842" s="25"/>
      <c r="O842" s="14"/>
    </row>
    <row r="843">
      <c r="B843" s="53"/>
      <c r="C843" s="14"/>
      <c r="D843" s="14"/>
      <c r="E843" s="14"/>
      <c r="F843" s="14"/>
      <c r="G843" s="14"/>
      <c r="H843" s="14"/>
      <c r="I843" s="14"/>
      <c r="J843" s="14"/>
      <c r="K843" s="14"/>
      <c r="L843" s="14"/>
      <c r="M843" s="14"/>
      <c r="N843" s="25"/>
      <c r="O843" s="14"/>
    </row>
    <row r="844">
      <c r="B844" s="53"/>
      <c r="C844" s="14"/>
      <c r="D844" s="14"/>
      <c r="E844" s="14"/>
      <c r="F844" s="14"/>
      <c r="G844" s="14"/>
      <c r="H844" s="14"/>
      <c r="I844" s="14"/>
      <c r="J844" s="14"/>
      <c r="K844" s="14"/>
      <c r="L844" s="14"/>
      <c r="M844" s="14"/>
      <c r="N844" s="25"/>
      <c r="O844" s="14"/>
    </row>
    <row r="845">
      <c r="B845" s="53"/>
      <c r="C845" s="14"/>
      <c r="D845" s="14"/>
      <c r="E845" s="14"/>
      <c r="F845" s="14"/>
      <c r="G845" s="14"/>
      <c r="H845" s="14"/>
      <c r="I845" s="14"/>
      <c r="J845" s="14"/>
      <c r="K845" s="14"/>
      <c r="L845" s="14"/>
      <c r="M845" s="14"/>
      <c r="N845" s="25"/>
      <c r="O845" s="14"/>
    </row>
    <row r="846">
      <c r="B846" s="53"/>
      <c r="C846" s="14"/>
      <c r="D846" s="14"/>
      <c r="E846" s="14"/>
      <c r="F846" s="14"/>
      <c r="G846" s="14"/>
      <c r="H846" s="14"/>
      <c r="I846" s="14"/>
      <c r="J846" s="14"/>
      <c r="K846" s="14"/>
      <c r="L846" s="14"/>
      <c r="M846" s="14"/>
      <c r="N846" s="25"/>
      <c r="O846" s="14"/>
    </row>
    <row r="847">
      <c r="B847" s="53"/>
      <c r="C847" s="14"/>
      <c r="D847" s="14"/>
      <c r="E847" s="14"/>
      <c r="F847" s="14"/>
      <c r="G847" s="14"/>
      <c r="H847" s="14"/>
      <c r="I847" s="14"/>
      <c r="J847" s="14"/>
      <c r="K847" s="14"/>
      <c r="L847" s="14"/>
      <c r="M847" s="14"/>
      <c r="N847" s="25"/>
      <c r="O847" s="14"/>
    </row>
    <row r="848">
      <c r="B848" s="53"/>
      <c r="C848" s="14"/>
      <c r="D848" s="14"/>
      <c r="E848" s="14"/>
      <c r="F848" s="14"/>
      <c r="G848" s="14"/>
      <c r="H848" s="14"/>
      <c r="I848" s="14"/>
      <c r="J848" s="14"/>
      <c r="K848" s="14"/>
      <c r="L848" s="14"/>
      <c r="M848" s="14"/>
      <c r="N848" s="25"/>
      <c r="O848" s="14"/>
    </row>
    <row r="849">
      <c r="B849" s="53"/>
      <c r="C849" s="14"/>
      <c r="D849" s="14"/>
      <c r="E849" s="14"/>
      <c r="F849" s="14"/>
      <c r="G849" s="14"/>
      <c r="H849" s="14"/>
      <c r="I849" s="14"/>
      <c r="J849" s="14"/>
      <c r="K849" s="14"/>
      <c r="L849" s="14"/>
      <c r="M849" s="14"/>
      <c r="N849" s="25"/>
      <c r="O849" s="14"/>
    </row>
    <row r="850">
      <c r="B850" s="53"/>
      <c r="C850" s="14"/>
      <c r="D850" s="14"/>
      <c r="E850" s="14"/>
      <c r="F850" s="14"/>
      <c r="G850" s="14"/>
      <c r="H850" s="14"/>
      <c r="I850" s="14"/>
      <c r="J850" s="14"/>
      <c r="K850" s="14"/>
      <c r="L850" s="14"/>
      <c r="M850" s="14"/>
      <c r="N850" s="25"/>
      <c r="O850" s="14"/>
    </row>
    <row r="851">
      <c r="B851" s="53"/>
      <c r="C851" s="14"/>
      <c r="D851" s="14"/>
      <c r="E851" s="14"/>
      <c r="F851" s="14"/>
      <c r="G851" s="14"/>
      <c r="H851" s="14"/>
      <c r="I851" s="14"/>
      <c r="J851" s="14"/>
      <c r="K851" s="14"/>
      <c r="L851" s="14"/>
      <c r="M851" s="14"/>
      <c r="N851" s="25"/>
      <c r="O851" s="14"/>
    </row>
    <row r="852">
      <c r="B852" s="53"/>
      <c r="C852" s="14"/>
      <c r="D852" s="14"/>
      <c r="E852" s="14"/>
      <c r="F852" s="14"/>
      <c r="G852" s="14"/>
      <c r="H852" s="14"/>
      <c r="I852" s="14"/>
      <c r="J852" s="14"/>
      <c r="K852" s="14"/>
      <c r="L852" s="14"/>
      <c r="M852" s="14"/>
      <c r="N852" s="25"/>
      <c r="O852" s="14"/>
    </row>
    <row r="853">
      <c r="B853" s="53"/>
      <c r="C853" s="14"/>
      <c r="D853" s="14"/>
      <c r="E853" s="14"/>
      <c r="F853" s="14"/>
      <c r="G853" s="14"/>
      <c r="H853" s="14"/>
      <c r="I853" s="14"/>
      <c r="J853" s="14"/>
      <c r="K853" s="14"/>
      <c r="L853" s="14"/>
      <c r="M853" s="14"/>
      <c r="N853" s="25"/>
      <c r="O853" s="14"/>
    </row>
    <row r="854">
      <c r="B854" s="53"/>
      <c r="C854" s="14"/>
      <c r="D854" s="14"/>
      <c r="E854" s="14"/>
      <c r="F854" s="14"/>
      <c r="G854" s="14"/>
      <c r="H854" s="14"/>
      <c r="I854" s="14"/>
      <c r="J854" s="14"/>
      <c r="K854" s="14"/>
      <c r="L854" s="14"/>
      <c r="M854" s="14"/>
      <c r="N854" s="25"/>
      <c r="O854" s="14"/>
    </row>
    <row r="855">
      <c r="B855" s="53"/>
      <c r="C855" s="14"/>
      <c r="D855" s="14"/>
      <c r="E855" s="14"/>
      <c r="F855" s="14"/>
      <c r="G855" s="14"/>
      <c r="H855" s="14"/>
      <c r="I855" s="14"/>
      <c r="J855" s="14"/>
      <c r="K855" s="14"/>
      <c r="L855" s="14"/>
      <c r="M855" s="14"/>
      <c r="N855" s="25"/>
      <c r="O855" s="14"/>
    </row>
    <row r="856">
      <c r="B856" s="53"/>
      <c r="C856" s="14"/>
      <c r="D856" s="14"/>
      <c r="E856" s="14"/>
      <c r="F856" s="14"/>
      <c r="G856" s="14"/>
      <c r="H856" s="14"/>
      <c r="I856" s="14"/>
      <c r="J856" s="14"/>
      <c r="K856" s="14"/>
      <c r="L856" s="14"/>
      <c r="M856" s="14"/>
      <c r="N856" s="25"/>
      <c r="O856" s="14"/>
    </row>
    <row r="857">
      <c r="B857" s="53"/>
      <c r="C857" s="14"/>
      <c r="D857" s="14"/>
      <c r="E857" s="14"/>
      <c r="F857" s="14"/>
      <c r="G857" s="14"/>
      <c r="H857" s="14"/>
      <c r="I857" s="14"/>
      <c r="J857" s="14"/>
      <c r="K857" s="14"/>
      <c r="L857" s="14"/>
      <c r="M857" s="14"/>
      <c r="N857" s="25"/>
      <c r="O857" s="14"/>
    </row>
    <row r="858">
      <c r="B858" s="53"/>
      <c r="C858" s="14"/>
      <c r="D858" s="14"/>
      <c r="E858" s="14"/>
      <c r="F858" s="14"/>
      <c r="G858" s="14"/>
      <c r="H858" s="14"/>
      <c r="I858" s="14"/>
      <c r="J858" s="14"/>
      <c r="K858" s="14"/>
      <c r="L858" s="14"/>
      <c r="M858" s="14"/>
      <c r="N858" s="25"/>
      <c r="O858" s="14"/>
    </row>
    <row r="859">
      <c r="B859" s="53"/>
      <c r="C859" s="14"/>
      <c r="D859" s="14"/>
      <c r="E859" s="14"/>
      <c r="F859" s="14"/>
      <c r="G859" s="14"/>
      <c r="H859" s="14"/>
      <c r="I859" s="14"/>
      <c r="J859" s="14"/>
      <c r="K859" s="14"/>
      <c r="L859" s="14"/>
      <c r="M859" s="14"/>
      <c r="N859" s="25"/>
      <c r="O859" s="14"/>
    </row>
    <row r="860">
      <c r="B860" s="53"/>
      <c r="C860" s="14"/>
      <c r="D860" s="14"/>
      <c r="E860" s="14"/>
      <c r="F860" s="14"/>
      <c r="G860" s="14"/>
      <c r="H860" s="14"/>
      <c r="I860" s="14"/>
      <c r="J860" s="14"/>
      <c r="K860" s="14"/>
      <c r="L860" s="14"/>
      <c r="M860" s="14"/>
      <c r="N860" s="25"/>
      <c r="O860" s="14"/>
    </row>
    <row r="861">
      <c r="B861" s="53"/>
      <c r="C861" s="14"/>
      <c r="D861" s="14"/>
      <c r="E861" s="14"/>
      <c r="F861" s="14"/>
      <c r="G861" s="14"/>
      <c r="H861" s="14"/>
      <c r="I861" s="14"/>
      <c r="J861" s="14"/>
      <c r="K861" s="14"/>
      <c r="L861" s="14"/>
      <c r="M861" s="14"/>
      <c r="N861" s="25"/>
      <c r="O861" s="14"/>
    </row>
    <row r="862">
      <c r="B862" s="53"/>
      <c r="C862" s="14"/>
      <c r="D862" s="14"/>
      <c r="E862" s="14"/>
      <c r="F862" s="14"/>
      <c r="G862" s="14"/>
      <c r="H862" s="14"/>
      <c r="I862" s="14"/>
      <c r="J862" s="14"/>
      <c r="K862" s="14"/>
      <c r="L862" s="14"/>
      <c r="M862" s="14"/>
      <c r="N862" s="25"/>
      <c r="O862" s="14"/>
    </row>
    <row r="863">
      <c r="B863" s="53"/>
      <c r="C863" s="14"/>
      <c r="D863" s="14"/>
      <c r="E863" s="14"/>
      <c r="F863" s="14"/>
      <c r="G863" s="14"/>
      <c r="H863" s="14"/>
      <c r="I863" s="14"/>
      <c r="J863" s="14"/>
      <c r="K863" s="14"/>
      <c r="L863" s="14"/>
      <c r="M863" s="14"/>
      <c r="N863" s="25"/>
      <c r="O863" s="14"/>
    </row>
    <row r="864">
      <c r="B864" s="53"/>
      <c r="C864" s="14"/>
      <c r="D864" s="14"/>
      <c r="E864" s="14"/>
      <c r="F864" s="14"/>
      <c r="G864" s="14"/>
      <c r="H864" s="14"/>
      <c r="I864" s="14"/>
      <c r="J864" s="14"/>
      <c r="K864" s="14"/>
      <c r="L864" s="14"/>
      <c r="M864" s="14"/>
      <c r="N864" s="25"/>
      <c r="O864" s="14"/>
    </row>
    <row r="865">
      <c r="B865" s="53"/>
      <c r="C865" s="14"/>
      <c r="D865" s="14"/>
      <c r="E865" s="14"/>
      <c r="F865" s="14"/>
      <c r="G865" s="14"/>
      <c r="H865" s="14"/>
      <c r="I865" s="14"/>
      <c r="J865" s="14"/>
      <c r="K865" s="14"/>
      <c r="L865" s="14"/>
      <c r="M865" s="14"/>
      <c r="N865" s="25"/>
      <c r="O865" s="14"/>
    </row>
    <row r="866">
      <c r="B866" s="53"/>
      <c r="C866" s="14"/>
      <c r="D866" s="14"/>
      <c r="E866" s="14"/>
      <c r="F866" s="14"/>
      <c r="G866" s="14"/>
      <c r="H866" s="14"/>
      <c r="I866" s="14"/>
      <c r="J866" s="14"/>
      <c r="K866" s="14"/>
      <c r="L866" s="14"/>
      <c r="M866" s="14"/>
      <c r="N866" s="25"/>
      <c r="O866" s="14"/>
    </row>
    <row r="867">
      <c r="B867" s="53"/>
      <c r="C867" s="14"/>
      <c r="D867" s="14"/>
      <c r="E867" s="14"/>
      <c r="F867" s="14"/>
      <c r="G867" s="14"/>
      <c r="H867" s="14"/>
      <c r="I867" s="14"/>
      <c r="J867" s="14"/>
      <c r="K867" s="14"/>
      <c r="L867" s="14"/>
      <c r="M867" s="14"/>
      <c r="N867" s="25"/>
      <c r="O867" s="14"/>
    </row>
    <row r="868">
      <c r="B868" s="53"/>
      <c r="C868" s="14"/>
      <c r="D868" s="14"/>
      <c r="E868" s="14"/>
      <c r="F868" s="14"/>
      <c r="G868" s="14"/>
      <c r="H868" s="14"/>
      <c r="I868" s="14"/>
      <c r="J868" s="14"/>
      <c r="K868" s="14"/>
      <c r="L868" s="14"/>
      <c r="M868" s="14"/>
      <c r="N868" s="25"/>
      <c r="O868" s="14"/>
    </row>
    <row r="869">
      <c r="B869" s="53"/>
      <c r="C869" s="14"/>
      <c r="D869" s="14"/>
      <c r="E869" s="14"/>
      <c r="F869" s="14"/>
      <c r="G869" s="14"/>
      <c r="H869" s="14"/>
      <c r="I869" s="14"/>
      <c r="J869" s="14"/>
      <c r="K869" s="14"/>
      <c r="L869" s="14"/>
      <c r="M869" s="14"/>
      <c r="N869" s="25"/>
      <c r="O869" s="14"/>
    </row>
    <row r="870">
      <c r="B870" s="53"/>
      <c r="C870" s="14"/>
      <c r="D870" s="14"/>
      <c r="E870" s="14"/>
      <c r="F870" s="14"/>
      <c r="G870" s="14"/>
      <c r="H870" s="14"/>
      <c r="I870" s="14"/>
      <c r="J870" s="14"/>
      <c r="K870" s="14"/>
      <c r="L870" s="14"/>
      <c r="M870" s="14"/>
      <c r="N870" s="25"/>
      <c r="O870" s="14"/>
    </row>
    <row r="871">
      <c r="B871" s="53"/>
      <c r="C871" s="14"/>
      <c r="D871" s="14"/>
      <c r="E871" s="14"/>
      <c r="F871" s="14"/>
      <c r="G871" s="14"/>
      <c r="H871" s="14"/>
      <c r="I871" s="14"/>
      <c r="J871" s="14"/>
      <c r="K871" s="14"/>
      <c r="L871" s="14"/>
      <c r="M871" s="14"/>
      <c r="N871" s="25"/>
      <c r="O871" s="14"/>
    </row>
    <row r="872">
      <c r="B872" s="53"/>
      <c r="C872" s="14"/>
      <c r="D872" s="14"/>
      <c r="E872" s="14"/>
      <c r="F872" s="14"/>
      <c r="G872" s="14"/>
      <c r="H872" s="14"/>
      <c r="I872" s="14"/>
      <c r="J872" s="14"/>
      <c r="K872" s="14"/>
      <c r="L872" s="14"/>
      <c r="M872" s="14"/>
      <c r="N872" s="25"/>
      <c r="O872" s="14"/>
    </row>
    <row r="873">
      <c r="B873" s="53"/>
      <c r="C873" s="14"/>
      <c r="D873" s="14"/>
      <c r="E873" s="14"/>
      <c r="F873" s="14"/>
      <c r="G873" s="14"/>
      <c r="H873" s="14"/>
      <c r="I873" s="14"/>
      <c r="J873" s="14"/>
      <c r="K873" s="14"/>
      <c r="L873" s="14"/>
      <c r="M873" s="14"/>
      <c r="N873" s="25"/>
      <c r="O873" s="14"/>
    </row>
    <row r="874">
      <c r="B874" s="53"/>
      <c r="C874" s="14"/>
      <c r="D874" s="14"/>
      <c r="E874" s="14"/>
      <c r="F874" s="14"/>
      <c r="G874" s="14"/>
      <c r="H874" s="14"/>
      <c r="I874" s="14"/>
      <c r="J874" s="14"/>
      <c r="K874" s="14"/>
      <c r="L874" s="14"/>
      <c r="M874" s="14"/>
      <c r="N874" s="25"/>
      <c r="O874" s="14"/>
    </row>
    <row r="875">
      <c r="B875" s="53"/>
      <c r="C875" s="14"/>
      <c r="D875" s="14"/>
      <c r="E875" s="14"/>
      <c r="F875" s="14"/>
      <c r="G875" s="14"/>
      <c r="H875" s="14"/>
      <c r="I875" s="14"/>
      <c r="J875" s="14"/>
      <c r="K875" s="14"/>
      <c r="L875" s="14"/>
      <c r="M875" s="14"/>
      <c r="N875" s="25"/>
      <c r="O875" s="14"/>
    </row>
    <row r="876">
      <c r="B876" s="53"/>
      <c r="C876" s="14"/>
      <c r="D876" s="14"/>
      <c r="E876" s="14"/>
      <c r="F876" s="14"/>
      <c r="G876" s="14"/>
      <c r="H876" s="14"/>
      <c r="I876" s="14"/>
      <c r="J876" s="14"/>
      <c r="K876" s="14"/>
      <c r="L876" s="14"/>
      <c r="M876" s="14"/>
      <c r="N876" s="25"/>
      <c r="O876" s="14"/>
    </row>
    <row r="877">
      <c r="B877" s="53"/>
      <c r="C877" s="14"/>
      <c r="D877" s="14"/>
      <c r="E877" s="14"/>
      <c r="F877" s="14"/>
      <c r="G877" s="14"/>
      <c r="H877" s="14"/>
      <c r="I877" s="14"/>
      <c r="J877" s="14"/>
      <c r="K877" s="14"/>
      <c r="L877" s="14"/>
      <c r="M877" s="14"/>
      <c r="N877" s="25"/>
      <c r="O877" s="14"/>
    </row>
    <row r="878">
      <c r="B878" s="53"/>
      <c r="C878" s="14"/>
      <c r="D878" s="14"/>
      <c r="E878" s="14"/>
      <c r="F878" s="14"/>
      <c r="G878" s="14"/>
      <c r="H878" s="14"/>
      <c r="I878" s="14"/>
      <c r="J878" s="14"/>
      <c r="K878" s="14"/>
      <c r="L878" s="14"/>
      <c r="M878" s="14"/>
      <c r="N878" s="25"/>
      <c r="O878" s="14"/>
    </row>
    <row r="879">
      <c r="B879" s="53"/>
      <c r="C879" s="14"/>
      <c r="D879" s="14"/>
      <c r="E879" s="14"/>
      <c r="F879" s="14"/>
      <c r="G879" s="14"/>
      <c r="H879" s="14"/>
      <c r="I879" s="14"/>
      <c r="J879" s="14"/>
      <c r="K879" s="14"/>
      <c r="L879" s="14"/>
      <c r="M879" s="14"/>
      <c r="N879" s="25"/>
      <c r="O879" s="14"/>
    </row>
    <row r="880">
      <c r="B880" s="53"/>
      <c r="C880" s="14"/>
      <c r="D880" s="14"/>
      <c r="E880" s="14"/>
      <c r="F880" s="14"/>
      <c r="G880" s="14"/>
      <c r="H880" s="14"/>
      <c r="I880" s="14"/>
      <c r="J880" s="14"/>
      <c r="K880" s="14"/>
      <c r="L880" s="14"/>
      <c r="M880" s="14"/>
      <c r="N880" s="25"/>
      <c r="O880" s="14"/>
    </row>
    <row r="881">
      <c r="B881" s="53"/>
      <c r="C881" s="14"/>
      <c r="D881" s="14"/>
      <c r="E881" s="14"/>
      <c r="F881" s="14"/>
      <c r="G881" s="14"/>
      <c r="H881" s="14"/>
      <c r="I881" s="14"/>
      <c r="J881" s="14"/>
      <c r="K881" s="14"/>
      <c r="L881" s="14"/>
      <c r="M881" s="14"/>
      <c r="N881" s="25"/>
      <c r="O881" s="14"/>
    </row>
    <row r="882">
      <c r="B882" s="53"/>
      <c r="C882" s="14"/>
      <c r="D882" s="14"/>
      <c r="E882" s="14"/>
      <c r="F882" s="14"/>
      <c r="G882" s="14"/>
      <c r="H882" s="14"/>
      <c r="I882" s="14"/>
      <c r="J882" s="14"/>
      <c r="K882" s="14"/>
      <c r="L882" s="14"/>
      <c r="M882" s="14"/>
      <c r="N882" s="25"/>
      <c r="O882" s="14"/>
    </row>
    <row r="883">
      <c r="B883" s="53"/>
      <c r="C883" s="14"/>
      <c r="D883" s="14"/>
      <c r="E883" s="14"/>
      <c r="F883" s="14"/>
      <c r="G883" s="14"/>
      <c r="H883" s="14"/>
      <c r="I883" s="14"/>
      <c r="J883" s="14"/>
      <c r="K883" s="14"/>
      <c r="L883" s="14"/>
      <c r="M883" s="14"/>
      <c r="N883" s="25"/>
      <c r="O883" s="14"/>
    </row>
    <row r="884">
      <c r="B884" s="53"/>
      <c r="C884" s="14"/>
      <c r="D884" s="14"/>
      <c r="E884" s="14"/>
      <c r="F884" s="14"/>
      <c r="G884" s="14"/>
      <c r="H884" s="14"/>
      <c r="I884" s="14"/>
      <c r="J884" s="14"/>
      <c r="K884" s="14"/>
      <c r="L884" s="14"/>
      <c r="M884" s="14"/>
      <c r="N884" s="25"/>
      <c r="O884" s="14"/>
    </row>
    <row r="885">
      <c r="B885" s="53"/>
      <c r="C885" s="14"/>
      <c r="D885" s="14"/>
      <c r="E885" s="14"/>
      <c r="F885" s="14"/>
      <c r="G885" s="14"/>
      <c r="H885" s="14"/>
      <c r="I885" s="14"/>
      <c r="J885" s="14"/>
      <c r="K885" s="14"/>
      <c r="L885" s="14"/>
      <c r="M885" s="14"/>
      <c r="N885" s="25"/>
      <c r="O885" s="14"/>
    </row>
    <row r="886">
      <c r="B886" s="53"/>
      <c r="C886" s="14"/>
      <c r="D886" s="14"/>
      <c r="E886" s="14"/>
      <c r="F886" s="14"/>
      <c r="G886" s="14"/>
      <c r="H886" s="14"/>
      <c r="I886" s="14"/>
      <c r="J886" s="14"/>
      <c r="K886" s="14"/>
      <c r="L886" s="14"/>
      <c r="M886" s="14"/>
      <c r="N886" s="25"/>
      <c r="O886" s="14"/>
    </row>
    <row r="887">
      <c r="B887" s="53"/>
      <c r="C887" s="14"/>
      <c r="D887" s="14"/>
      <c r="E887" s="14"/>
      <c r="F887" s="14"/>
      <c r="G887" s="14"/>
      <c r="H887" s="14"/>
      <c r="I887" s="14"/>
      <c r="J887" s="14"/>
      <c r="K887" s="14"/>
      <c r="L887" s="14"/>
      <c r="M887" s="14"/>
      <c r="N887" s="25"/>
      <c r="O887" s="14"/>
    </row>
    <row r="888">
      <c r="B888" s="53"/>
      <c r="C888" s="14"/>
      <c r="D888" s="14"/>
      <c r="E888" s="14"/>
      <c r="F888" s="14"/>
      <c r="G888" s="14"/>
      <c r="H888" s="14"/>
      <c r="I888" s="14"/>
      <c r="J888" s="14"/>
      <c r="K888" s="14"/>
      <c r="L888" s="14"/>
      <c r="M888" s="14"/>
      <c r="N888" s="25"/>
      <c r="O888" s="14"/>
    </row>
    <row r="889">
      <c r="B889" s="53"/>
      <c r="C889" s="14"/>
      <c r="D889" s="14"/>
      <c r="E889" s="14"/>
      <c r="F889" s="14"/>
      <c r="G889" s="14"/>
      <c r="H889" s="14"/>
      <c r="I889" s="14"/>
      <c r="J889" s="14"/>
      <c r="K889" s="14"/>
      <c r="L889" s="14"/>
      <c r="M889" s="14"/>
      <c r="N889" s="25"/>
      <c r="O889" s="14"/>
    </row>
    <row r="890">
      <c r="B890" s="53"/>
      <c r="C890" s="14"/>
      <c r="D890" s="14"/>
      <c r="E890" s="14"/>
      <c r="F890" s="14"/>
      <c r="G890" s="14"/>
      <c r="H890" s="14"/>
      <c r="I890" s="14"/>
      <c r="J890" s="14"/>
      <c r="K890" s="14"/>
      <c r="L890" s="14"/>
      <c r="M890" s="14"/>
      <c r="N890" s="25"/>
      <c r="O890" s="14"/>
    </row>
    <row r="891">
      <c r="B891" s="53"/>
      <c r="C891" s="14"/>
      <c r="D891" s="14"/>
      <c r="E891" s="14"/>
      <c r="F891" s="14"/>
      <c r="G891" s="14"/>
      <c r="H891" s="14"/>
      <c r="I891" s="14"/>
      <c r="J891" s="14"/>
      <c r="K891" s="14"/>
      <c r="L891" s="14"/>
      <c r="M891" s="14"/>
      <c r="N891" s="25"/>
      <c r="O891" s="14"/>
    </row>
    <row r="892">
      <c r="B892" s="53"/>
      <c r="C892" s="14"/>
      <c r="D892" s="14"/>
      <c r="E892" s="14"/>
      <c r="F892" s="14"/>
      <c r="G892" s="14"/>
      <c r="H892" s="14"/>
      <c r="I892" s="14"/>
      <c r="J892" s="14"/>
      <c r="K892" s="14"/>
      <c r="L892" s="14"/>
      <c r="M892" s="14"/>
      <c r="N892" s="25"/>
      <c r="O892" s="14"/>
    </row>
    <row r="893">
      <c r="B893" s="53"/>
      <c r="C893" s="14"/>
      <c r="D893" s="14"/>
      <c r="E893" s="14"/>
      <c r="F893" s="14"/>
      <c r="G893" s="14"/>
      <c r="H893" s="14"/>
      <c r="I893" s="14"/>
      <c r="J893" s="14"/>
      <c r="K893" s="14"/>
      <c r="L893" s="14"/>
      <c r="M893" s="14"/>
      <c r="N893" s="25"/>
      <c r="O893" s="14"/>
    </row>
    <row r="894">
      <c r="B894" s="53"/>
      <c r="C894" s="14"/>
      <c r="D894" s="14"/>
      <c r="E894" s="14"/>
      <c r="F894" s="14"/>
      <c r="G894" s="14"/>
      <c r="H894" s="14"/>
      <c r="I894" s="14"/>
      <c r="J894" s="14"/>
      <c r="K894" s="14"/>
      <c r="L894" s="14"/>
      <c r="M894" s="14"/>
      <c r="N894" s="25"/>
      <c r="O894" s="14"/>
    </row>
    <row r="895">
      <c r="B895" s="53"/>
      <c r="C895" s="14"/>
      <c r="D895" s="14"/>
      <c r="E895" s="14"/>
      <c r="F895" s="14"/>
      <c r="G895" s="14"/>
      <c r="H895" s="14"/>
      <c r="I895" s="14"/>
      <c r="J895" s="14"/>
      <c r="K895" s="14"/>
      <c r="L895" s="14"/>
      <c r="M895" s="14"/>
      <c r="N895" s="25"/>
      <c r="O895" s="14"/>
    </row>
    <row r="896">
      <c r="B896" s="53"/>
      <c r="C896" s="14"/>
      <c r="D896" s="14"/>
      <c r="E896" s="14"/>
      <c r="F896" s="14"/>
      <c r="G896" s="14"/>
      <c r="H896" s="14"/>
      <c r="I896" s="14"/>
      <c r="J896" s="14"/>
      <c r="K896" s="14"/>
      <c r="L896" s="14"/>
      <c r="M896" s="14"/>
      <c r="N896" s="25"/>
      <c r="O896" s="14"/>
    </row>
    <row r="897">
      <c r="B897" s="53"/>
      <c r="C897" s="14"/>
      <c r="D897" s="14"/>
      <c r="E897" s="14"/>
      <c r="F897" s="14"/>
      <c r="G897" s="14"/>
      <c r="H897" s="14"/>
      <c r="I897" s="14"/>
      <c r="J897" s="14"/>
      <c r="K897" s="14"/>
      <c r="L897" s="14"/>
      <c r="M897" s="14"/>
      <c r="N897" s="25"/>
      <c r="O897" s="14"/>
    </row>
    <row r="898">
      <c r="B898" s="53"/>
      <c r="C898" s="14"/>
      <c r="D898" s="14"/>
      <c r="E898" s="14"/>
      <c r="F898" s="14"/>
      <c r="G898" s="14"/>
      <c r="H898" s="14"/>
      <c r="I898" s="14"/>
      <c r="J898" s="14"/>
      <c r="K898" s="14"/>
      <c r="L898" s="14"/>
      <c r="M898" s="14"/>
      <c r="N898" s="25"/>
      <c r="O898" s="14"/>
    </row>
    <row r="899">
      <c r="B899" s="53"/>
      <c r="C899" s="14"/>
      <c r="D899" s="14"/>
      <c r="E899" s="14"/>
      <c r="F899" s="14"/>
      <c r="G899" s="14"/>
      <c r="H899" s="14"/>
      <c r="I899" s="14"/>
      <c r="J899" s="14"/>
      <c r="K899" s="14"/>
      <c r="L899" s="14"/>
      <c r="M899" s="14"/>
      <c r="N899" s="25"/>
      <c r="O899" s="14"/>
    </row>
    <row r="900">
      <c r="B900" s="53"/>
      <c r="C900" s="14"/>
      <c r="D900" s="14"/>
      <c r="E900" s="14"/>
      <c r="F900" s="14"/>
      <c r="G900" s="14"/>
      <c r="H900" s="14"/>
      <c r="I900" s="14"/>
      <c r="J900" s="14"/>
      <c r="K900" s="14"/>
      <c r="L900" s="14"/>
      <c r="M900" s="14"/>
      <c r="N900" s="25"/>
      <c r="O900" s="14"/>
    </row>
    <row r="901">
      <c r="B901" s="53"/>
      <c r="C901" s="14"/>
      <c r="D901" s="14"/>
      <c r="E901" s="14"/>
      <c r="F901" s="14"/>
      <c r="G901" s="14"/>
      <c r="H901" s="14"/>
      <c r="I901" s="14"/>
      <c r="J901" s="14"/>
      <c r="K901" s="14"/>
      <c r="L901" s="14"/>
      <c r="M901" s="14"/>
      <c r="N901" s="25"/>
      <c r="O901" s="14"/>
    </row>
    <row r="902">
      <c r="B902" s="53"/>
      <c r="C902" s="14"/>
      <c r="D902" s="14"/>
      <c r="E902" s="14"/>
      <c r="F902" s="14"/>
      <c r="G902" s="14"/>
      <c r="H902" s="14"/>
      <c r="I902" s="14"/>
      <c r="J902" s="14"/>
      <c r="K902" s="14"/>
      <c r="L902" s="14"/>
      <c r="M902" s="14"/>
      <c r="N902" s="25"/>
      <c r="O902" s="14"/>
    </row>
    <row r="903">
      <c r="B903" s="53"/>
      <c r="C903" s="14"/>
      <c r="D903" s="14"/>
      <c r="E903" s="14"/>
      <c r="F903" s="14"/>
      <c r="G903" s="14"/>
      <c r="H903" s="14"/>
      <c r="I903" s="14"/>
      <c r="J903" s="14"/>
      <c r="K903" s="14"/>
      <c r="L903" s="14"/>
      <c r="M903" s="14"/>
      <c r="N903" s="25"/>
      <c r="O903" s="14"/>
    </row>
    <row r="904">
      <c r="B904" s="53"/>
      <c r="C904" s="14"/>
      <c r="D904" s="14"/>
      <c r="E904" s="14"/>
      <c r="F904" s="14"/>
      <c r="G904" s="14"/>
      <c r="H904" s="14"/>
      <c r="I904" s="14"/>
      <c r="J904" s="14"/>
      <c r="K904" s="14"/>
      <c r="L904" s="14"/>
      <c r="M904" s="14"/>
      <c r="N904" s="25"/>
      <c r="O904" s="14"/>
    </row>
    <row r="905">
      <c r="B905" s="53"/>
      <c r="C905" s="14"/>
      <c r="D905" s="14"/>
      <c r="E905" s="14"/>
      <c r="F905" s="14"/>
      <c r="G905" s="14"/>
      <c r="H905" s="14"/>
      <c r="I905" s="14"/>
      <c r="J905" s="14"/>
      <c r="K905" s="14"/>
      <c r="L905" s="14"/>
      <c r="M905" s="14"/>
      <c r="N905" s="25"/>
      <c r="O905" s="14"/>
    </row>
    <row r="906">
      <c r="B906" s="53"/>
      <c r="C906" s="14"/>
      <c r="D906" s="14"/>
      <c r="E906" s="14"/>
      <c r="F906" s="14"/>
      <c r="G906" s="14"/>
      <c r="H906" s="14"/>
      <c r="I906" s="14"/>
      <c r="J906" s="14"/>
      <c r="K906" s="14"/>
      <c r="L906" s="14"/>
      <c r="M906" s="14"/>
      <c r="N906" s="25"/>
      <c r="O906" s="14"/>
    </row>
    <row r="907">
      <c r="B907" s="53"/>
      <c r="C907" s="14"/>
      <c r="D907" s="14"/>
      <c r="E907" s="14"/>
      <c r="F907" s="14"/>
      <c r="G907" s="14"/>
      <c r="H907" s="14"/>
      <c r="I907" s="14"/>
      <c r="J907" s="14"/>
      <c r="K907" s="14"/>
      <c r="L907" s="14"/>
      <c r="M907" s="14"/>
      <c r="N907" s="25"/>
      <c r="O907" s="14"/>
    </row>
    <row r="908">
      <c r="B908" s="53"/>
      <c r="C908" s="14"/>
      <c r="D908" s="14"/>
      <c r="E908" s="14"/>
      <c r="F908" s="14"/>
      <c r="G908" s="14"/>
      <c r="H908" s="14"/>
      <c r="I908" s="14"/>
      <c r="J908" s="14"/>
      <c r="K908" s="14"/>
      <c r="L908" s="14"/>
      <c r="M908" s="14"/>
      <c r="N908" s="25"/>
      <c r="O908" s="14"/>
    </row>
    <row r="909">
      <c r="B909" s="53"/>
      <c r="C909" s="14"/>
      <c r="D909" s="14"/>
      <c r="E909" s="14"/>
      <c r="F909" s="14"/>
      <c r="G909" s="14"/>
      <c r="H909" s="14"/>
      <c r="I909" s="14"/>
      <c r="J909" s="14"/>
      <c r="K909" s="14"/>
      <c r="L909" s="14"/>
      <c r="M909" s="14"/>
      <c r="N909" s="25"/>
      <c r="O909" s="14"/>
    </row>
    <row r="910">
      <c r="B910" s="53"/>
      <c r="C910" s="14"/>
      <c r="D910" s="14"/>
      <c r="E910" s="14"/>
      <c r="F910" s="14"/>
      <c r="G910" s="14"/>
      <c r="H910" s="14"/>
      <c r="I910" s="14"/>
      <c r="J910" s="14"/>
      <c r="K910" s="14"/>
      <c r="L910" s="14"/>
      <c r="M910" s="14"/>
      <c r="N910" s="25"/>
      <c r="O910" s="14"/>
    </row>
    <row r="911">
      <c r="B911" s="53"/>
      <c r="C911" s="14"/>
      <c r="D911" s="14"/>
      <c r="E911" s="14"/>
      <c r="F911" s="14"/>
      <c r="G911" s="14"/>
      <c r="H911" s="14"/>
      <c r="I911" s="14"/>
      <c r="J911" s="14"/>
      <c r="K911" s="14"/>
      <c r="L911" s="14"/>
      <c r="M911" s="14"/>
      <c r="N911" s="25"/>
      <c r="O911" s="14"/>
    </row>
    <row r="912">
      <c r="B912" s="53"/>
      <c r="C912" s="14"/>
      <c r="D912" s="14"/>
      <c r="E912" s="14"/>
      <c r="F912" s="14"/>
      <c r="G912" s="14"/>
      <c r="H912" s="14"/>
      <c r="I912" s="14"/>
      <c r="J912" s="14"/>
      <c r="K912" s="14"/>
      <c r="L912" s="14"/>
      <c r="M912" s="14"/>
      <c r="N912" s="25"/>
      <c r="O912" s="14"/>
    </row>
    <row r="913">
      <c r="B913" s="53"/>
      <c r="C913" s="14"/>
      <c r="D913" s="14"/>
      <c r="E913" s="14"/>
      <c r="F913" s="14"/>
      <c r="G913" s="14"/>
      <c r="H913" s="14"/>
      <c r="I913" s="14"/>
      <c r="J913" s="14"/>
      <c r="K913" s="14"/>
      <c r="L913" s="14"/>
      <c r="M913" s="14"/>
      <c r="N913" s="25"/>
      <c r="O913" s="14"/>
    </row>
    <row r="914">
      <c r="B914" s="53"/>
      <c r="C914" s="14"/>
      <c r="D914" s="14"/>
      <c r="E914" s="14"/>
      <c r="F914" s="14"/>
      <c r="G914" s="14"/>
      <c r="H914" s="14"/>
      <c r="I914" s="14"/>
      <c r="J914" s="14"/>
      <c r="K914" s="14"/>
      <c r="L914" s="14"/>
      <c r="M914" s="14"/>
      <c r="N914" s="25"/>
      <c r="O914" s="14"/>
    </row>
    <row r="915">
      <c r="B915" s="53"/>
      <c r="C915" s="14"/>
      <c r="D915" s="14"/>
      <c r="E915" s="14"/>
      <c r="F915" s="14"/>
      <c r="G915" s="14"/>
      <c r="H915" s="14"/>
      <c r="I915" s="14"/>
      <c r="J915" s="14"/>
      <c r="K915" s="14"/>
      <c r="L915" s="14"/>
      <c r="M915" s="14"/>
      <c r="N915" s="25"/>
      <c r="O915" s="14"/>
    </row>
    <row r="916">
      <c r="B916" s="53"/>
      <c r="C916" s="14"/>
      <c r="D916" s="14"/>
      <c r="E916" s="14"/>
      <c r="F916" s="14"/>
      <c r="G916" s="14"/>
      <c r="H916" s="14"/>
      <c r="I916" s="14"/>
      <c r="J916" s="14"/>
      <c r="K916" s="14"/>
      <c r="L916" s="14"/>
      <c r="M916" s="14"/>
      <c r="N916" s="25"/>
      <c r="O916" s="14"/>
    </row>
    <row r="917">
      <c r="B917" s="53"/>
      <c r="C917" s="14"/>
      <c r="D917" s="14"/>
      <c r="E917" s="14"/>
      <c r="F917" s="14"/>
      <c r="G917" s="14"/>
      <c r="H917" s="14"/>
      <c r="I917" s="14"/>
      <c r="J917" s="14"/>
      <c r="K917" s="14"/>
      <c r="L917" s="14"/>
      <c r="M917" s="14"/>
      <c r="N917" s="25"/>
      <c r="O917" s="14"/>
    </row>
    <row r="918">
      <c r="B918" s="53"/>
      <c r="C918" s="14"/>
      <c r="D918" s="14"/>
      <c r="E918" s="14"/>
      <c r="F918" s="14"/>
      <c r="G918" s="14"/>
      <c r="H918" s="14"/>
      <c r="I918" s="14"/>
      <c r="J918" s="14"/>
      <c r="K918" s="14"/>
      <c r="L918" s="14"/>
      <c r="M918" s="14"/>
      <c r="N918" s="25"/>
      <c r="O918" s="14"/>
    </row>
    <row r="919">
      <c r="B919" s="53"/>
      <c r="C919" s="14"/>
      <c r="D919" s="14"/>
      <c r="E919" s="14"/>
      <c r="F919" s="14"/>
      <c r="G919" s="14"/>
      <c r="H919" s="14"/>
      <c r="I919" s="14"/>
      <c r="J919" s="14"/>
      <c r="K919" s="14"/>
      <c r="L919" s="14"/>
      <c r="M919" s="14"/>
      <c r="N919" s="25"/>
      <c r="O919" s="14"/>
    </row>
    <row r="920">
      <c r="B920" s="53"/>
      <c r="C920" s="14"/>
      <c r="D920" s="14"/>
      <c r="E920" s="14"/>
      <c r="F920" s="14"/>
      <c r="G920" s="14"/>
      <c r="H920" s="14"/>
      <c r="I920" s="14"/>
      <c r="J920" s="14"/>
      <c r="K920" s="14"/>
      <c r="L920" s="14"/>
      <c r="M920" s="14"/>
      <c r="N920" s="25"/>
      <c r="O920" s="14"/>
    </row>
    <row r="921">
      <c r="B921" s="53"/>
      <c r="C921" s="14"/>
      <c r="D921" s="14"/>
      <c r="E921" s="14"/>
      <c r="F921" s="14"/>
      <c r="G921" s="14"/>
      <c r="H921" s="14"/>
      <c r="I921" s="14"/>
      <c r="J921" s="14"/>
      <c r="K921" s="14"/>
      <c r="L921" s="14"/>
      <c r="M921" s="14"/>
      <c r="N921" s="25"/>
      <c r="O921" s="14"/>
    </row>
    <row r="922">
      <c r="B922" s="53"/>
      <c r="C922" s="14"/>
      <c r="D922" s="14"/>
      <c r="E922" s="14"/>
      <c r="F922" s="14"/>
      <c r="G922" s="14"/>
      <c r="H922" s="14"/>
      <c r="I922" s="14"/>
      <c r="J922" s="14"/>
      <c r="K922" s="14"/>
      <c r="L922" s="14"/>
      <c r="M922" s="14"/>
      <c r="N922" s="25"/>
      <c r="O922" s="14"/>
    </row>
    <row r="923">
      <c r="B923" s="53"/>
      <c r="C923" s="14"/>
      <c r="D923" s="14"/>
      <c r="E923" s="14"/>
      <c r="F923" s="14"/>
      <c r="G923" s="14"/>
      <c r="H923" s="14"/>
      <c r="I923" s="14"/>
      <c r="J923" s="14"/>
      <c r="K923" s="14"/>
      <c r="L923" s="14"/>
      <c r="M923" s="14"/>
      <c r="N923" s="25"/>
      <c r="O923" s="14"/>
    </row>
    <row r="924">
      <c r="B924" s="53"/>
      <c r="C924" s="14"/>
      <c r="D924" s="14"/>
      <c r="E924" s="14"/>
      <c r="F924" s="14"/>
      <c r="G924" s="14"/>
      <c r="H924" s="14"/>
      <c r="I924" s="14"/>
      <c r="J924" s="14"/>
      <c r="K924" s="14"/>
      <c r="L924" s="14"/>
      <c r="M924" s="14"/>
      <c r="N924" s="25"/>
      <c r="O924" s="14"/>
    </row>
    <row r="925">
      <c r="B925" s="53"/>
      <c r="C925" s="14"/>
      <c r="D925" s="14"/>
      <c r="E925" s="14"/>
      <c r="F925" s="14"/>
      <c r="G925" s="14"/>
      <c r="H925" s="14"/>
      <c r="I925" s="14"/>
      <c r="J925" s="14"/>
      <c r="K925" s="14"/>
      <c r="L925" s="14"/>
      <c r="M925" s="14"/>
      <c r="N925" s="25"/>
      <c r="O925" s="14"/>
    </row>
    <row r="926">
      <c r="B926" s="53"/>
      <c r="C926" s="14"/>
      <c r="D926" s="14"/>
      <c r="E926" s="14"/>
      <c r="F926" s="14"/>
      <c r="G926" s="14"/>
      <c r="H926" s="14"/>
      <c r="I926" s="14"/>
      <c r="J926" s="14"/>
      <c r="K926" s="14"/>
      <c r="L926" s="14"/>
      <c r="M926" s="14"/>
      <c r="N926" s="25"/>
      <c r="O926" s="14"/>
    </row>
    <row r="927">
      <c r="B927" s="53"/>
      <c r="C927" s="14"/>
      <c r="D927" s="14"/>
      <c r="E927" s="14"/>
      <c r="F927" s="14"/>
      <c r="G927" s="14"/>
      <c r="H927" s="14"/>
      <c r="I927" s="14"/>
      <c r="J927" s="14"/>
      <c r="K927" s="14"/>
      <c r="L927" s="14"/>
      <c r="M927" s="14"/>
      <c r="N927" s="25"/>
      <c r="O927" s="14"/>
    </row>
    <row r="928">
      <c r="B928" s="53"/>
      <c r="C928" s="14"/>
      <c r="D928" s="14"/>
      <c r="E928" s="14"/>
      <c r="F928" s="14"/>
      <c r="G928" s="14"/>
      <c r="H928" s="14"/>
      <c r="I928" s="14"/>
      <c r="J928" s="14"/>
      <c r="K928" s="14"/>
      <c r="L928" s="14"/>
      <c r="M928" s="14"/>
      <c r="N928" s="25"/>
      <c r="O928" s="14"/>
    </row>
    <row r="929">
      <c r="B929" s="53"/>
      <c r="C929" s="14"/>
      <c r="D929" s="14"/>
      <c r="E929" s="14"/>
      <c r="F929" s="14"/>
      <c r="G929" s="14"/>
      <c r="H929" s="14"/>
      <c r="I929" s="14"/>
      <c r="J929" s="14"/>
      <c r="K929" s="14"/>
      <c r="L929" s="14"/>
      <c r="M929" s="14"/>
      <c r="N929" s="25"/>
      <c r="O929" s="14"/>
    </row>
    <row r="930">
      <c r="B930" s="53"/>
      <c r="C930" s="14"/>
      <c r="D930" s="14"/>
      <c r="E930" s="14"/>
      <c r="F930" s="14"/>
      <c r="G930" s="14"/>
      <c r="H930" s="14"/>
      <c r="I930" s="14"/>
      <c r="J930" s="14"/>
      <c r="K930" s="14"/>
      <c r="L930" s="14"/>
      <c r="M930" s="14"/>
      <c r="N930" s="25"/>
      <c r="O930" s="14"/>
    </row>
    <row r="931">
      <c r="B931" s="53"/>
      <c r="C931" s="14"/>
      <c r="D931" s="14"/>
      <c r="E931" s="14"/>
      <c r="F931" s="14"/>
      <c r="G931" s="14"/>
      <c r="H931" s="14"/>
      <c r="I931" s="14"/>
      <c r="J931" s="14"/>
      <c r="K931" s="14"/>
      <c r="L931" s="14"/>
      <c r="M931" s="14"/>
      <c r="N931" s="25"/>
      <c r="O931" s="14"/>
    </row>
    <row r="932">
      <c r="B932" s="53"/>
      <c r="C932" s="14"/>
      <c r="D932" s="14"/>
      <c r="E932" s="14"/>
      <c r="F932" s="14"/>
      <c r="G932" s="14"/>
      <c r="H932" s="14"/>
      <c r="I932" s="14"/>
      <c r="J932" s="14"/>
      <c r="K932" s="14"/>
      <c r="L932" s="14"/>
      <c r="M932" s="14"/>
      <c r="N932" s="25"/>
      <c r="O932" s="14"/>
    </row>
    <row r="933">
      <c r="B933" s="53"/>
      <c r="C933" s="14"/>
      <c r="D933" s="14"/>
      <c r="E933" s="14"/>
      <c r="F933" s="14"/>
      <c r="G933" s="14"/>
      <c r="H933" s="14"/>
      <c r="I933" s="14"/>
      <c r="J933" s="14"/>
      <c r="K933" s="14"/>
      <c r="L933" s="14"/>
      <c r="M933" s="14"/>
      <c r="N933" s="25"/>
      <c r="O933" s="14"/>
    </row>
    <row r="934">
      <c r="B934" s="53"/>
      <c r="C934" s="14"/>
      <c r="D934" s="14"/>
      <c r="E934" s="14"/>
      <c r="F934" s="14"/>
      <c r="G934" s="14"/>
      <c r="H934" s="14"/>
      <c r="I934" s="14"/>
      <c r="J934" s="14"/>
      <c r="K934" s="14"/>
      <c r="L934" s="14"/>
      <c r="M934" s="14"/>
      <c r="N934" s="25"/>
      <c r="O934" s="14"/>
    </row>
    <row r="935">
      <c r="B935" s="53"/>
      <c r="C935" s="14"/>
      <c r="D935" s="14"/>
      <c r="E935" s="14"/>
      <c r="F935" s="14"/>
      <c r="G935" s="14"/>
      <c r="H935" s="14"/>
      <c r="I935" s="14"/>
      <c r="J935" s="14"/>
      <c r="K935" s="14"/>
      <c r="L935" s="14"/>
      <c r="M935" s="14"/>
      <c r="N935" s="25"/>
      <c r="O935" s="14"/>
    </row>
    <row r="936">
      <c r="B936" s="53"/>
      <c r="C936" s="14"/>
      <c r="D936" s="14"/>
      <c r="E936" s="14"/>
      <c r="F936" s="14"/>
      <c r="G936" s="14"/>
      <c r="H936" s="14"/>
      <c r="I936" s="14"/>
      <c r="J936" s="14"/>
      <c r="K936" s="14"/>
      <c r="L936" s="14"/>
      <c r="M936" s="14"/>
      <c r="N936" s="25"/>
      <c r="O936" s="14"/>
    </row>
    <row r="937">
      <c r="B937" s="53"/>
      <c r="C937" s="14"/>
      <c r="D937" s="14"/>
      <c r="E937" s="14"/>
      <c r="F937" s="14"/>
      <c r="G937" s="14"/>
      <c r="H937" s="14"/>
      <c r="I937" s="14"/>
      <c r="J937" s="14"/>
      <c r="K937" s="14"/>
      <c r="L937" s="14"/>
      <c r="M937" s="14"/>
      <c r="N937" s="25"/>
      <c r="O937" s="14"/>
    </row>
    <row r="938">
      <c r="B938" s="53"/>
      <c r="C938" s="14"/>
      <c r="D938" s="14"/>
      <c r="E938" s="14"/>
      <c r="F938" s="14"/>
      <c r="G938" s="14"/>
      <c r="H938" s="14"/>
      <c r="I938" s="14"/>
      <c r="J938" s="14"/>
      <c r="K938" s="14"/>
      <c r="L938" s="14"/>
      <c r="M938" s="14"/>
      <c r="N938" s="25"/>
      <c r="O938" s="14"/>
    </row>
    <row r="939">
      <c r="B939" s="53"/>
      <c r="C939" s="14"/>
      <c r="D939" s="14"/>
      <c r="E939" s="14"/>
      <c r="F939" s="14"/>
      <c r="G939" s="14"/>
      <c r="H939" s="14"/>
      <c r="I939" s="14"/>
      <c r="J939" s="14"/>
      <c r="K939" s="14"/>
      <c r="L939" s="14"/>
      <c r="M939" s="14"/>
      <c r="N939" s="25"/>
      <c r="O939" s="14"/>
    </row>
    <row r="940">
      <c r="B940" s="53"/>
      <c r="C940" s="14"/>
      <c r="D940" s="14"/>
      <c r="E940" s="14"/>
      <c r="F940" s="14"/>
      <c r="G940" s="14"/>
      <c r="H940" s="14"/>
      <c r="I940" s="14"/>
      <c r="J940" s="14"/>
      <c r="K940" s="14"/>
      <c r="L940" s="14"/>
      <c r="M940" s="14"/>
      <c r="N940" s="25"/>
      <c r="O940" s="14"/>
    </row>
    <row r="941">
      <c r="B941" s="53"/>
      <c r="C941" s="14"/>
      <c r="D941" s="14"/>
      <c r="E941" s="14"/>
      <c r="F941" s="14"/>
      <c r="G941" s="14"/>
      <c r="H941" s="14"/>
      <c r="I941" s="14"/>
      <c r="J941" s="14"/>
      <c r="K941" s="14"/>
      <c r="L941" s="14"/>
      <c r="M941" s="14"/>
      <c r="N941" s="25"/>
      <c r="O941" s="14"/>
    </row>
    <row r="942">
      <c r="B942" s="53"/>
      <c r="C942" s="14"/>
      <c r="D942" s="14"/>
      <c r="E942" s="14"/>
      <c r="F942" s="14"/>
      <c r="G942" s="14"/>
      <c r="H942" s="14"/>
      <c r="I942" s="14"/>
      <c r="J942" s="14"/>
      <c r="K942" s="14"/>
      <c r="L942" s="14"/>
      <c r="M942" s="14"/>
      <c r="N942" s="25"/>
      <c r="O942" s="14"/>
    </row>
    <row r="943">
      <c r="B943" s="53"/>
      <c r="C943" s="14"/>
      <c r="D943" s="14"/>
      <c r="E943" s="14"/>
      <c r="F943" s="14"/>
      <c r="G943" s="14"/>
      <c r="H943" s="14"/>
      <c r="I943" s="14"/>
      <c r="J943" s="14"/>
      <c r="K943" s="14"/>
      <c r="L943" s="14"/>
      <c r="M943" s="14"/>
      <c r="N943" s="25"/>
      <c r="O943" s="14"/>
    </row>
    <row r="944">
      <c r="B944" s="53"/>
      <c r="C944" s="14"/>
      <c r="D944" s="14"/>
      <c r="E944" s="14"/>
      <c r="F944" s="14"/>
      <c r="G944" s="14"/>
      <c r="H944" s="14"/>
      <c r="I944" s="14"/>
      <c r="J944" s="14"/>
      <c r="K944" s="14"/>
      <c r="L944" s="14"/>
      <c r="M944" s="14"/>
      <c r="N944" s="25"/>
      <c r="O944" s="14"/>
    </row>
    <row r="945">
      <c r="B945" s="53"/>
      <c r="C945" s="14"/>
      <c r="D945" s="14"/>
      <c r="E945" s="14"/>
      <c r="F945" s="14"/>
      <c r="G945" s="14"/>
      <c r="H945" s="14"/>
      <c r="I945" s="14"/>
      <c r="J945" s="14"/>
      <c r="K945" s="14"/>
      <c r="L945" s="14"/>
      <c r="M945" s="14"/>
      <c r="N945" s="25"/>
      <c r="O945" s="14"/>
    </row>
    <row r="946">
      <c r="B946" s="53"/>
      <c r="C946" s="14"/>
      <c r="D946" s="14"/>
      <c r="E946" s="14"/>
      <c r="F946" s="14"/>
      <c r="G946" s="14"/>
      <c r="H946" s="14"/>
      <c r="I946" s="14"/>
      <c r="J946" s="14"/>
      <c r="K946" s="14"/>
      <c r="L946" s="14"/>
      <c r="M946" s="14"/>
      <c r="N946" s="25"/>
      <c r="O946" s="14"/>
    </row>
    <row r="947">
      <c r="B947" s="53"/>
      <c r="C947" s="14"/>
      <c r="D947" s="14"/>
      <c r="E947" s="14"/>
      <c r="F947" s="14"/>
      <c r="G947" s="14"/>
      <c r="H947" s="14"/>
      <c r="I947" s="14"/>
      <c r="J947" s="14"/>
      <c r="K947" s="14"/>
      <c r="L947" s="14"/>
      <c r="M947" s="14"/>
      <c r="N947" s="25"/>
      <c r="O947" s="14"/>
    </row>
    <row r="948">
      <c r="B948" s="53"/>
      <c r="C948" s="14"/>
      <c r="D948" s="14"/>
      <c r="E948" s="14"/>
      <c r="F948" s="14"/>
      <c r="G948" s="14"/>
      <c r="H948" s="14"/>
      <c r="I948" s="14"/>
      <c r="J948" s="14"/>
      <c r="K948" s="14"/>
      <c r="L948" s="14"/>
      <c r="M948" s="14"/>
      <c r="N948" s="25"/>
      <c r="O948" s="14"/>
    </row>
    <row r="949">
      <c r="B949" s="53"/>
      <c r="C949" s="14"/>
      <c r="D949" s="14"/>
      <c r="E949" s="14"/>
      <c r="F949" s="14"/>
      <c r="G949" s="14"/>
      <c r="H949" s="14"/>
      <c r="I949" s="14"/>
      <c r="J949" s="14"/>
      <c r="K949" s="14"/>
      <c r="L949" s="14"/>
      <c r="M949" s="14"/>
      <c r="N949" s="25"/>
      <c r="O949" s="14"/>
    </row>
    <row r="950">
      <c r="B950" s="53"/>
      <c r="C950" s="14"/>
      <c r="D950" s="14"/>
      <c r="E950" s="14"/>
      <c r="F950" s="14"/>
      <c r="G950" s="14"/>
      <c r="H950" s="14"/>
      <c r="I950" s="14"/>
      <c r="J950" s="14"/>
      <c r="K950" s="14"/>
      <c r="L950" s="14"/>
      <c r="M950" s="14"/>
      <c r="N950" s="25"/>
      <c r="O950" s="14"/>
    </row>
    <row r="951">
      <c r="B951" s="53"/>
      <c r="C951" s="14"/>
      <c r="D951" s="14"/>
      <c r="E951" s="14"/>
      <c r="F951" s="14"/>
      <c r="G951" s="14"/>
      <c r="H951" s="14"/>
      <c r="I951" s="14"/>
      <c r="J951" s="14"/>
      <c r="K951" s="14"/>
      <c r="L951" s="14"/>
      <c r="M951" s="14"/>
      <c r="N951" s="25"/>
      <c r="O951" s="14"/>
    </row>
    <row r="952">
      <c r="B952" s="53"/>
      <c r="C952" s="14"/>
      <c r="D952" s="14"/>
      <c r="E952" s="14"/>
      <c r="F952" s="14"/>
      <c r="G952" s="14"/>
      <c r="H952" s="14"/>
      <c r="I952" s="14"/>
      <c r="J952" s="14"/>
      <c r="K952" s="14"/>
      <c r="L952" s="14"/>
      <c r="M952" s="14"/>
      <c r="N952" s="25"/>
      <c r="O952" s="14"/>
    </row>
    <row r="953">
      <c r="B953" s="53"/>
      <c r="C953" s="14"/>
      <c r="D953" s="14"/>
      <c r="E953" s="14"/>
      <c r="F953" s="14"/>
      <c r="G953" s="14"/>
      <c r="H953" s="14"/>
      <c r="I953" s="14"/>
      <c r="J953" s="14"/>
      <c r="K953" s="14"/>
      <c r="L953" s="14"/>
      <c r="M953" s="14"/>
      <c r="N953" s="25"/>
      <c r="O953" s="14"/>
    </row>
    <row r="954">
      <c r="B954" s="53"/>
      <c r="C954" s="14"/>
      <c r="D954" s="14"/>
      <c r="E954" s="14"/>
      <c r="F954" s="14"/>
      <c r="G954" s="14"/>
      <c r="H954" s="14"/>
      <c r="I954" s="14"/>
      <c r="J954" s="14"/>
      <c r="K954" s="14"/>
      <c r="L954" s="14"/>
      <c r="M954" s="14"/>
      <c r="N954" s="25"/>
      <c r="O954" s="14"/>
    </row>
    <row r="955">
      <c r="B955" s="53"/>
      <c r="C955" s="14"/>
      <c r="D955" s="14"/>
      <c r="E955" s="14"/>
      <c r="F955" s="14"/>
      <c r="G955" s="14"/>
      <c r="H955" s="14"/>
      <c r="I955" s="14"/>
      <c r="J955" s="14"/>
      <c r="K955" s="14"/>
      <c r="L955" s="14"/>
      <c r="M955" s="14"/>
      <c r="N955" s="25"/>
      <c r="O955" s="14"/>
    </row>
    <row r="956">
      <c r="B956" s="53"/>
      <c r="C956" s="14"/>
      <c r="D956" s="14"/>
      <c r="E956" s="14"/>
      <c r="F956" s="14"/>
      <c r="G956" s="14"/>
      <c r="H956" s="14"/>
      <c r="I956" s="14"/>
      <c r="J956" s="14"/>
      <c r="K956" s="14"/>
      <c r="L956" s="14"/>
      <c r="M956" s="14"/>
      <c r="N956" s="25"/>
      <c r="O956" s="14"/>
    </row>
    <row r="957">
      <c r="B957" s="53"/>
      <c r="C957" s="14"/>
      <c r="D957" s="14"/>
      <c r="E957" s="14"/>
      <c r="F957" s="14"/>
      <c r="G957" s="14"/>
      <c r="H957" s="14"/>
      <c r="I957" s="14"/>
      <c r="J957" s="14"/>
      <c r="K957" s="14"/>
      <c r="L957" s="14"/>
      <c r="M957" s="14"/>
      <c r="N957" s="25"/>
      <c r="O957" s="14"/>
    </row>
    <row r="958">
      <c r="B958" s="53"/>
      <c r="C958" s="14"/>
      <c r="D958" s="14"/>
      <c r="E958" s="14"/>
      <c r="F958" s="14"/>
      <c r="G958" s="14"/>
      <c r="H958" s="14"/>
      <c r="I958" s="14"/>
      <c r="J958" s="14"/>
      <c r="K958" s="14"/>
      <c r="L958" s="14"/>
      <c r="M958" s="14"/>
      <c r="N958" s="25"/>
      <c r="O958" s="14"/>
    </row>
    <row r="959">
      <c r="B959" s="53"/>
      <c r="C959" s="14"/>
      <c r="D959" s="14"/>
      <c r="E959" s="14"/>
      <c r="F959" s="14"/>
      <c r="G959" s="14"/>
      <c r="H959" s="14"/>
      <c r="I959" s="14"/>
      <c r="J959" s="14"/>
      <c r="K959" s="14"/>
      <c r="L959" s="14"/>
      <c r="M959" s="14"/>
      <c r="N959" s="25"/>
      <c r="O959" s="14"/>
    </row>
    <row r="960">
      <c r="B960" s="53"/>
      <c r="C960" s="14"/>
      <c r="D960" s="14"/>
      <c r="E960" s="14"/>
      <c r="F960" s="14"/>
      <c r="G960" s="14"/>
      <c r="H960" s="14"/>
      <c r="I960" s="14"/>
      <c r="J960" s="14"/>
      <c r="K960" s="14"/>
      <c r="L960" s="14"/>
      <c r="M960" s="14"/>
      <c r="N960" s="25"/>
      <c r="O960" s="14"/>
    </row>
    <row r="961">
      <c r="B961" s="53"/>
      <c r="C961" s="14"/>
      <c r="D961" s="14"/>
      <c r="E961" s="14"/>
      <c r="F961" s="14"/>
      <c r="G961" s="14"/>
      <c r="H961" s="14"/>
      <c r="I961" s="14"/>
      <c r="J961" s="14"/>
      <c r="K961" s="14"/>
      <c r="L961" s="14"/>
      <c r="M961" s="14"/>
      <c r="N961" s="25"/>
      <c r="O961" s="14"/>
    </row>
    <row r="962">
      <c r="B962" s="53"/>
      <c r="C962" s="14"/>
      <c r="D962" s="14"/>
      <c r="E962" s="14"/>
      <c r="F962" s="14"/>
      <c r="G962" s="14"/>
      <c r="H962" s="14"/>
      <c r="I962" s="14"/>
      <c r="J962" s="14"/>
      <c r="K962" s="14"/>
      <c r="L962" s="14"/>
      <c r="M962" s="14"/>
      <c r="N962" s="25"/>
      <c r="O962" s="14"/>
    </row>
    <row r="963">
      <c r="B963" s="53"/>
      <c r="C963" s="14"/>
      <c r="D963" s="14"/>
      <c r="E963" s="14"/>
      <c r="F963" s="14"/>
      <c r="G963" s="14"/>
      <c r="H963" s="14"/>
      <c r="I963" s="14"/>
      <c r="J963" s="14"/>
      <c r="K963" s="14"/>
      <c r="L963" s="14"/>
      <c r="M963" s="14"/>
      <c r="N963" s="25"/>
      <c r="O963" s="14"/>
    </row>
    <row r="964">
      <c r="B964" s="53"/>
      <c r="C964" s="14"/>
      <c r="D964" s="14"/>
      <c r="E964" s="14"/>
      <c r="F964" s="14"/>
      <c r="G964" s="14"/>
      <c r="H964" s="14"/>
      <c r="I964" s="14"/>
      <c r="J964" s="14"/>
      <c r="K964" s="14"/>
      <c r="L964" s="14"/>
      <c r="M964" s="14"/>
      <c r="N964" s="25"/>
      <c r="O964" s="14"/>
    </row>
    <row r="965">
      <c r="B965" s="53"/>
      <c r="C965" s="14"/>
      <c r="D965" s="14"/>
      <c r="E965" s="14"/>
      <c r="F965" s="14"/>
      <c r="G965" s="14"/>
      <c r="H965" s="14"/>
      <c r="I965" s="14"/>
      <c r="J965" s="14"/>
      <c r="K965" s="14"/>
      <c r="L965" s="14"/>
      <c r="M965" s="14"/>
      <c r="N965" s="25"/>
      <c r="O965" s="14"/>
    </row>
    <row r="966">
      <c r="B966" s="53"/>
      <c r="C966" s="14"/>
      <c r="D966" s="14"/>
      <c r="E966" s="14"/>
      <c r="F966" s="14"/>
      <c r="G966" s="14"/>
      <c r="H966" s="14"/>
      <c r="I966" s="14"/>
      <c r="J966" s="14"/>
      <c r="K966" s="14"/>
      <c r="L966" s="14"/>
      <c r="M966" s="14"/>
      <c r="N966" s="25"/>
      <c r="O966" s="14"/>
    </row>
    <row r="967">
      <c r="B967" s="53"/>
      <c r="C967" s="14"/>
      <c r="D967" s="14"/>
      <c r="E967" s="14"/>
      <c r="F967" s="14"/>
      <c r="G967" s="14"/>
      <c r="H967" s="14"/>
      <c r="I967" s="14"/>
      <c r="J967" s="14"/>
      <c r="K967" s="14"/>
      <c r="L967" s="14"/>
      <c r="M967" s="14"/>
      <c r="N967" s="25"/>
      <c r="O967" s="14"/>
    </row>
    <row r="968">
      <c r="B968" s="53"/>
      <c r="C968" s="14"/>
      <c r="D968" s="14"/>
      <c r="E968" s="14"/>
      <c r="F968" s="14"/>
      <c r="G968" s="14"/>
      <c r="H968" s="14"/>
      <c r="I968" s="14"/>
      <c r="J968" s="14"/>
      <c r="K968" s="14"/>
      <c r="L968" s="14"/>
      <c r="M968" s="14"/>
      <c r="N968" s="25"/>
      <c r="O968" s="14"/>
    </row>
    <row r="969">
      <c r="B969" s="53"/>
      <c r="C969" s="14"/>
      <c r="D969" s="14"/>
      <c r="E969" s="14"/>
      <c r="F969" s="14"/>
      <c r="G969" s="14"/>
      <c r="H969" s="14"/>
      <c r="I969" s="14"/>
      <c r="J969" s="14"/>
      <c r="K969" s="14"/>
      <c r="L969" s="14"/>
      <c r="M969" s="14"/>
      <c r="N969" s="25"/>
      <c r="O969" s="14"/>
    </row>
    <row r="970">
      <c r="B970" s="53"/>
      <c r="C970" s="14"/>
      <c r="D970" s="14"/>
      <c r="E970" s="14"/>
      <c r="F970" s="14"/>
      <c r="G970" s="14"/>
      <c r="H970" s="14"/>
      <c r="I970" s="14"/>
      <c r="J970" s="14"/>
      <c r="K970" s="14"/>
      <c r="L970" s="14"/>
      <c r="M970" s="14"/>
      <c r="N970" s="25"/>
      <c r="O970" s="14"/>
    </row>
    <row r="971">
      <c r="B971" s="53"/>
      <c r="C971" s="14"/>
      <c r="D971" s="14"/>
      <c r="E971" s="14"/>
      <c r="F971" s="14"/>
      <c r="G971" s="14"/>
      <c r="H971" s="14"/>
      <c r="I971" s="14"/>
      <c r="J971" s="14"/>
      <c r="K971" s="14"/>
      <c r="L971" s="14"/>
      <c r="M971" s="14"/>
      <c r="N971" s="25"/>
      <c r="O971" s="14"/>
    </row>
    <row r="972">
      <c r="B972" s="53"/>
      <c r="C972" s="14"/>
      <c r="D972" s="14"/>
      <c r="E972" s="14"/>
      <c r="F972" s="14"/>
      <c r="G972" s="14"/>
      <c r="H972" s="14"/>
      <c r="I972" s="14"/>
      <c r="J972" s="14"/>
      <c r="K972" s="14"/>
      <c r="L972" s="14"/>
      <c r="M972" s="14"/>
      <c r="N972" s="25"/>
      <c r="O972" s="14"/>
    </row>
    <row r="973">
      <c r="B973" s="53"/>
      <c r="C973" s="14"/>
      <c r="D973" s="14"/>
      <c r="E973" s="14"/>
      <c r="F973" s="14"/>
      <c r="G973" s="14"/>
      <c r="H973" s="14"/>
      <c r="I973" s="14"/>
      <c r="J973" s="14"/>
      <c r="K973" s="14"/>
      <c r="L973" s="14"/>
      <c r="M973" s="14"/>
      <c r="N973" s="25"/>
      <c r="O973" s="14"/>
    </row>
    <row r="974">
      <c r="B974" s="53"/>
      <c r="C974" s="14"/>
      <c r="D974" s="14"/>
      <c r="E974" s="14"/>
      <c r="F974" s="14"/>
      <c r="G974" s="14"/>
      <c r="H974" s="14"/>
      <c r="I974" s="14"/>
      <c r="J974" s="14"/>
      <c r="K974" s="14"/>
      <c r="L974" s="14"/>
      <c r="M974" s="14"/>
      <c r="N974" s="25"/>
      <c r="O974" s="14"/>
    </row>
    <row r="975">
      <c r="B975" s="53"/>
      <c r="C975" s="14"/>
      <c r="D975" s="14"/>
      <c r="E975" s="14"/>
      <c r="F975" s="14"/>
      <c r="G975" s="14"/>
      <c r="H975" s="14"/>
      <c r="I975" s="14"/>
      <c r="J975" s="14"/>
      <c r="K975" s="14"/>
      <c r="L975" s="14"/>
      <c r="M975" s="14"/>
      <c r="N975" s="25"/>
      <c r="O975" s="14"/>
    </row>
    <row r="976">
      <c r="B976" s="53"/>
      <c r="C976" s="14"/>
      <c r="D976" s="14"/>
      <c r="E976" s="14"/>
      <c r="F976" s="14"/>
      <c r="G976" s="14"/>
      <c r="H976" s="14"/>
      <c r="I976" s="14"/>
      <c r="J976" s="14"/>
      <c r="K976" s="14"/>
      <c r="L976" s="14"/>
      <c r="M976" s="14"/>
      <c r="N976" s="25"/>
      <c r="O976" s="14"/>
    </row>
    <row r="977">
      <c r="B977" s="53"/>
      <c r="C977" s="14"/>
      <c r="D977" s="14"/>
      <c r="E977" s="14"/>
      <c r="F977" s="14"/>
      <c r="G977" s="14"/>
      <c r="H977" s="14"/>
      <c r="I977" s="14"/>
      <c r="J977" s="14"/>
      <c r="K977" s="14"/>
      <c r="L977" s="14"/>
      <c r="M977" s="14"/>
      <c r="N977" s="25"/>
      <c r="O977" s="14"/>
    </row>
    <row r="978">
      <c r="B978" s="53"/>
      <c r="C978" s="14"/>
      <c r="D978" s="14"/>
      <c r="E978" s="14"/>
      <c r="F978" s="14"/>
      <c r="G978" s="14"/>
      <c r="H978" s="14"/>
      <c r="I978" s="14"/>
      <c r="J978" s="14"/>
      <c r="K978" s="14"/>
      <c r="L978" s="14"/>
      <c r="M978" s="14"/>
      <c r="N978" s="25"/>
      <c r="O978" s="14"/>
    </row>
    <row r="979">
      <c r="B979" s="53"/>
      <c r="C979" s="14"/>
      <c r="D979" s="14"/>
      <c r="E979" s="14"/>
      <c r="F979" s="14"/>
      <c r="G979" s="14"/>
      <c r="H979" s="14"/>
      <c r="I979" s="14"/>
      <c r="J979" s="14"/>
      <c r="K979" s="14"/>
      <c r="L979" s="14"/>
      <c r="M979" s="14"/>
      <c r="N979" s="25"/>
      <c r="O979" s="14"/>
    </row>
    <row r="980">
      <c r="B980" s="53"/>
      <c r="C980" s="14"/>
      <c r="D980" s="14"/>
      <c r="E980" s="14"/>
      <c r="F980" s="14"/>
      <c r="G980" s="14"/>
      <c r="H980" s="14"/>
      <c r="I980" s="14"/>
      <c r="J980" s="14"/>
      <c r="K980" s="14"/>
      <c r="L980" s="14"/>
      <c r="M980" s="14"/>
      <c r="N980" s="25"/>
      <c r="O980" s="14"/>
    </row>
    <row r="981">
      <c r="B981" s="53"/>
      <c r="C981" s="14"/>
      <c r="D981" s="14"/>
      <c r="E981" s="14"/>
      <c r="F981" s="14"/>
      <c r="G981" s="14"/>
      <c r="H981" s="14"/>
      <c r="I981" s="14"/>
      <c r="J981" s="14"/>
      <c r="K981" s="14"/>
      <c r="L981" s="14"/>
      <c r="M981" s="14"/>
      <c r="N981" s="25"/>
      <c r="O981" s="14"/>
    </row>
    <row r="982">
      <c r="B982" s="53"/>
      <c r="C982" s="14"/>
      <c r="D982" s="14"/>
      <c r="E982" s="14"/>
      <c r="F982" s="14"/>
      <c r="G982" s="14"/>
      <c r="H982" s="14"/>
      <c r="I982" s="14"/>
      <c r="J982" s="14"/>
      <c r="K982" s="14"/>
      <c r="L982" s="14"/>
      <c r="M982" s="14"/>
      <c r="N982" s="25"/>
      <c r="O982" s="14"/>
    </row>
    <row r="983">
      <c r="B983" s="53"/>
      <c r="C983" s="14"/>
      <c r="D983" s="14"/>
      <c r="E983" s="14"/>
      <c r="F983" s="14"/>
      <c r="G983" s="14"/>
      <c r="H983" s="14"/>
      <c r="I983" s="14"/>
      <c r="J983" s="14"/>
      <c r="K983" s="14"/>
      <c r="L983" s="14"/>
      <c r="M983" s="14"/>
      <c r="N983" s="25"/>
      <c r="O983" s="14"/>
    </row>
    <row r="984">
      <c r="B984" s="53"/>
      <c r="C984" s="14"/>
      <c r="D984" s="14"/>
      <c r="E984" s="14"/>
      <c r="F984" s="14"/>
      <c r="G984" s="14"/>
      <c r="H984" s="14"/>
      <c r="I984" s="14"/>
      <c r="J984" s="14"/>
      <c r="K984" s="14"/>
      <c r="L984" s="14"/>
      <c r="M984" s="14"/>
      <c r="N984" s="25"/>
      <c r="O984" s="14"/>
    </row>
    <row r="985">
      <c r="B985" s="53"/>
      <c r="C985" s="14"/>
      <c r="D985" s="14"/>
      <c r="E985" s="14"/>
      <c r="F985" s="14"/>
      <c r="G985" s="14"/>
      <c r="H985" s="14"/>
      <c r="I985" s="14"/>
      <c r="J985" s="14"/>
      <c r="K985" s="14"/>
      <c r="L985" s="14"/>
      <c r="M985" s="14"/>
      <c r="N985" s="25"/>
      <c r="O985" s="14"/>
    </row>
    <row r="986">
      <c r="B986" s="53"/>
      <c r="C986" s="14"/>
      <c r="D986" s="14"/>
      <c r="E986" s="14"/>
      <c r="F986" s="14"/>
      <c r="G986" s="14"/>
      <c r="H986" s="14"/>
      <c r="I986" s="14"/>
      <c r="J986" s="14"/>
      <c r="K986" s="14"/>
      <c r="L986" s="14"/>
      <c r="M986" s="14"/>
      <c r="N986" s="25"/>
      <c r="O986" s="14"/>
    </row>
    <row r="987">
      <c r="B987" s="53"/>
      <c r="C987" s="14"/>
      <c r="D987" s="14"/>
      <c r="E987" s="14"/>
      <c r="F987" s="14"/>
      <c r="G987" s="14"/>
      <c r="H987" s="14"/>
      <c r="I987" s="14"/>
      <c r="J987" s="14"/>
      <c r="K987" s="14"/>
      <c r="L987" s="14"/>
      <c r="M987" s="14"/>
      <c r="N987" s="25"/>
      <c r="O987" s="14"/>
    </row>
    <row r="988">
      <c r="B988" s="53"/>
      <c r="C988" s="14"/>
      <c r="D988" s="14"/>
      <c r="E988" s="14"/>
      <c r="F988" s="14"/>
      <c r="G988" s="14"/>
      <c r="H988" s="14"/>
      <c r="I988" s="14"/>
      <c r="J988" s="14"/>
      <c r="K988" s="14"/>
      <c r="L988" s="14"/>
      <c r="M988" s="14"/>
      <c r="N988" s="25"/>
      <c r="O988" s="14"/>
    </row>
    <row r="989">
      <c r="B989" s="53"/>
      <c r="C989" s="14"/>
      <c r="D989" s="14"/>
      <c r="E989" s="14"/>
      <c r="F989" s="14"/>
      <c r="G989" s="14"/>
      <c r="H989" s="14"/>
      <c r="I989" s="14"/>
      <c r="J989" s="14"/>
      <c r="K989" s="14"/>
      <c r="L989" s="14"/>
      <c r="M989" s="14"/>
      <c r="N989" s="25"/>
      <c r="O989" s="14"/>
    </row>
    <row r="990">
      <c r="B990" s="53"/>
      <c r="C990" s="14"/>
      <c r="D990" s="14"/>
      <c r="E990" s="14"/>
      <c r="F990" s="14"/>
      <c r="G990" s="14"/>
      <c r="H990" s="14"/>
      <c r="I990" s="14"/>
      <c r="J990" s="14"/>
      <c r="K990" s="14"/>
      <c r="L990" s="14"/>
      <c r="M990" s="14"/>
      <c r="N990" s="25"/>
      <c r="O990" s="14"/>
    </row>
    <row r="991">
      <c r="B991" s="53"/>
      <c r="C991" s="14"/>
      <c r="D991" s="14"/>
      <c r="E991" s="14"/>
      <c r="F991" s="14"/>
      <c r="G991" s="14"/>
      <c r="H991" s="14"/>
      <c r="I991" s="14"/>
      <c r="J991" s="14"/>
      <c r="K991" s="14"/>
      <c r="L991" s="14"/>
      <c r="M991" s="14"/>
      <c r="N991" s="25"/>
      <c r="O991" s="14"/>
    </row>
    <row r="992">
      <c r="B992" s="53"/>
      <c r="C992" s="14"/>
      <c r="D992" s="14"/>
      <c r="E992" s="14"/>
      <c r="F992" s="14"/>
      <c r="G992" s="14"/>
      <c r="H992" s="14"/>
      <c r="I992" s="14"/>
      <c r="J992" s="14"/>
      <c r="K992" s="14"/>
      <c r="L992" s="14"/>
      <c r="M992" s="14"/>
      <c r="N992" s="25"/>
      <c r="O992" s="14"/>
    </row>
    <row r="993">
      <c r="B993" s="53"/>
      <c r="C993" s="14"/>
      <c r="D993" s="14"/>
      <c r="E993" s="14"/>
      <c r="F993" s="14"/>
      <c r="G993" s="14"/>
      <c r="H993" s="14"/>
      <c r="I993" s="14"/>
      <c r="J993" s="14"/>
      <c r="K993" s="14"/>
      <c r="L993" s="14"/>
      <c r="M993" s="14"/>
      <c r="N993" s="25"/>
      <c r="O993" s="14"/>
    </row>
    <row r="994">
      <c r="B994" s="53"/>
      <c r="C994" s="14"/>
      <c r="D994" s="14"/>
      <c r="E994" s="14"/>
      <c r="F994" s="14"/>
      <c r="G994" s="14"/>
      <c r="H994" s="14"/>
      <c r="I994" s="14"/>
      <c r="J994" s="14"/>
      <c r="K994" s="14"/>
      <c r="L994" s="14"/>
      <c r="M994" s="14"/>
      <c r="N994" s="25"/>
      <c r="O994" s="14"/>
    </row>
    <row r="995">
      <c r="B995" s="53"/>
      <c r="C995" s="14"/>
      <c r="D995" s="14"/>
      <c r="E995" s="14"/>
      <c r="F995" s="14"/>
      <c r="G995" s="14"/>
      <c r="H995" s="14"/>
      <c r="I995" s="14"/>
      <c r="J995" s="14"/>
      <c r="K995" s="14"/>
      <c r="L995" s="14"/>
      <c r="M995" s="14"/>
      <c r="N995" s="25"/>
      <c r="O995" s="14"/>
    </row>
    <row r="996">
      <c r="B996" s="53"/>
      <c r="C996" s="14"/>
      <c r="D996" s="14"/>
      <c r="E996" s="14"/>
      <c r="F996" s="14"/>
      <c r="G996" s="14"/>
      <c r="H996" s="14"/>
      <c r="I996" s="14"/>
      <c r="J996" s="14"/>
      <c r="K996" s="14"/>
      <c r="L996" s="14"/>
      <c r="M996" s="14"/>
      <c r="N996" s="25"/>
      <c r="O996" s="14"/>
    </row>
    <row r="997">
      <c r="B997" s="53"/>
      <c r="C997" s="14"/>
      <c r="D997" s="14"/>
      <c r="E997" s="14"/>
      <c r="F997" s="14"/>
      <c r="G997" s="14"/>
      <c r="H997" s="14"/>
      <c r="I997" s="14"/>
      <c r="J997" s="14"/>
      <c r="K997" s="14"/>
      <c r="L997" s="14"/>
      <c r="M997" s="14"/>
      <c r="N997" s="25"/>
      <c r="O997" s="14"/>
    </row>
    <row r="998">
      <c r="B998" s="53"/>
      <c r="C998" s="14"/>
      <c r="D998" s="14"/>
      <c r="E998" s="14"/>
      <c r="F998" s="14"/>
      <c r="G998" s="14"/>
      <c r="H998" s="14"/>
      <c r="I998" s="14"/>
      <c r="J998" s="14"/>
      <c r="K998" s="14"/>
      <c r="L998" s="14"/>
      <c r="M998" s="14"/>
      <c r="N998" s="25"/>
      <c r="O998" s="14"/>
    </row>
    <row r="999">
      <c r="B999" s="53"/>
      <c r="C999" s="14"/>
      <c r="D999" s="14"/>
      <c r="E999" s="14"/>
      <c r="F999" s="14"/>
      <c r="G999" s="14"/>
      <c r="H999" s="14"/>
      <c r="I999" s="14"/>
      <c r="J999" s="14"/>
      <c r="K999" s="14"/>
      <c r="L999" s="14"/>
      <c r="M999" s="14"/>
      <c r="N999" s="25"/>
      <c r="O999" s="14"/>
    </row>
    <row r="1000">
      <c r="B1000" s="53"/>
      <c r="C1000" s="14"/>
      <c r="D1000" s="14"/>
      <c r="E1000" s="14"/>
      <c r="F1000" s="14"/>
      <c r="G1000" s="14"/>
      <c r="H1000" s="14"/>
      <c r="I1000" s="14"/>
      <c r="J1000" s="14"/>
      <c r="K1000" s="14"/>
      <c r="L1000" s="14"/>
      <c r="M1000" s="14"/>
      <c r="N1000" s="25"/>
      <c r="O1000" s="14"/>
    </row>
    <row r="1001">
      <c r="B1001" s="53"/>
      <c r="C1001" s="14"/>
      <c r="D1001" s="14"/>
      <c r="E1001" s="14"/>
      <c r="F1001" s="14"/>
      <c r="G1001" s="14"/>
      <c r="H1001" s="14"/>
      <c r="I1001" s="14"/>
      <c r="J1001" s="14"/>
      <c r="K1001" s="14"/>
      <c r="L1001" s="14"/>
      <c r="M1001" s="14"/>
      <c r="N1001" s="25"/>
      <c r="O1001" s="14"/>
    </row>
    <row r="1002">
      <c r="B1002" s="53"/>
      <c r="C1002" s="14"/>
      <c r="D1002" s="14"/>
      <c r="E1002" s="14"/>
      <c r="F1002" s="14"/>
      <c r="G1002" s="14"/>
      <c r="H1002" s="14"/>
      <c r="I1002" s="14"/>
      <c r="J1002" s="14"/>
      <c r="K1002" s="14"/>
      <c r="L1002" s="14"/>
      <c r="M1002" s="14"/>
      <c r="N1002" s="25"/>
      <c r="O1002" s="14"/>
    </row>
    <row r="1003">
      <c r="B1003" s="53"/>
      <c r="C1003" s="14"/>
      <c r="D1003" s="14"/>
      <c r="E1003" s="14"/>
      <c r="F1003" s="14"/>
      <c r="G1003" s="14"/>
      <c r="H1003" s="14"/>
      <c r="I1003" s="14"/>
      <c r="J1003" s="14"/>
      <c r="K1003" s="14"/>
      <c r="L1003" s="14"/>
      <c r="M1003" s="14"/>
      <c r="N1003" s="25"/>
      <c r="O1003" s="14"/>
    </row>
  </sheetData>
  <mergeCells count="7">
    <mergeCell ref="B1:M1"/>
    <mergeCell ref="A1:A3"/>
    <mergeCell ref="C2:I2"/>
    <mergeCell ref="J2:L2"/>
    <mergeCell ref="B2:B3"/>
    <mergeCell ref="M2:M3"/>
    <mergeCell ref="O2:P2"/>
  </mergeCells>
  <hyperlinks>
    <hyperlink r:id="rId1" ref="P10"/>
    <hyperlink r:id="rId2" ref="P21"/>
    <hyperlink r:id="rId3" ref="P32"/>
  </hyperlinks>
  <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4.43"/>
    <col customWidth="1" min="7" max="14" width="14.43"/>
  </cols>
  <sheetData>
    <row r="1">
      <c r="A1" s="62" t="s">
        <v>1872</v>
      </c>
      <c r="B1" s="63"/>
      <c r="C1" s="63"/>
      <c r="D1" s="63"/>
      <c r="E1" s="63"/>
      <c r="F1" s="63"/>
      <c r="G1" s="63"/>
      <c r="H1" s="63"/>
      <c r="I1" s="63"/>
      <c r="J1" s="63"/>
      <c r="K1" s="63"/>
      <c r="L1" s="63"/>
      <c r="M1" s="63"/>
      <c r="N1" s="64"/>
    </row>
    <row r="2" hidden="1">
      <c r="A2" s="65"/>
      <c r="B2" s="4"/>
      <c r="C2" s="4">
        <v>1.0</v>
      </c>
      <c r="D2" s="4">
        <v>4.0</v>
      </c>
      <c r="E2" s="4">
        <v>7.0</v>
      </c>
      <c r="F2" s="4">
        <v>10.0</v>
      </c>
      <c r="G2" s="4">
        <v>1.0</v>
      </c>
      <c r="N2" s="66"/>
    </row>
    <row r="3" ht="1.5" hidden="1" customHeight="1">
      <c r="A3" s="65"/>
      <c r="B3" s="4"/>
      <c r="C3" s="4">
        <v>3.0</v>
      </c>
      <c r="D3" s="4">
        <v>6.0</v>
      </c>
      <c r="E3" s="4">
        <v>9.0</v>
      </c>
      <c r="F3" s="4">
        <v>12.0</v>
      </c>
      <c r="G3" s="4">
        <v>12.0</v>
      </c>
      <c r="N3" s="66"/>
    </row>
    <row r="4">
      <c r="A4" s="67" t="s">
        <v>1882</v>
      </c>
      <c r="B4" s="68" t="s">
        <v>1883</v>
      </c>
      <c r="C4" s="67" t="s">
        <v>1886</v>
      </c>
      <c r="D4" s="63"/>
      <c r="E4" s="63"/>
      <c r="F4" s="64"/>
      <c r="G4" s="62" t="s">
        <v>1886</v>
      </c>
      <c r="H4" s="63"/>
      <c r="I4" s="63"/>
      <c r="J4" s="63"/>
      <c r="K4" s="64"/>
      <c r="L4" s="69" t="s">
        <v>1890</v>
      </c>
      <c r="M4" s="63"/>
      <c r="N4" s="64"/>
    </row>
    <row r="5">
      <c r="A5" s="70"/>
      <c r="B5" s="71"/>
      <c r="C5" s="72" t="s">
        <v>1893</v>
      </c>
      <c r="D5" s="73" t="s">
        <v>1895</v>
      </c>
      <c r="E5" s="73" t="s">
        <v>1896</v>
      </c>
      <c r="F5" s="74" t="s">
        <v>1897</v>
      </c>
      <c r="G5" s="75" t="s">
        <v>1900</v>
      </c>
      <c r="H5" s="76" t="s">
        <v>1901</v>
      </c>
      <c r="I5" s="76" t="s">
        <v>1902</v>
      </c>
      <c r="J5" s="76" t="s">
        <v>1903</v>
      </c>
      <c r="K5" s="76" t="s">
        <v>1904</v>
      </c>
      <c r="L5" s="75" t="s">
        <v>1900</v>
      </c>
      <c r="M5" s="76" t="s">
        <v>1903</v>
      </c>
      <c r="N5" s="77" t="s">
        <v>1904</v>
      </c>
    </row>
    <row r="6">
      <c r="A6" s="78">
        <v>2014.0</v>
      </c>
      <c r="B6" s="79">
        <v>2015.0</v>
      </c>
      <c r="C6" s="80">
        <f>IF(COUNTIFS('TJ List'!$L:$L,"&gt;0",'TJ List'!$S:$S,"&gt;="&amp;$A6,'TJ List'!$S:$S,"&lt;="&amp;$B6,'TJ List'!$T:$T,"&gt;="&amp;C$2,'TJ List'!$T:$T,"&lt;="&amp;C$3)&gt;0,SUMIFS('TJ List'!$L:$L,'TJ List'!$S:$S,"&gt;="&amp;$A6,'TJ List'!$S:$S,"&lt;="&amp;$B6,'TJ List'!$T:$T,"&gt;="&amp;C$2,'TJ List'!$T:$T,"&lt;="&amp;C$3)/COUNTIFS('TJ List'!$L:$L,"&gt;0",'TJ List'!$S:$S,"&gt;="&amp;$A6,'TJ List'!$S:$S,"&lt;="&amp;$B6,'TJ List'!$T:$T,"&gt;="&amp;C$2,'TJ List'!$T:$T,"&lt;="&amp;C$3),"N/A")</f>
        <v>15.44444444</v>
      </c>
      <c r="D6" s="80">
        <f>IF(COUNTIFS('TJ List'!$L:$L,"&gt;0",'TJ List'!$S:$S,"&gt;="&amp;$A6,'TJ List'!$S:$S,"&lt;="&amp;$B6,'TJ List'!$T:$T,"&gt;="&amp;D$2,'TJ List'!$T:$T,"&lt;="&amp;D$3)&gt;0,SUMIFS('TJ List'!$L:$L,'TJ List'!$S:$S,"&gt;="&amp;$A6,'TJ List'!$S:$S,"&lt;="&amp;$B6,'TJ List'!$T:$T,"&gt;="&amp;D$2,'TJ List'!$T:$T,"&lt;="&amp;D$3)/COUNTIFS('TJ List'!$L:$L,"&gt;0",'TJ List'!$S:$S,"&gt;="&amp;$A6,'TJ List'!$S:$S,"&lt;="&amp;$B6,'TJ List'!$T:$T,"&gt;="&amp;D$2,'TJ List'!$T:$T,"&lt;="&amp;D$3),"N/A")</f>
        <v>15.12162162</v>
      </c>
      <c r="E6" s="80">
        <f>IF(COUNTIFS('TJ List'!$L:$L,"&gt;0",'TJ List'!$S:$S,"&gt;="&amp;$A6,'TJ List'!$S:$S,"&lt;="&amp;$B6,'TJ List'!$T:$T,"&gt;="&amp;E$2,'TJ List'!$T:$T,"&lt;="&amp;E$3)&gt;0,SUMIFS('TJ List'!$L:$L,'TJ List'!$S:$S,"&gt;="&amp;$A6,'TJ List'!$S:$S,"&lt;="&amp;$B6,'TJ List'!$T:$T,"&gt;="&amp;E$2,'TJ List'!$T:$T,"&lt;="&amp;E$3)/COUNTIFS('TJ List'!$L:$L,"&gt;0",'TJ List'!$S:$S,"&gt;="&amp;$A6,'TJ List'!$S:$S,"&lt;="&amp;$B6,'TJ List'!$T:$T,"&gt;="&amp;E$2,'TJ List'!$T:$T,"&lt;="&amp;E$3),"N/A")</f>
        <v>14.02702703</v>
      </c>
      <c r="F6" s="81">
        <f>IF(COUNTIFS('TJ List'!$L:$L,"&gt;0",'TJ List'!$S:$S,"&gt;="&amp;$A6,'TJ List'!$S:$S,"&lt;="&amp;$B6,'TJ List'!$T:$T,"&gt;="&amp;F$2,'TJ List'!$T:$T,"&lt;="&amp;F$3)&gt;0,SUMIFS('TJ List'!$L:$L,'TJ List'!$S:$S,"&gt;="&amp;$A6,'TJ List'!$S:$S,"&lt;="&amp;$B6,'TJ List'!$T:$T,"&gt;="&amp;F$2,'TJ List'!$T:$T,"&lt;="&amp;F$3)/COUNTIFS('TJ List'!$L:$L,"&gt;0",'TJ List'!$S:$S,"&gt;="&amp;$A6,'TJ List'!$S:$S,"&lt;="&amp;$B6,'TJ List'!$T:$T,"&gt;="&amp;F$2,'TJ List'!$T:$T,"&lt;="&amp;F$3),"N/A")</f>
        <v>19.5</v>
      </c>
      <c r="G6" s="82">
        <f t="array" ref="G6">AVERAGE(INDIRECT(CONCATENATE(ADDRESS(ROW(INDEX('TJ List'!A:A,MATCH(42369,'TJ List'!B:B,-1)+1,0)),12,1,TRUE,"TJ List"),":",ADDRESS(ROW(INDEX('TJ List'!A:A,MATCH(41639,'TJ List'!B:B,-1),0)),12))))</f>
        <v>14.95714286</v>
      </c>
      <c r="H6" s="83">
        <f t="array" ref="H6">MEDIAN(INDIRECT(CONCATENATE(ADDRESS(ROW(INDEX('TJ List'!A:A,MATCH(42369,'TJ List'!B:B,-1)+1,0)),12,1,TRUE,"TJ List"),":",ADDRESS(ROW(INDEX('TJ List'!A:A,MATCH(41639,'TJ List'!B:B,-1),0)),12))))</f>
        <v>14</v>
      </c>
      <c r="I6" s="83">
        <f t="array" ref="I6">MODE(INDIRECT(CONCATENATE(ADDRESS(ROW(INDEX('TJ List'!A:A,MATCH(42369,'TJ List'!B:B,-1)+1,0)),12,1,TRUE,"TJ List"),":",ADDRESS(ROW(INDEX('TJ List'!A:A,MATCH(41639,'TJ List'!B:B,-1),0)),12))))</f>
        <v>14</v>
      </c>
      <c r="J6" s="84">
        <f t="array" ref="J6">COUNTIFS(INDIRECT(CONCATENATE(ADDRESS(ROW(INDEX('TJ List'!A:A,MATCH(42369,'TJ List'!B:B,-1)+1,0)),11,1,TRUE,"TJ List"),":",ADDRESS(ROW(INDEX('TJ List'!A:A,MATCH(41639,'TJ List'!B:B,-1),0)),11))),"&gt;0")/COUNTIFS(INDIRECT(CONCATENATE(ADDRESS(ROW(INDEX('TJ List'!A:A,MATCH(42369,'TJ List'!B:B,-1)+1,0)),1,1,TRUE,"TJ List"),":",ADDRESS(ROW(INDEX('TJ List'!A:A,MATCH(41639,'TJ List'!B:B,-1),0)),1))),"&lt;&gt;0")</f>
        <v>0.6488549618</v>
      </c>
      <c r="K6" s="85">
        <f t="array" ref="K6">COUNTIFS(INDIRECT(CONCATENATE(ADDRESS(ROW(INDEX('TJ List'!A:A,MATCH(42369,'TJ List'!B:B,-1)+1,0)),11,1,TRUE,"TJ List"),":",ADDRESS(ROW(INDEX('TJ List'!A:A,MATCH(41639,'TJ List'!B:B,-1),0)),11))),"&lt;&gt;X")</f>
        <v>262</v>
      </c>
      <c r="L6" s="86">
        <f t="array" ref="L6">AVERAGEIFS(INDIRECT(CONCATENATE(ADDRESS(ROW(INDEX('TJ List'!A:A,MATCH(42369,'TJ List'!B:B,-1)+1,0)),12,1,TRUE,"TJ List"),":",ADDRESS(ROW(INDEX('TJ List'!A:A,MATCH(41639,'TJ List'!B:B,-1),0)),12))),INDIRECT(CONCATENATE(ADDRESS(ROW(INDEX('TJ List'!A:A,MATCH(42369,'TJ List'!B:B,-1)+1,0)),4,1,TRUE,"TJ List"),":",ADDRESS(ROW(INDEX('TJ List'!A:A,MATCH(41639,'TJ List'!B:B,-1),0)),4))),"MLB",INDIRECT(CONCATENATE(ADDRESS(ROW(INDEX('TJ List'!A:A,MATCH(42369,'TJ List'!B:B,-1)+1,0)),12,1,TRUE,"TJ List"),":",ADDRESS(ROW(INDEX('TJ List'!A:A,MATCH(41639,'TJ List'!B:B,-1),0)),12))),"&gt;0")</f>
        <v>16.24242424</v>
      </c>
      <c r="M6" s="84">
        <f t="array" ref="M6">COUNTIFS(INDIRECT(CONCATENATE(ADDRESS(ROW(INDEX('TJ List'!A:A,MATCH(42369,'TJ List'!B:B,-1)+1,0)),11,1,TRUE,"TJ List"),":",ADDRESS(ROW(INDEX('TJ List'!A:A,MATCH(41639,'TJ List'!B:B,-1),0)),11))),"&gt;0",INDIRECT(CONCATENATE(ADDRESS(ROW(INDEX('TJ List'!A:A,MATCH(42369,'TJ List'!B:B,-1)+1,0)),4,1,TRUE,"TJ List"),":",ADDRESS(ROW(INDEX('TJ List'!A:A,MATCH(41639,'TJ List'!B:B,-1),0)),4))),"MLB")/COUNTIFS(INDIRECT(CONCATENATE(ADDRESS(ROW(INDEX('TJ List'!A:A,MATCH(42369,'TJ List'!B:B,-1)+1,0)),1,1,TRUE,"TJ List"),":",ADDRESS(ROW(INDEX('TJ List'!A:A,MATCH(41639,'TJ List'!B:B,-1),0)),1))),"&lt;&gt;0",INDIRECT(CONCATENATE(ADDRESS(ROW(INDEX('TJ List'!A:A,MATCH(42369,'TJ List'!B:B,-1)+1,0)),4,1,TRUE,"TJ List"),":",ADDRESS(ROW(INDEX('TJ List'!A:A,MATCH(41639,'TJ List'!B:B,-1),0)),4))),"MLB")</f>
        <v>0.5689655172</v>
      </c>
      <c r="N6" s="87">
        <f t="array" ref="N6">COUNTIFS(INDIRECT(CONCATENATE(ADDRESS(ROW(INDEX('TJ List'!A:A,MATCH(42369,'TJ List'!B:B,-1)+1,0)),11,1,TRUE,"TJ List"),":",ADDRESS(ROW(INDEX('TJ List'!A:A,MATCH(41639,'TJ List'!B:B,-1),0)),11))),"&lt;&gt;X",INDIRECT(CONCATENATE(ADDRESS(ROW(INDEX('TJ List'!A:A,MATCH(42369,'TJ List'!B:B,-1)+1,0)),4,1,TRUE,"TJ List"),":",ADDRESS(ROW(INDEX('TJ List'!A:A,MATCH(41639,'TJ List'!B:B,-1),0)),4))),"MLB")</f>
        <v>58</v>
      </c>
    </row>
    <row r="7">
      <c r="A7" s="78">
        <v>2012.0</v>
      </c>
      <c r="B7" s="79">
        <v>2013.0</v>
      </c>
      <c r="C7" s="80">
        <f>IF(COUNTIFS('TJ List'!$L:$L,"&gt;0",'TJ List'!$S:$S,"&gt;="&amp;$A7,'TJ List'!$S:$S,"&lt;="&amp;$B7,'TJ List'!$T:$T,"&gt;="&amp;C$2,'TJ List'!$T:$T,"&lt;="&amp;C$3)&gt;0,SUMIFS('TJ List'!$L:$L,'TJ List'!$S:$S,"&gt;="&amp;$A7,'TJ List'!$S:$S,"&lt;="&amp;$B7,'TJ List'!$T:$T,"&gt;="&amp;C$2,'TJ List'!$T:$T,"&lt;="&amp;C$3)/COUNTIFS('TJ List'!$L:$L,"&gt;0",'TJ List'!$S:$S,"&gt;="&amp;$A7,'TJ List'!$S:$S,"&lt;="&amp;$B7,'TJ List'!$T:$T,"&gt;="&amp;C$2,'TJ List'!$T:$T,"&lt;="&amp;C$3),"N/A")</f>
        <v>18.66666667</v>
      </c>
      <c r="D7" s="80">
        <f>IF(COUNTIFS('TJ List'!$L:$L,"&gt;0",'TJ List'!$S:$S,"&gt;="&amp;$A7,'TJ List'!$S:$S,"&lt;="&amp;$B7,'TJ List'!$T:$T,"&gt;="&amp;D$2,'TJ List'!$T:$T,"&lt;="&amp;D$3)&gt;0,SUMIFS('TJ List'!$L:$L,'TJ List'!$S:$S,"&gt;="&amp;$A7,'TJ List'!$S:$S,"&lt;="&amp;$B7,'TJ List'!$T:$T,"&gt;="&amp;D$2,'TJ List'!$T:$T,"&lt;="&amp;D$3)/COUNTIFS('TJ List'!$L:$L,"&gt;0",'TJ List'!$S:$S,"&gt;="&amp;$A7,'TJ List'!$S:$S,"&lt;="&amp;$B7,'TJ List'!$T:$T,"&gt;="&amp;D$2,'TJ List'!$T:$T,"&lt;="&amp;D$3),"N/A")</f>
        <v>18.03333333</v>
      </c>
      <c r="E7" s="80">
        <f>IF(COUNTIFS('TJ List'!$L:$L,"&gt;0",'TJ List'!$S:$S,"&gt;="&amp;$A7,'TJ List'!$S:$S,"&lt;="&amp;$B7,'TJ List'!$T:$T,"&gt;="&amp;E$2,'TJ List'!$T:$T,"&lt;="&amp;E$3)&gt;0,SUMIFS('TJ List'!$L:$L,'TJ List'!$S:$S,"&gt;="&amp;$A7,'TJ List'!$S:$S,"&lt;="&amp;$B7,'TJ List'!$T:$T,"&gt;="&amp;E$2,'TJ List'!$T:$T,"&lt;="&amp;E$3)/COUNTIFS('TJ List'!$L:$L,"&gt;0",'TJ List'!$S:$S,"&gt;="&amp;$A7,'TJ List'!$S:$S,"&lt;="&amp;$B7,'TJ List'!$T:$T,"&gt;="&amp;E$2,'TJ List'!$T:$T,"&lt;="&amp;E$3),"N/A")</f>
        <v>16.44444444</v>
      </c>
      <c r="F7" s="81">
        <f>IF(COUNTIFS('TJ List'!$L:$L,"&gt;0",'TJ List'!$S:$S,"&gt;="&amp;$A7,'TJ List'!$S:$S,"&lt;="&amp;$B7,'TJ List'!$T:$T,"&gt;="&amp;F$2,'TJ List'!$T:$T,"&lt;="&amp;F$3)&gt;0,SUMIFS('TJ List'!$L:$L,'TJ List'!$S:$S,"&gt;="&amp;$A7,'TJ List'!$S:$S,"&lt;="&amp;$B7,'TJ List'!$T:$T,"&gt;="&amp;F$2,'TJ List'!$T:$T,"&lt;="&amp;F$3)/COUNTIFS('TJ List'!$L:$L,"&gt;0",'TJ List'!$S:$S,"&gt;="&amp;$A7,'TJ List'!$S:$S,"&lt;="&amp;$B7,'TJ List'!$T:$T,"&gt;="&amp;F$2,'TJ List'!$T:$T,"&lt;="&amp;F$3),"N/A")</f>
        <v>18.27272727</v>
      </c>
      <c r="G7" s="82">
        <f t="array" ref="G7">AVERAGE(INDIRECT(CONCATENATE(ADDRESS(ROW(INDEX('TJ List'!A:A,MATCH(41639,'TJ List'!B:B,-1)+1,0)),12,1,TRUE,"TJ List"),":",ADDRESS(ROW(INDEX('TJ List'!A:A,MATCH(40908,'TJ List'!B:B,-1),0)),12))))</f>
        <v>17.528</v>
      </c>
      <c r="H7" s="83">
        <f t="array" ref="H7">MEDIAN(INDIRECT(CONCATENATE(ADDRESS(ROW(INDEX('TJ List'!A:A,MATCH(41639,'TJ List'!B:B,-1)+1,0)),12,1,TRUE,"TJ List"),":",ADDRESS(ROW(INDEX('TJ List'!A:A,MATCH(40908,'TJ List'!B:B,-1),0)),12))))</f>
        <v>14</v>
      </c>
      <c r="I7" s="83">
        <f t="array" ref="I7">MODE(INDIRECT(CONCATENATE(ADDRESS(ROW(INDEX('TJ List'!A:A,MATCH(41639,'TJ List'!B:B,-1)+1,0)),12,1,TRUE,"TJ List"),":",ADDRESS(ROW(INDEX('TJ List'!A:A,MATCH(40908,'TJ List'!B:B,-1),0)),12))))</f>
        <v>12</v>
      </c>
      <c r="J7" s="84">
        <f t="array" ref="J7">COUNTIFS(INDIRECT(CONCATENATE(ADDRESS(ROW(INDEX('TJ List'!A:A,MATCH(41639,'TJ List'!B:B,-1)+1,0)),11,1,TRUE,"TJ List"),":",ADDRESS(ROW(INDEX('TJ List'!A:A,MATCH(40908,'TJ List'!B:B,-1),0)),11))),"&gt;0")/COUNTIFS(INDIRECT(CONCATENATE(ADDRESS(ROW(INDEX('TJ List'!A:A,MATCH(41639,'TJ List'!B:B,-1)+1,0)),1,1,TRUE,"TJ List"),":",ADDRESS(ROW(INDEX('TJ List'!A:A,MATCH(40908,'TJ List'!B:B,-1),0)),1))),"&lt;&gt;0")</f>
        <v>0.843902439</v>
      </c>
      <c r="K7" s="85">
        <f t="array" ref="K7">COUNTIFS(INDIRECT(CONCATENATE(ADDRESS(ROW(INDEX('TJ List'!A:A,MATCH(41639,'TJ List'!B:B,-1)+1,0)),11,1,TRUE,"TJ List"),":",ADDRESS(ROW(INDEX('TJ List'!A:A,MATCH(40908,'TJ List'!B:B,-1),0)),11))),"&lt;&gt;X")</f>
        <v>205</v>
      </c>
      <c r="L7" s="86">
        <f t="array" ref="L7">AVERAGEIFS(INDIRECT(CONCATENATE(ADDRESS(ROW(INDEX('TJ List'!A:A,MATCH(41639,'TJ List'!B:B,-1)+1,0)),12,1,TRUE,"TJ List"),":",ADDRESS(ROW(INDEX('TJ List'!A:A,MATCH(40908,'TJ List'!B:B,-1),0)),12))),INDIRECT(CONCATENATE(ADDRESS(ROW(INDEX('TJ List'!A:A,MATCH(41639,'TJ List'!B:B,-1)+1,0)),4,1,TRUE,"TJ List"),":",ADDRESS(ROW(INDEX('TJ List'!A:A,MATCH(40908,'TJ List'!B:B,-1),0)),4))),"MLB",INDIRECT(CONCATENATE(ADDRESS(ROW(INDEX('TJ List'!A:A,MATCH(41639,'TJ List'!B:B,-1)+1,0)),12,1,TRUE,"TJ List"),":",ADDRESS(ROW(INDEX('TJ List'!A:A,MATCH(40908,'TJ List'!B:B,-1),0)),12))),"&gt;0")</f>
        <v>19.23255814</v>
      </c>
      <c r="M7" s="84">
        <f t="array" ref="M7">COUNTIFS(INDIRECT(CONCATENATE(ADDRESS(ROW(INDEX('TJ List'!A:A,MATCH(41639,'TJ List'!B:B,-1)+1,0)),11,1,TRUE,"TJ List"),":",ADDRESS(ROW(INDEX('TJ List'!A:A,MATCH(40908,'TJ List'!B:B,-1),0)),11))),"&gt;0",INDIRECT(CONCATENATE(ADDRESS(ROW(INDEX('TJ List'!A:A,MATCH(41639,'TJ List'!B:B,-1)+1,0)),4,1,TRUE,"TJ List"),":",ADDRESS(ROW(INDEX('TJ List'!A:A,MATCH(40908,'TJ List'!B:B,-1),0)),4))),"MLB")/COUNTIFS(INDIRECT(CONCATENATE(ADDRESS(ROW(INDEX('TJ List'!A:A,MATCH(41639,'TJ List'!B:B,-1)+1,0)),1,1,TRUE,"TJ List"),":",ADDRESS(ROW(INDEX('TJ List'!A:A,MATCH(40908,'TJ List'!B:B,-1),0)),1))),"&lt;&gt;0",INDIRECT(CONCATENATE(ADDRESS(ROW(INDEX('TJ List'!A:A,MATCH(41639,'TJ List'!B:B,-1)+1,0)),4,1,TRUE,"TJ List"),":",ADDRESS(ROW(INDEX('TJ List'!A:A,MATCH(40908,'TJ List'!B:B,-1),0)),4))),"MLB")</f>
        <v>0.7678571429</v>
      </c>
      <c r="N7" s="87">
        <f t="array" ref="N7">COUNTIFS(INDIRECT(CONCATENATE(ADDRESS(ROW(INDEX('TJ List'!A:A,MATCH(41639,'TJ List'!B:B,-1)+1,0)),11,1,TRUE,"TJ List"),":",ADDRESS(ROW(INDEX('TJ List'!A:A,MATCH(40908,'TJ List'!B:B,-1),0)),11))),"&lt;&gt;X",INDIRECT(CONCATENATE(ADDRESS(ROW(INDEX('TJ List'!A:A,MATCH(41639,'TJ List'!B:B,-1)+1,0)),4,1,TRUE,"TJ List"),":",ADDRESS(ROW(INDEX('TJ List'!A:A,MATCH(40908,'TJ List'!B:B,-1),0)),4))),"MLB")</f>
        <v>56</v>
      </c>
    </row>
    <row r="8">
      <c r="A8" s="78">
        <v>2010.0</v>
      </c>
      <c r="B8" s="79">
        <v>2011.0</v>
      </c>
      <c r="C8" s="80">
        <f>IF(COUNTIFS('TJ List'!$L:$L,"&gt;0",'TJ List'!$S:$S,"&gt;="&amp;$A8,'TJ List'!$S:$S,"&lt;="&amp;$B8,'TJ List'!$T:$T,"&gt;="&amp;C$2,'TJ List'!$T:$T,"&lt;="&amp;C$3)&gt;0,SUMIFS('TJ List'!$L:$L,'TJ List'!$S:$S,"&gt;="&amp;$A8,'TJ List'!$S:$S,"&lt;="&amp;$B8,'TJ List'!$T:$T,"&gt;="&amp;C$2,'TJ List'!$T:$T,"&lt;="&amp;C$3)/COUNTIFS('TJ List'!$L:$L,"&gt;0",'TJ List'!$S:$S,"&gt;="&amp;$A8,'TJ List'!$S:$S,"&lt;="&amp;$B8,'TJ List'!$T:$T,"&gt;="&amp;C$2,'TJ List'!$T:$T,"&lt;="&amp;C$3),"N/A")</f>
        <v>15.1</v>
      </c>
      <c r="D8" s="80">
        <f>IF(COUNTIFS('TJ List'!$L:$L,"&gt;0",'TJ List'!$S:$S,"&gt;="&amp;$A8,'TJ List'!$S:$S,"&lt;="&amp;$B8,'TJ List'!$T:$T,"&gt;="&amp;D$2,'TJ List'!$T:$T,"&lt;="&amp;D$3)&gt;0,SUMIFS('TJ List'!$L:$L,'TJ List'!$S:$S,"&gt;="&amp;$A8,'TJ List'!$S:$S,"&lt;="&amp;$B8,'TJ List'!$T:$T,"&gt;="&amp;D$2,'TJ List'!$T:$T,"&lt;="&amp;D$3)/COUNTIFS('TJ List'!$L:$L,"&gt;0",'TJ List'!$S:$S,"&gt;="&amp;$A8,'TJ List'!$S:$S,"&lt;="&amp;$B8,'TJ List'!$T:$T,"&gt;="&amp;D$2,'TJ List'!$T:$T,"&lt;="&amp;D$3),"N/A")</f>
        <v>17</v>
      </c>
      <c r="E8" s="80">
        <f>IF(COUNTIFS('TJ List'!$L:$L,"&gt;0",'TJ List'!$S:$S,"&gt;="&amp;$A8,'TJ List'!$S:$S,"&lt;="&amp;$B8,'TJ List'!$T:$T,"&gt;="&amp;E$2,'TJ List'!$T:$T,"&lt;="&amp;E$3)&gt;0,SUMIFS('TJ List'!$L:$L,'TJ List'!$S:$S,"&gt;="&amp;$A8,'TJ List'!$S:$S,"&lt;="&amp;$B8,'TJ List'!$T:$T,"&gt;="&amp;E$2,'TJ List'!$T:$T,"&lt;="&amp;E$3)/COUNTIFS('TJ List'!$L:$L,"&gt;0",'TJ List'!$S:$S,"&gt;="&amp;$A8,'TJ List'!$S:$S,"&lt;="&amp;$B8,'TJ List'!$T:$T,"&gt;="&amp;E$2,'TJ List'!$T:$T,"&lt;="&amp;E$3),"N/A")</f>
        <v>17.71875</v>
      </c>
      <c r="F8" s="81">
        <f>IF(COUNTIFS('TJ List'!$L:$L,"&gt;0",'TJ List'!$S:$S,"&gt;="&amp;$A8,'TJ List'!$S:$S,"&lt;="&amp;$B8,'TJ List'!$T:$T,"&gt;="&amp;F$2,'TJ List'!$T:$T,"&lt;="&amp;F$3)&gt;0,SUMIFS('TJ List'!$L:$L,'TJ List'!$S:$S,"&gt;="&amp;$A8,'TJ List'!$S:$S,"&lt;="&amp;$B8,'TJ List'!$T:$T,"&gt;="&amp;F$2,'TJ List'!$T:$T,"&lt;="&amp;F$3)/COUNTIFS('TJ List'!$L:$L,"&gt;0",'TJ List'!$S:$S,"&gt;="&amp;$A8,'TJ List'!$S:$S,"&lt;="&amp;$B8,'TJ List'!$T:$T,"&gt;="&amp;F$2,'TJ List'!$T:$T,"&lt;="&amp;F$3),"N/A")</f>
        <v>18.125</v>
      </c>
      <c r="G8" s="82">
        <f t="array" ref="G8">AVERAGE(INDIRECT(CONCATENATE(ADDRESS(ROW(INDEX('TJ List'!A:A,MATCH(40908,'TJ List'!B:B,-1)+1,0)),12,1,TRUE,"TJ List"),":",ADDRESS(ROW(INDEX('TJ List'!A:A,MATCH(40178,'TJ List'!B:B,-1),0)),12))))</f>
        <v>17.16883117</v>
      </c>
      <c r="H8" s="83">
        <f t="array" ref="H8">MEDIAN(INDIRECT(CONCATENATE(ADDRESS(ROW(INDEX('TJ List'!A:A,MATCH(40908,'TJ List'!B:B,-1)+1,0)),12,1,TRUE,"TJ List"),":",ADDRESS(ROW(INDEX('TJ List'!A:A,MATCH(40178,'TJ List'!B:B,-1),0)),12))))</f>
        <v>15</v>
      </c>
      <c r="I8" s="83">
        <f t="array" ref="I8">MODE(INDIRECT(CONCATENATE(ADDRESS(ROW(INDEX('TJ List'!A:A,MATCH(40908,'TJ List'!B:B,-1)+1,0)),12,1,TRUE,"TJ List"),":",ADDRESS(ROW(INDEX('TJ List'!A:A,MATCH(40178,'TJ List'!B:B,-1),0)),12))))</f>
        <v>12</v>
      </c>
      <c r="J8" s="84">
        <f t="array" ref="J8">COUNTIFS(INDIRECT(CONCATENATE(ADDRESS(ROW(INDEX('TJ List'!A:A,MATCH(40908,'TJ List'!B:B,-1)+1,0)),11,1,TRUE,"TJ List"),":",ADDRESS(ROW(INDEX('TJ List'!A:A,MATCH(40178,'TJ List'!B:B,-1),0)),11))),"&gt;0")/COUNTIFS(INDIRECT(CONCATENATE(ADDRESS(ROW(INDEX('TJ List'!A:A,MATCH(40908,'TJ List'!B:B,-1)+1,0)),1,1,TRUE,"TJ List"),":",ADDRESS(ROW(INDEX('TJ List'!A:A,MATCH(40178,'TJ List'!B:B,-1),0)),1))),"&lt;&gt;0")</f>
        <v>0.8954248366</v>
      </c>
      <c r="K8" s="85">
        <f t="array" ref="K8">COUNTIFS(INDIRECT(CONCATENATE(ADDRESS(ROW(INDEX('TJ List'!A:A,MATCH(40908,'TJ List'!B:B,-1)+1,0)),11,1,TRUE,"TJ List"),":",ADDRESS(ROW(INDEX('TJ List'!A:A,MATCH(40178,'TJ List'!B:B,-1),0)),11))),"&lt;&gt;X")</f>
        <v>153</v>
      </c>
      <c r="L8" s="86">
        <f t="array" ref="L8">AVERAGEIFS(INDIRECT(CONCATENATE(ADDRESS(ROW(INDEX('TJ List'!A:A,MATCH(40908,'TJ List'!B:B,-1)+1,0)),12,1,TRUE,"TJ List"),":",ADDRESS(ROW(INDEX('TJ List'!A:A,MATCH(40178,'TJ List'!B:B,-1),0)),12))),INDIRECT(CONCATENATE(ADDRESS(ROW(INDEX('TJ List'!A:A,MATCH(40908,'TJ List'!B:B,-1)+1,0)),4,1,TRUE,"TJ List"),":",ADDRESS(ROW(INDEX('TJ List'!A:A,MATCH(40178,'TJ List'!B:B,-1),0)),4))),"MLB",INDIRECT(CONCATENATE(ADDRESS(ROW(INDEX('TJ List'!A:A,MATCH(40908,'TJ List'!B:B,-1)+1,0)),12,1,TRUE,"TJ List"),":",ADDRESS(ROW(INDEX('TJ List'!A:A,MATCH(40178,'TJ List'!B:B,-1),0)),12))),"&gt;0")</f>
        <v>16.07142857</v>
      </c>
      <c r="M8" s="84">
        <f t="array" ref="M8">COUNTIFS(INDIRECT(CONCATENATE(ADDRESS(ROW(INDEX('TJ List'!A:A,MATCH(40908,'TJ List'!B:B,-1)+1,0)),11,1,TRUE,"TJ List"),":",ADDRESS(ROW(INDEX('TJ List'!A:A,MATCH(40178,'TJ List'!B:B,-1),0)),11))),"&gt;0",INDIRECT(CONCATENATE(ADDRESS(ROW(INDEX('TJ List'!A:A,MATCH(40908,'TJ List'!B:B,-1)+1,0)),4,1,TRUE,"TJ List"),":",ADDRESS(ROW(INDEX('TJ List'!A:A,MATCH(40178,'TJ List'!B:B,-1),0)),4))),"MLB")/COUNTIFS(INDIRECT(CONCATENATE(ADDRESS(ROW(INDEX('TJ List'!A:A,MATCH(40908,'TJ List'!B:B,-1)+1,0)),1,1,TRUE,"TJ List"),":",ADDRESS(ROW(INDEX('TJ List'!A:A,MATCH(40178,'TJ List'!B:B,-1),0)),1))),"&lt;&gt;0",INDIRECT(CONCATENATE(ADDRESS(ROW(INDEX('TJ List'!A:A,MATCH(40908,'TJ List'!B:B,-1)+1,0)),4,1,TRUE,"TJ List"),":",ADDRESS(ROW(INDEX('TJ List'!A:A,MATCH(40178,'TJ List'!B:B,-1),0)),4))),"MLB")</f>
        <v>0.8235294118</v>
      </c>
      <c r="N8" s="87">
        <f t="array" ref="N8">COUNTIFS(INDIRECT(CONCATENATE(ADDRESS(ROW(INDEX('TJ List'!A:A,MATCH(40908,'TJ List'!B:B,-1)+1,0)),11,1,TRUE,"TJ List"),":",ADDRESS(ROW(INDEX('TJ List'!A:A,MATCH(40178,'TJ List'!B:B,-1),0)),11))),"&lt;&gt;X",INDIRECT(CONCATENATE(ADDRESS(ROW(INDEX('TJ List'!A:A,MATCH(40908,'TJ List'!B:B,-1)+1,0)),4,1,TRUE,"TJ List"),":",ADDRESS(ROW(INDEX('TJ List'!A:A,MATCH(40178,'TJ List'!B:B,-1),0)),4))),"MLB")</f>
        <v>34</v>
      </c>
    </row>
    <row r="9">
      <c r="A9" s="78">
        <v>2008.0</v>
      </c>
      <c r="B9" s="79">
        <v>2009.0</v>
      </c>
      <c r="C9" s="80">
        <f>IF(COUNTIFS('TJ List'!$L:$L,"&gt;0",'TJ List'!$S:$S,"&gt;="&amp;$A9,'TJ List'!$S:$S,"&lt;="&amp;$B9,'TJ List'!$T:$T,"&gt;="&amp;C$2,'TJ List'!$T:$T,"&lt;="&amp;C$3)&gt;0,SUMIFS('TJ List'!$L:$L,'TJ List'!$S:$S,"&gt;="&amp;$A9,'TJ List'!$S:$S,"&lt;="&amp;$B9,'TJ List'!$T:$T,"&gt;="&amp;C$2,'TJ List'!$T:$T,"&lt;="&amp;C$3)/COUNTIFS('TJ List'!$L:$L,"&gt;0",'TJ List'!$S:$S,"&gt;="&amp;$A9,'TJ List'!$S:$S,"&lt;="&amp;$B9,'TJ List'!$T:$T,"&gt;="&amp;C$2,'TJ List'!$T:$T,"&lt;="&amp;C$3),"N/A")</f>
        <v>27.4</v>
      </c>
      <c r="D9" s="80">
        <f>IF(COUNTIFS('TJ List'!$L:$L,"&gt;0",'TJ List'!$S:$S,"&gt;="&amp;$A9,'TJ List'!$S:$S,"&lt;="&amp;$B9,'TJ List'!$T:$T,"&gt;="&amp;D$2,'TJ List'!$T:$T,"&lt;="&amp;D$3)&gt;0,SUMIFS('TJ List'!$L:$L,'TJ List'!$S:$S,"&gt;="&amp;$A9,'TJ List'!$S:$S,"&lt;="&amp;$B9,'TJ List'!$T:$T,"&gt;="&amp;D$2,'TJ List'!$T:$T,"&lt;="&amp;D$3)/COUNTIFS('TJ List'!$L:$L,"&gt;0",'TJ List'!$S:$S,"&gt;="&amp;$A9,'TJ List'!$S:$S,"&lt;="&amp;$B9,'TJ List'!$T:$T,"&gt;="&amp;D$2,'TJ List'!$T:$T,"&lt;="&amp;D$3),"N/A")</f>
        <v>16.06896552</v>
      </c>
      <c r="E9" s="80">
        <f>IF(COUNTIFS('TJ List'!$L:$L,"&gt;0",'TJ List'!$S:$S,"&gt;="&amp;$A9,'TJ List'!$S:$S,"&lt;="&amp;$B9,'TJ List'!$T:$T,"&gt;="&amp;E$2,'TJ List'!$T:$T,"&lt;="&amp;E$3)&gt;0,SUMIFS('TJ List'!$L:$L,'TJ List'!$S:$S,"&gt;="&amp;$A9,'TJ List'!$S:$S,"&lt;="&amp;$B9,'TJ List'!$T:$T,"&gt;="&amp;E$2,'TJ List'!$T:$T,"&lt;="&amp;E$3)/COUNTIFS('TJ List'!$L:$L,"&gt;0",'TJ List'!$S:$S,"&gt;="&amp;$A9,'TJ List'!$S:$S,"&lt;="&amp;$B9,'TJ List'!$T:$T,"&gt;="&amp;E$2,'TJ List'!$T:$T,"&lt;="&amp;E$3),"N/A")</f>
        <v>16.77272727</v>
      </c>
      <c r="F9" s="81">
        <f>IF(COUNTIFS('TJ List'!$L:$L,"&gt;0",'TJ List'!$S:$S,"&gt;="&amp;$A9,'TJ List'!$S:$S,"&lt;="&amp;$B9,'TJ List'!$T:$T,"&gt;="&amp;F$2,'TJ List'!$T:$T,"&lt;="&amp;F$3)&gt;0,SUMIFS('TJ List'!$L:$L,'TJ List'!$S:$S,"&gt;="&amp;$A9,'TJ List'!$S:$S,"&lt;="&amp;$B9,'TJ List'!$T:$T,"&gt;="&amp;F$2,'TJ List'!$T:$T,"&lt;="&amp;F$3)/COUNTIFS('TJ List'!$L:$L,"&gt;0",'TJ List'!$S:$S,"&gt;="&amp;$A9,'TJ List'!$S:$S,"&lt;="&amp;$B9,'TJ List'!$T:$T,"&gt;="&amp;F$2,'TJ List'!$T:$T,"&lt;="&amp;F$3),"N/A")</f>
        <v>21.33333333</v>
      </c>
      <c r="G9" s="82">
        <f t="array" ref="G9">AVERAGE(INDIRECT(CONCATENATE(ADDRESS(ROW(INDEX('TJ List'!A:A,MATCH(40178,'TJ List'!B:B,-1)+1,0)),12,1,TRUE,"TJ List"),":",ADDRESS(ROW(INDEX('TJ List'!A:A,MATCH(39447,'TJ List'!B:B,-1),0)),12))))</f>
        <v>17.55932203</v>
      </c>
      <c r="H9" s="83">
        <f t="array" ref="H9">MEDIAN(INDIRECT(CONCATENATE(ADDRESS(ROW(INDEX('TJ List'!A:A,MATCH(40178,'TJ List'!B:B,-1)+1,0)),12,1,TRUE,"TJ List"),":",ADDRESS(ROW(INDEX('TJ List'!A:A,MATCH(39447,'TJ List'!B:B,-1),0)),12))))</f>
        <v>14</v>
      </c>
      <c r="I9" s="83">
        <f t="array" ref="I9">MODE(INDIRECT(CONCATENATE(ADDRESS(ROW(INDEX('TJ List'!A:A,MATCH(40178,'TJ List'!B:B,-1)+1,0)),12,1,TRUE,"TJ List"),":",ADDRESS(ROW(INDEX('TJ List'!A:A,MATCH(39447,'TJ List'!B:B,-1),0)),12))))</f>
        <v>11</v>
      </c>
      <c r="J9" s="84">
        <f t="array" ref="J9">COUNTIFS(INDIRECT(CONCATENATE(ADDRESS(ROW(INDEX('TJ List'!A:A,MATCH(40178,'TJ List'!B:B,-1)+1,0)),11,1,TRUE,"TJ List"),":",ADDRESS(ROW(INDEX('TJ List'!A:A,MATCH(39447,'TJ List'!B:B,-1),0)),11))),"&gt;0")/COUNTIFS(INDIRECT(CONCATENATE(ADDRESS(ROW(INDEX('TJ List'!A:A,MATCH(40178,'TJ List'!B:B,-1)+1,0)),1,1,TRUE,"TJ List"),":",ADDRESS(ROW(INDEX('TJ List'!A:A,MATCH(39447,'TJ List'!B:B,-1),0)),1))),"&lt;&gt;0")</f>
        <v>0.867768595</v>
      </c>
      <c r="K9" s="85">
        <f t="array" ref="K9">COUNTIFS(INDIRECT(CONCATENATE(ADDRESS(ROW(INDEX('TJ List'!A:A,MATCH(40178,'TJ List'!B:B,-1)+1,0)),11,1,TRUE,"TJ List"),":",ADDRESS(ROW(INDEX('TJ List'!A:A,MATCH(39447,'TJ List'!B:B,-1),0)),11))),"&lt;&gt;X")</f>
        <v>121</v>
      </c>
      <c r="L9" s="86">
        <f t="array" ref="L9">AVERAGEIFS(INDIRECT(CONCATENATE(ADDRESS(ROW(INDEX('TJ List'!A:A,MATCH(40178,'TJ List'!B:B,-1)+1,0)),12,1,TRUE,"TJ List"),":",ADDRESS(ROW(INDEX('TJ List'!A:A,MATCH(39447,'TJ List'!B:B,-1),0)),12))),INDIRECT(CONCATENATE(ADDRESS(ROW(INDEX('TJ List'!A:A,MATCH(40178,'TJ List'!B:B,-1)+1,0)),4,1,TRUE,"TJ List"),":",ADDRESS(ROW(INDEX('TJ List'!A:A,MATCH(39447,'TJ List'!B:B,-1),0)),4))),"MLB",INDIRECT(CONCATENATE(ADDRESS(ROW(INDEX('TJ List'!A:A,MATCH(40178,'TJ List'!B:B,-1)+1,0)),12,1,TRUE,"TJ List"),":",ADDRESS(ROW(INDEX('TJ List'!A:A,MATCH(39447,'TJ List'!B:B,-1),0)),12))),"&gt;0")</f>
        <v>18.92592593</v>
      </c>
      <c r="M9" s="84">
        <f t="array" ref="M9">COUNTIFS(INDIRECT(CONCATENATE(ADDRESS(ROW(INDEX('TJ List'!A:A,MATCH(40178,'TJ List'!B:B,-1)+1,0)),11,1,TRUE,"TJ List"),":",ADDRESS(ROW(INDEX('TJ List'!A:A,MATCH(39447,'TJ List'!B:B,-1),0)),11))),"&gt;0",INDIRECT(CONCATENATE(ADDRESS(ROW(INDEX('TJ List'!A:A,MATCH(40178,'TJ List'!B:B,-1)+1,0)),4,1,TRUE,"TJ List"),":",ADDRESS(ROW(INDEX('TJ List'!A:A,MATCH(39447,'TJ List'!B:B,-1),0)),4))),"MLB")/COUNTIFS(INDIRECT(CONCATENATE(ADDRESS(ROW(INDEX('TJ List'!A:A,MATCH(40178,'TJ List'!B:B,-1)+1,0)),1,1,TRUE,"TJ List"),":",ADDRESS(ROW(INDEX('TJ List'!A:A,MATCH(39447,'TJ List'!B:B,-1),0)),1))),"&lt;&gt;0",INDIRECT(CONCATENATE(ADDRESS(ROW(INDEX('TJ List'!A:A,MATCH(40178,'TJ List'!B:B,-1)+1,0)),4,1,TRUE,"TJ List"),":",ADDRESS(ROW(INDEX('TJ List'!A:A,MATCH(39447,'TJ List'!B:B,-1),0)),4))),"MLB")</f>
        <v>0.7714285714</v>
      </c>
      <c r="N9" s="87">
        <f t="array" ref="N9">COUNTIFS(INDIRECT(CONCATENATE(ADDRESS(ROW(INDEX('TJ List'!A:A,MATCH(40178,'TJ List'!B:B,-1)+1,0)),11,1,TRUE,"TJ List"),":",ADDRESS(ROW(INDEX('TJ List'!A:A,MATCH(39447,'TJ List'!B:B,-1),0)),11))),"&lt;&gt;X",INDIRECT(CONCATENATE(ADDRESS(ROW(INDEX('TJ List'!A:A,MATCH(40178,'TJ List'!B:B,-1)+1,0)),4,1,TRUE,"TJ List"),":",ADDRESS(ROW(INDEX('TJ List'!A:A,MATCH(39447,'TJ List'!B:B,-1),0)),4))),"MLB")</f>
        <v>35</v>
      </c>
    </row>
    <row r="10">
      <c r="A10" s="78">
        <v>2006.0</v>
      </c>
      <c r="B10" s="79">
        <v>2007.0</v>
      </c>
      <c r="C10" s="80">
        <f>IF(COUNTIFS('TJ List'!$L:$L,"&gt;0",'TJ List'!$S:$S,"&gt;="&amp;$A10,'TJ List'!$S:$S,"&lt;="&amp;$B10,'TJ List'!$T:$T,"&gt;="&amp;C$2,'TJ List'!$T:$T,"&lt;="&amp;C$3)&gt;0,SUMIFS('TJ List'!$L:$L,'TJ List'!$S:$S,"&gt;="&amp;$A10,'TJ List'!$S:$S,"&lt;="&amp;$B10,'TJ List'!$T:$T,"&gt;="&amp;C$2,'TJ List'!$T:$T,"&lt;="&amp;C$3)/COUNTIFS('TJ List'!$L:$L,"&gt;0",'TJ List'!$S:$S,"&gt;="&amp;$A10,'TJ List'!$S:$S,"&lt;="&amp;$B10,'TJ List'!$T:$T,"&gt;="&amp;C$2,'TJ List'!$T:$T,"&lt;="&amp;C$3),"N/A")</f>
        <v>14</v>
      </c>
      <c r="D10" s="80">
        <f>IF(COUNTIFS('TJ List'!$L:$L,"&gt;0",'TJ List'!$S:$S,"&gt;="&amp;$A10,'TJ List'!$S:$S,"&lt;="&amp;$B10,'TJ List'!$T:$T,"&gt;="&amp;D$2,'TJ List'!$T:$T,"&lt;="&amp;D$3)&gt;0,SUMIFS('TJ List'!$L:$L,'TJ List'!$S:$S,"&gt;="&amp;$A10,'TJ List'!$S:$S,"&lt;="&amp;$B10,'TJ List'!$T:$T,"&gt;="&amp;D$2,'TJ List'!$T:$T,"&lt;="&amp;D$3)/COUNTIFS('TJ List'!$L:$L,"&gt;0",'TJ List'!$S:$S,"&gt;="&amp;$A10,'TJ List'!$S:$S,"&lt;="&amp;$B10,'TJ List'!$T:$T,"&gt;="&amp;D$2,'TJ List'!$T:$T,"&lt;="&amp;D$3),"N/A")</f>
        <v>16.83333333</v>
      </c>
      <c r="E10" s="80">
        <f>IF(COUNTIFS('TJ List'!$L:$L,"&gt;0",'TJ List'!$S:$S,"&gt;="&amp;$A10,'TJ List'!$S:$S,"&lt;="&amp;$B10,'TJ List'!$T:$T,"&gt;="&amp;E$2,'TJ List'!$T:$T,"&lt;="&amp;E$3)&gt;0,SUMIFS('TJ List'!$L:$L,'TJ List'!$S:$S,"&gt;="&amp;$A10,'TJ List'!$S:$S,"&lt;="&amp;$B10,'TJ List'!$T:$T,"&gt;="&amp;E$2,'TJ List'!$T:$T,"&lt;="&amp;E$3)/COUNTIFS('TJ List'!$L:$L,"&gt;0",'TJ List'!$S:$S,"&gt;="&amp;$A10,'TJ List'!$S:$S,"&lt;="&amp;$B10,'TJ List'!$T:$T,"&gt;="&amp;E$2,'TJ List'!$T:$T,"&lt;="&amp;E$3),"N/A")</f>
        <v>17.75</v>
      </c>
      <c r="F10" s="81">
        <f>IF(COUNTIFS('TJ List'!$L:$L,"&gt;0",'TJ List'!$S:$S,"&gt;="&amp;$A10,'TJ List'!$S:$S,"&lt;="&amp;$B10,'TJ List'!$T:$T,"&gt;="&amp;F$2,'TJ List'!$T:$T,"&lt;="&amp;F$3)&gt;0,SUMIFS('TJ List'!$L:$L,'TJ List'!$S:$S,"&gt;="&amp;$A10,'TJ List'!$S:$S,"&lt;="&amp;$B10,'TJ List'!$T:$T,"&gt;="&amp;F$2,'TJ List'!$T:$T,"&lt;="&amp;F$3)/COUNTIFS('TJ List'!$L:$L,"&gt;0",'TJ List'!$S:$S,"&gt;="&amp;$A10,'TJ List'!$S:$S,"&lt;="&amp;$B10,'TJ List'!$T:$T,"&gt;="&amp;F$2,'TJ List'!$T:$T,"&lt;="&amp;F$3),"N/A")</f>
        <v>16.375</v>
      </c>
      <c r="G10" s="82">
        <f t="array" ref="G10">AVERAGE(INDIRECT(CONCATENATE(ADDRESS(ROW(INDEX('TJ List'!A:A,MATCH(39447,'TJ List'!B:B,-1)+1,0)),12,1,TRUE,"TJ List"),":",ADDRESS(ROW(INDEX('TJ List'!A:A,MATCH(38717,'TJ List'!B:B,-1),0)),12))))</f>
        <v>16.91666667</v>
      </c>
      <c r="H10" s="83">
        <f t="array" ref="H10">MEDIAN(INDIRECT(CONCATENATE(ADDRESS(ROW(INDEX('TJ List'!A:A,MATCH(39447,'TJ List'!B:B,-1)+1,0)),12,1,TRUE,"TJ List"),":",ADDRESS(ROW(INDEX('TJ List'!A:A,MATCH(38717,'TJ List'!B:B,-1),0)),12))))</f>
        <v>15</v>
      </c>
      <c r="I10" s="83">
        <f t="array" ref="I10">MODE(INDIRECT(CONCATENATE(ADDRESS(ROW(INDEX('TJ List'!A:A,MATCH(39447,'TJ List'!B:B,-1)+1,0)),12,1,TRUE,"TJ List"),":",ADDRESS(ROW(INDEX('TJ List'!A:A,MATCH(38717,'TJ List'!B:B,-1),0)),12))))</f>
        <v>12</v>
      </c>
      <c r="J10" s="84">
        <f t="array" ref="J10">COUNTIFS(INDIRECT(CONCATENATE(ADDRESS(ROW(INDEX('TJ List'!A:A,MATCH(39447,'TJ List'!B:B,-1)+1,0)),11,1,TRUE,"TJ List"),":",ADDRESS(ROW(INDEX('TJ List'!A:A,MATCH(38717,'TJ List'!B:B,-1),0)),11))),"&gt;0")/COUNTIFS(INDIRECT(CONCATENATE(ADDRESS(ROW(INDEX('TJ List'!A:A,MATCH(39447,'TJ List'!B:B,-1)+1,0)),1,1,TRUE,"TJ List"),":",ADDRESS(ROW(INDEX('TJ List'!A:A,MATCH(38717,'TJ List'!B:B,-1),0)),1))),"&lt;&gt;0")</f>
        <v>0.873015873</v>
      </c>
      <c r="K10" s="85">
        <f t="array" ref="K10">COUNTIFS(INDIRECT(CONCATENATE(ADDRESS(ROW(INDEX('TJ List'!A:A,MATCH(39447,'TJ List'!B:B,-1)+1,0)),11,1,TRUE,"TJ List"),":",ADDRESS(ROW(INDEX('TJ List'!A:A,MATCH(38717,'TJ List'!B:B,-1),0)),11))),"&lt;&gt;X")</f>
        <v>126</v>
      </c>
      <c r="L10" s="86">
        <f t="array" ref="L10">AVERAGEIFS(INDIRECT(CONCATENATE(ADDRESS(ROW(INDEX('TJ List'!A:A,MATCH(39447,'TJ List'!B:B,-1)+1,0)),12,1,TRUE,"TJ List"),":",ADDRESS(ROW(INDEX('TJ List'!A:A,MATCH(38717,'TJ List'!B:B,-1),0)),12))),INDIRECT(CONCATENATE(ADDRESS(ROW(INDEX('TJ List'!A:A,MATCH(39447,'TJ List'!B:B,-1)+1,0)),4,1,TRUE,"TJ List"),":",ADDRESS(ROW(INDEX('TJ List'!A:A,MATCH(38717,'TJ List'!B:B,-1),0)),4))),"MLB",INDIRECT(CONCATENATE(ADDRESS(ROW(INDEX('TJ List'!A:A,MATCH(39447,'TJ List'!B:B,-1)+1,0)),12,1,TRUE,"TJ List"),":",ADDRESS(ROW(INDEX('TJ List'!A:A,MATCH(38717,'TJ List'!B:B,-1),0)),12))),"&gt;0")</f>
        <v>16.46875</v>
      </c>
      <c r="M10" s="84">
        <f t="array" ref="M10">COUNTIFS(INDIRECT(CONCATENATE(ADDRESS(ROW(INDEX('TJ List'!A:A,MATCH(39447,'TJ List'!B:B,-1)+1,0)),11,1,TRUE,"TJ List"),":",ADDRESS(ROW(INDEX('TJ List'!A:A,MATCH(38717,'TJ List'!B:B,-1),0)),11))),"&gt;0",INDIRECT(CONCATENATE(ADDRESS(ROW(INDEX('TJ List'!A:A,MATCH(39447,'TJ List'!B:B,-1)+1,0)),4,1,TRUE,"TJ List"),":",ADDRESS(ROW(INDEX('TJ List'!A:A,MATCH(38717,'TJ List'!B:B,-1),0)),4))),"MLB")/COUNTIFS(INDIRECT(CONCATENATE(ADDRESS(ROW(INDEX('TJ List'!A:A,MATCH(39447,'TJ List'!B:B,-1)+1,0)),1,1,TRUE,"TJ List"),":",ADDRESS(ROW(INDEX('TJ List'!A:A,MATCH(38717,'TJ List'!B:B,-1),0)),1))),"&lt;&gt;0",INDIRECT(CONCATENATE(ADDRESS(ROW(INDEX('TJ List'!A:A,MATCH(39447,'TJ List'!B:B,-1)+1,0)),4,1,TRUE,"TJ List"),":",ADDRESS(ROW(INDEX('TJ List'!A:A,MATCH(38717,'TJ List'!B:B,-1),0)),4))),"MLB")</f>
        <v>0.7857142857</v>
      </c>
      <c r="N10" s="87">
        <f t="array" ref="N10">COUNTIFS(INDIRECT(CONCATENATE(ADDRESS(ROW(INDEX('TJ List'!A:A,MATCH(39447,'TJ List'!B:B,-1)+1,0)),11,1,TRUE,"TJ List"),":",ADDRESS(ROW(INDEX('TJ List'!A:A,MATCH(38717,'TJ List'!B:B,-1),0)),11))),"&lt;&gt;X",INDIRECT(CONCATENATE(ADDRESS(ROW(INDEX('TJ List'!A:A,MATCH(39447,'TJ List'!B:B,-1)+1,0)),4,1,TRUE,"TJ List"),":",ADDRESS(ROW(INDEX('TJ List'!A:A,MATCH(38717,'TJ List'!B:B,-1),0)),4))),"MLB")</f>
        <v>42</v>
      </c>
    </row>
    <row r="11">
      <c r="A11" s="78">
        <v>2004.0</v>
      </c>
      <c r="B11" s="79">
        <v>2005.0</v>
      </c>
      <c r="C11" s="80">
        <f>IF(COUNTIFS('TJ List'!$L:$L,"&gt;0",'TJ List'!$S:$S,"&gt;="&amp;$A11,'TJ List'!$S:$S,"&lt;="&amp;$B11,'TJ List'!$T:$T,"&gt;="&amp;C$2,'TJ List'!$T:$T,"&lt;="&amp;C$3)&gt;0,SUMIFS('TJ List'!$L:$L,'TJ List'!$S:$S,"&gt;="&amp;$A11,'TJ List'!$S:$S,"&lt;="&amp;$B11,'TJ List'!$T:$T,"&gt;="&amp;C$2,'TJ List'!$T:$T,"&lt;="&amp;C$3)/COUNTIFS('TJ List'!$L:$L,"&gt;0",'TJ List'!$S:$S,"&gt;="&amp;$A11,'TJ List'!$S:$S,"&lt;="&amp;$B11,'TJ List'!$T:$T,"&gt;="&amp;C$2,'TJ List'!$T:$T,"&lt;="&amp;C$3),"N/A")</f>
        <v>19.5</v>
      </c>
      <c r="D11" s="80">
        <f>IF(COUNTIFS('TJ List'!$L:$L,"&gt;0",'TJ List'!$S:$S,"&gt;="&amp;$A11,'TJ List'!$S:$S,"&lt;="&amp;$B11,'TJ List'!$T:$T,"&gt;="&amp;D$2,'TJ List'!$T:$T,"&lt;="&amp;D$3)&gt;0,SUMIFS('TJ List'!$L:$L,'TJ List'!$S:$S,"&gt;="&amp;$A11,'TJ List'!$S:$S,"&lt;="&amp;$B11,'TJ List'!$T:$T,"&gt;="&amp;D$2,'TJ List'!$T:$T,"&lt;="&amp;D$3)/COUNTIFS('TJ List'!$L:$L,"&gt;0",'TJ List'!$S:$S,"&gt;="&amp;$A11,'TJ List'!$S:$S,"&lt;="&amp;$B11,'TJ List'!$T:$T,"&gt;="&amp;D$2,'TJ List'!$T:$T,"&lt;="&amp;D$3),"N/A")</f>
        <v>16.375</v>
      </c>
      <c r="E11" s="80">
        <f>IF(COUNTIFS('TJ List'!$L:$L,"&gt;0",'TJ List'!$S:$S,"&gt;="&amp;$A11,'TJ List'!$S:$S,"&lt;="&amp;$B11,'TJ List'!$T:$T,"&gt;="&amp;E$2,'TJ List'!$T:$T,"&lt;="&amp;E$3)&gt;0,SUMIFS('TJ List'!$L:$L,'TJ List'!$S:$S,"&gt;="&amp;$A11,'TJ List'!$S:$S,"&lt;="&amp;$B11,'TJ List'!$T:$T,"&gt;="&amp;E$2,'TJ List'!$T:$T,"&lt;="&amp;E$3)/COUNTIFS('TJ List'!$L:$L,"&gt;0",'TJ List'!$S:$S,"&gt;="&amp;$A11,'TJ List'!$S:$S,"&lt;="&amp;$B11,'TJ List'!$T:$T,"&gt;="&amp;E$2,'TJ List'!$T:$T,"&lt;="&amp;E$3),"N/A")</f>
        <v>17.88888889</v>
      </c>
      <c r="F11" s="81">
        <f>IF(COUNTIFS('TJ List'!$L:$L,"&gt;0",'TJ List'!$S:$S,"&gt;="&amp;$A11,'TJ List'!$S:$S,"&lt;="&amp;$B11,'TJ List'!$T:$T,"&gt;="&amp;F$2,'TJ List'!$T:$T,"&lt;="&amp;F$3)&gt;0,SUMIFS('TJ List'!$L:$L,'TJ List'!$S:$S,"&gt;="&amp;$A11,'TJ List'!$S:$S,"&lt;="&amp;$B11,'TJ List'!$T:$T,"&gt;="&amp;F$2,'TJ List'!$T:$T,"&lt;="&amp;F$3)/COUNTIFS('TJ List'!$L:$L,"&gt;0",'TJ List'!$S:$S,"&gt;="&amp;$A11,'TJ List'!$S:$S,"&lt;="&amp;$B11,'TJ List'!$T:$T,"&gt;="&amp;F$2,'TJ List'!$T:$T,"&lt;="&amp;F$3),"N/A")</f>
        <v>11.6</v>
      </c>
      <c r="G11" s="82">
        <f t="array" ref="G11">AVERAGE(INDIRECT(CONCATENATE(ADDRESS(ROW(INDEX('TJ List'!A:A,MATCH(38717,'TJ List'!B:B,-1)+1,0)),12,1,TRUE,"TJ List"),":",ADDRESS(ROW(INDEX('TJ List'!A:A,MATCH(37986,'TJ List'!B:B,-1),0)),12))))</f>
        <v>16.86666667</v>
      </c>
      <c r="H11" s="83">
        <f t="array" ref="H11">MEDIAN(INDIRECT(CONCATENATE(ADDRESS(ROW(INDEX('TJ List'!A:A,MATCH(38717,'TJ List'!B:B,-1)+1,0)),12,1,TRUE,"TJ List"),":",ADDRESS(ROW(INDEX('TJ List'!A:A,MATCH(37986,'TJ List'!B:B,-1),0)),12))))</f>
        <v>14</v>
      </c>
      <c r="I11" s="83">
        <f t="array" ref="I11">MODE(INDIRECT(CONCATENATE(ADDRESS(ROW(INDEX('TJ List'!A:A,MATCH(38717,'TJ List'!B:B,-1)+1,0)),12,1,TRUE,"TJ List"),":",ADDRESS(ROW(INDEX('TJ List'!A:A,MATCH(37986,'TJ List'!B:B,-1),0)),12))))</f>
        <v>13</v>
      </c>
      <c r="J11" s="84">
        <f t="array" ref="J11">COUNTIFS(INDIRECT(CONCATENATE(ADDRESS(ROW(INDEX('TJ List'!A:A,MATCH(38717,'TJ List'!B:B,-1)+1,0)),11,1,TRUE,"TJ List"),":",ADDRESS(ROW(INDEX('TJ List'!A:A,MATCH(37986,'TJ List'!B:B,-1),0)),11))),"&gt;0")/COUNTIFS(INDIRECT(CONCATENATE(ADDRESS(ROW(INDEX('TJ List'!A:A,MATCH(38717,'TJ List'!B:B,-1)+1,0)),1,1,TRUE,"TJ List"),":",ADDRESS(ROW(INDEX('TJ List'!A:A,MATCH(37986,'TJ List'!B:B,-1),0)),1))),"&lt;&gt;0")</f>
        <v>0.8910891089</v>
      </c>
      <c r="K11" s="85">
        <f t="array" ref="K11">COUNTIFS(INDIRECT(CONCATENATE(ADDRESS(ROW(INDEX('TJ List'!A:A,MATCH(38717,'TJ List'!B:B,-1)+1,0)),11,1,TRUE,"TJ List"),":",ADDRESS(ROW(INDEX('TJ List'!A:A,MATCH(37986,'TJ List'!B:B,-1),0)),11))),"&lt;&gt;X")</f>
        <v>101</v>
      </c>
      <c r="L11" s="86">
        <f t="array" ref="L11">AVERAGEIFS(INDIRECT(CONCATENATE(ADDRESS(ROW(INDEX('TJ List'!A:A,MATCH(38717,'TJ List'!B:B,-1)+1,0)),12,1,TRUE,"TJ List"),":",ADDRESS(ROW(INDEX('TJ List'!A:A,MATCH(37986,'TJ List'!B:B,-1),0)),12))),INDIRECT(CONCATENATE(ADDRESS(ROW(INDEX('TJ List'!A:A,MATCH(38717,'TJ List'!B:B,-1)+1,0)),4,1,TRUE,"TJ List"),":",ADDRESS(ROW(INDEX('TJ List'!A:A,MATCH(37986,'TJ List'!B:B,-1),0)),4))),"MLB",INDIRECT(CONCATENATE(ADDRESS(ROW(INDEX('TJ List'!A:A,MATCH(38717,'TJ List'!B:B,-1)+1,0)),12,1,TRUE,"TJ List"),":",ADDRESS(ROW(INDEX('TJ List'!A:A,MATCH(37986,'TJ List'!B:B,-1),0)),12))),"&gt;0")</f>
        <v>17.61904762</v>
      </c>
      <c r="M11" s="84">
        <f t="array" ref="M11">COUNTIFS(INDIRECT(CONCATENATE(ADDRESS(ROW(INDEX('TJ List'!A:A,MATCH(38717,'TJ List'!B:B,-1)+1,0)),11,1,TRUE,"TJ List"),":",ADDRESS(ROW(INDEX('TJ List'!A:A,MATCH(37986,'TJ List'!B:B,-1),0)),11))),"&gt;0",INDIRECT(CONCATENATE(ADDRESS(ROW(INDEX('TJ List'!A:A,MATCH(38717,'TJ List'!B:B,-1)+1,0)),4,1,TRUE,"TJ List"),":",ADDRESS(ROW(INDEX('TJ List'!A:A,MATCH(37986,'TJ List'!B:B,-1),0)),4))),"MLB")/COUNTIFS(INDIRECT(CONCATENATE(ADDRESS(ROW(INDEX('TJ List'!A:A,MATCH(38717,'TJ List'!B:B,-1)+1,0)),1,1,TRUE,"TJ List"),":",ADDRESS(ROW(INDEX('TJ List'!A:A,MATCH(37986,'TJ List'!B:B,-1),0)),1))),"&lt;&gt;0",INDIRECT(CONCATENATE(ADDRESS(ROW(INDEX('TJ List'!A:A,MATCH(38717,'TJ List'!B:B,-1)+1,0)),4,1,TRUE,"TJ List"),":",ADDRESS(ROW(INDEX('TJ List'!A:A,MATCH(37986,'TJ List'!B:B,-1),0)),4))),"MLB")</f>
        <v>0.7666666667</v>
      </c>
      <c r="N11" s="87">
        <f t="array" ref="N11">COUNTIFS(INDIRECT(CONCATENATE(ADDRESS(ROW(INDEX('TJ List'!A:A,MATCH(38717,'TJ List'!B:B,-1)+1,0)),11,1,TRUE,"TJ List"),":",ADDRESS(ROW(INDEX('TJ List'!A:A,MATCH(37986,'TJ List'!B:B,-1),0)),11))),"&lt;&gt;X",INDIRECT(CONCATENATE(ADDRESS(ROW(INDEX('TJ List'!A:A,MATCH(38717,'TJ List'!B:B,-1)+1,0)),4,1,TRUE,"TJ List"),":",ADDRESS(ROW(INDEX('TJ List'!A:A,MATCH(37986,'TJ List'!B:B,-1),0)),4))),"MLB")</f>
        <v>30</v>
      </c>
    </row>
    <row r="12">
      <c r="A12" s="78">
        <v>2002.0</v>
      </c>
      <c r="B12" s="79">
        <v>2003.0</v>
      </c>
      <c r="C12" s="80">
        <f>IF(COUNTIFS('TJ List'!$L:$L,"&gt;0",'TJ List'!$S:$S,"&gt;="&amp;$A12,'TJ List'!$S:$S,"&lt;="&amp;$B12,'TJ List'!$T:$T,"&gt;="&amp;C$2,'TJ List'!$T:$T,"&lt;="&amp;C$3)&gt;0,SUMIFS('TJ List'!$L:$L,'TJ List'!$S:$S,"&gt;="&amp;$A12,'TJ List'!$S:$S,"&lt;="&amp;$B12,'TJ List'!$T:$T,"&gt;="&amp;C$2,'TJ List'!$T:$T,"&lt;="&amp;C$3)/COUNTIFS('TJ List'!$L:$L,"&gt;0",'TJ List'!$S:$S,"&gt;="&amp;$A12,'TJ List'!$S:$S,"&lt;="&amp;$B12,'TJ List'!$T:$T,"&gt;="&amp;C$2,'TJ List'!$T:$T,"&lt;="&amp;C$3),"N/A")</f>
        <v>26.5</v>
      </c>
      <c r="D12" s="80">
        <f>IF(COUNTIFS('TJ List'!$L:$L,"&gt;0",'TJ List'!$S:$S,"&gt;="&amp;$A12,'TJ List'!$S:$S,"&lt;="&amp;$B12,'TJ List'!$T:$T,"&gt;="&amp;D$2,'TJ List'!$T:$T,"&lt;="&amp;D$3)&gt;0,SUMIFS('TJ List'!$L:$L,'TJ List'!$S:$S,"&gt;="&amp;$A12,'TJ List'!$S:$S,"&lt;="&amp;$B12,'TJ List'!$T:$T,"&gt;="&amp;D$2,'TJ List'!$T:$T,"&lt;="&amp;D$3)/COUNTIFS('TJ List'!$L:$L,"&gt;0",'TJ List'!$S:$S,"&gt;="&amp;$A12,'TJ List'!$S:$S,"&lt;="&amp;$B12,'TJ List'!$T:$T,"&gt;="&amp;D$2,'TJ List'!$T:$T,"&lt;="&amp;D$3),"N/A")</f>
        <v>19.36363636</v>
      </c>
      <c r="E12" s="80">
        <f>IF(COUNTIFS('TJ List'!$L:$L,"&gt;0",'TJ List'!$S:$S,"&gt;="&amp;$A12,'TJ List'!$S:$S,"&lt;="&amp;$B12,'TJ List'!$T:$T,"&gt;="&amp;E$2,'TJ List'!$T:$T,"&lt;="&amp;E$3)&gt;0,SUMIFS('TJ List'!$L:$L,'TJ List'!$S:$S,"&gt;="&amp;$A12,'TJ List'!$S:$S,"&lt;="&amp;$B12,'TJ List'!$T:$T,"&gt;="&amp;E$2,'TJ List'!$T:$T,"&lt;="&amp;E$3)/COUNTIFS('TJ List'!$L:$L,"&gt;0",'TJ List'!$S:$S,"&gt;="&amp;$A12,'TJ List'!$S:$S,"&lt;="&amp;$B12,'TJ List'!$T:$T,"&gt;="&amp;E$2,'TJ List'!$T:$T,"&lt;="&amp;E$3),"N/A")</f>
        <v>18.66666667</v>
      </c>
      <c r="F12" s="81">
        <f>IF(COUNTIFS('TJ List'!$L:$L,"&gt;0",'TJ List'!$S:$S,"&gt;="&amp;$A12,'TJ List'!$S:$S,"&lt;="&amp;$B12,'TJ List'!$T:$T,"&gt;="&amp;F$2,'TJ List'!$T:$T,"&lt;="&amp;F$3)&gt;0,SUMIFS('TJ List'!$L:$L,'TJ List'!$S:$S,"&gt;="&amp;$A12,'TJ List'!$S:$S,"&lt;="&amp;$B12,'TJ List'!$T:$T,"&gt;="&amp;F$2,'TJ List'!$T:$T,"&lt;="&amp;F$3)/COUNTIFS('TJ List'!$L:$L,"&gt;0",'TJ List'!$S:$S,"&gt;="&amp;$A12,'TJ List'!$S:$S,"&lt;="&amp;$B12,'TJ List'!$T:$T,"&gt;="&amp;F$2,'TJ List'!$T:$T,"&lt;="&amp;F$3),"N/A")</f>
        <v>13</v>
      </c>
      <c r="G12" s="82">
        <f t="array" ref="G12">AVERAGE(INDIRECT(CONCATENATE(ADDRESS(ROW(INDEX('TJ List'!A:A,MATCH(37986,'TJ List'!B:B,-1)+1,0)),12,1,TRUE,"TJ List"),":",ADDRESS(ROW(INDEX('TJ List'!A:A,MATCH(37256,'TJ List'!B:B,-1),0)),12))))</f>
        <v>18.69230769</v>
      </c>
      <c r="H12" s="83">
        <f t="array" ref="H12">MEDIAN(INDIRECT(CONCATENATE(ADDRESS(ROW(INDEX('TJ List'!A:A,MATCH(37986,'TJ List'!B:B,-1)+1,0)),12,1,TRUE,"TJ List"),":",ADDRESS(ROW(INDEX('TJ List'!A:A,MATCH(37256,'TJ List'!B:B,-1),0)),12))))</f>
        <v>18.5</v>
      </c>
      <c r="I12" s="83">
        <f t="array" ref="I12">MODE(INDIRECT(CONCATENATE(ADDRESS(ROW(INDEX('TJ List'!A:A,MATCH(37986,'TJ List'!B:B,-1)+1,0)),12,1,TRUE,"TJ List"),":",ADDRESS(ROW(INDEX('TJ List'!A:A,MATCH(37256,'TJ List'!B:B,-1),0)),12))))</f>
        <v>12</v>
      </c>
      <c r="J12" s="84">
        <f t="array" ref="J12">COUNTIFS(INDIRECT(CONCATENATE(ADDRESS(ROW(INDEX('TJ List'!A:A,MATCH(37986,'TJ List'!B:B,-1)+1,0)),11,1,TRUE,"TJ List"),":",ADDRESS(ROW(INDEX('TJ List'!A:A,MATCH(37256,'TJ List'!B:B,-1),0)),11))),"&gt;0")/COUNTIFS(INDIRECT(CONCATENATE(ADDRESS(ROW(INDEX('TJ List'!A:A,MATCH(37986,'TJ List'!B:B,-1)+1,0)),1,1,TRUE,"TJ List"),":",ADDRESS(ROW(INDEX('TJ List'!A:A,MATCH(37256,'TJ List'!B:B,-1),0)),1))),"&lt;&gt;0")</f>
        <v>0.875</v>
      </c>
      <c r="K12" s="85">
        <f t="array" ref="K12">COUNTIFS(INDIRECT(CONCATENATE(ADDRESS(ROW(INDEX('TJ List'!A:A,MATCH(37986,'TJ List'!B:B,-1)+1,0)),11,1,TRUE,"TJ List"),":",ADDRESS(ROW(INDEX('TJ List'!A:A,MATCH(37256,'TJ List'!B:B,-1),0)),11))),"&lt;&gt;X")</f>
        <v>80</v>
      </c>
      <c r="L12" s="86">
        <f t="array" ref="L12">AVERAGEIFS(INDIRECT(CONCATENATE(ADDRESS(ROW(INDEX('TJ List'!A:A,MATCH(37986,'TJ List'!B:B,-1)+1,0)),12,1,TRUE,"TJ List"),":",ADDRESS(ROW(INDEX('TJ List'!A:A,MATCH(37256,'TJ List'!B:B,-1),0)),12))),INDIRECT(CONCATENATE(ADDRESS(ROW(INDEX('TJ List'!A:A,MATCH(37986,'TJ List'!B:B,-1)+1,0)),4,1,TRUE,"TJ List"),":",ADDRESS(ROW(INDEX('TJ List'!A:A,MATCH(37256,'TJ List'!B:B,-1),0)),4))),"MLB",INDIRECT(CONCATENATE(ADDRESS(ROW(INDEX('TJ List'!A:A,MATCH(37986,'TJ List'!B:B,-1)+1,0)),12,1,TRUE,"TJ List"),":",ADDRESS(ROW(INDEX('TJ List'!A:A,MATCH(37256,'TJ List'!B:B,-1),0)),12))),"&gt;0")</f>
        <v>17.95238095</v>
      </c>
      <c r="M12" s="84">
        <f t="array" ref="M12">COUNTIFS(INDIRECT(CONCATENATE(ADDRESS(ROW(INDEX('TJ List'!A:A,MATCH(37986,'TJ List'!B:B,-1)+1,0)),11,1,TRUE,"TJ List"),":",ADDRESS(ROW(INDEX('TJ List'!A:A,MATCH(37256,'TJ List'!B:B,-1),0)),11))),"&gt;0",INDIRECT(CONCATENATE(ADDRESS(ROW(INDEX('TJ List'!A:A,MATCH(37986,'TJ List'!B:B,-1)+1,0)),4,1,TRUE,"TJ List"),":",ADDRESS(ROW(INDEX('TJ List'!A:A,MATCH(37256,'TJ List'!B:B,-1),0)),4))),"MLB")/COUNTIFS(INDIRECT(CONCATENATE(ADDRESS(ROW(INDEX('TJ List'!A:A,MATCH(37986,'TJ List'!B:B,-1)+1,0)),1,1,TRUE,"TJ List"),":",ADDRESS(ROW(INDEX('TJ List'!A:A,MATCH(37256,'TJ List'!B:B,-1),0)),1))),"&lt;&gt;0",INDIRECT(CONCATENATE(ADDRESS(ROW(INDEX('TJ List'!A:A,MATCH(37986,'TJ List'!B:B,-1)+1,0)),4,1,TRUE,"TJ List"),":",ADDRESS(ROW(INDEX('TJ List'!A:A,MATCH(37256,'TJ List'!B:B,-1),0)),4))),"MLB")</f>
        <v>0.7352941176</v>
      </c>
      <c r="N12" s="87">
        <f t="array" ref="N12">COUNTIFS(INDIRECT(CONCATENATE(ADDRESS(ROW(INDEX('TJ List'!A:A,MATCH(37986,'TJ List'!B:B,-1)+1,0)),11,1,TRUE,"TJ List"),":",ADDRESS(ROW(INDEX('TJ List'!A:A,MATCH(37256,'TJ List'!B:B,-1),0)),11))),"&lt;&gt;X",INDIRECT(CONCATENATE(ADDRESS(ROW(INDEX('TJ List'!A:A,MATCH(37986,'TJ List'!B:B,-1)+1,0)),4,1,TRUE,"TJ List"),":",ADDRESS(ROW(INDEX('TJ List'!A:A,MATCH(37256,'TJ List'!B:B,-1),0)),4))),"MLB")</f>
        <v>34</v>
      </c>
    </row>
    <row r="13">
      <c r="A13" s="78">
        <v>2000.0</v>
      </c>
      <c r="B13" s="79">
        <v>2001.0</v>
      </c>
      <c r="C13" s="80">
        <f>IF(COUNTIFS('TJ List'!$L:$L,"&gt;0",'TJ List'!$S:$S,"&gt;="&amp;$A13,'TJ List'!$S:$S,"&lt;="&amp;$B13,'TJ List'!$T:$T,"&gt;="&amp;C$2,'TJ List'!$T:$T,"&lt;="&amp;C$3)&gt;0,SUMIFS('TJ List'!$L:$L,'TJ List'!$S:$S,"&gt;="&amp;$A13,'TJ List'!$S:$S,"&lt;="&amp;$B13,'TJ List'!$T:$T,"&gt;="&amp;C$2,'TJ List'!$T:$T,"&lt;="&amp;C$3)/COUNTIFS('TJ List'!$L:$L,"&gt;0",'TJ List'!$S:$S,"&gt;="&amp;$A13,'TJ List'!$S:$S,"&lt;="&amp;$B13,'TJ List'!$T:$T,"&gt;="&amp;C$2,'TJ List'!$T:$T,"&lt;="&amp;C$3),"N/A")</f>
        <v>15</v>
      </c>
      <c r="D13" s="80">
        <f>IF(COUNTIFS('TJ List'!$L:$L,"&gt;0",'TJ List'!$S:$S,"&gt;="&amp;$A13,'TJ List'!$S:$S,"&lt;="&amp;$B13,'TJ List'!$T:$T,"&gt;="&amp;D$2,'TJ List'!$T:$T,"&lt;="&amp;D$3)&gt;0,SUMIFS('TJ List'!$L:$L,'TJ List'!$S:$S,"&gt;="&amp;$A13,'TJ List'!$S:$S,"&lt;="&amp;$B13,'TJ List'!$T:$T,"&gt;="&amp;D$2,'TJ List'!$T:$T,"&lt;="&amp;D$3)/COUNTIFS('TJ List'!$L:$L,"&gt;0",'TJ List'!$S:$S,"&gt;="&amp;$A13,'TJ List'!$S:$S,"&lt;="&amp;$B13,'TJ List'!$T:$T,"&gt;="&amp;D$2,'TJ List'!$T:$T,"&lt;="&amp;D$3),"N/A")</f>
        <v>13.875</v>
      </c>
      <c r="E13" s="80">
        <f>IF(COUNTIFS('TJ List'!$L:$L,"&gt;0",'TJ List'!$S:$S,"&gt;="&amp;$A13,'TJ List'!$S:$S,"&lt;="&amp;$B13,'TJ List'!$T:$T,"&gt;="&amp;E$2,'TJ List'!$T:$T,"&lt;="&amp;E$3)&gt;0,SUMIFS('TJ List'!$L:$L,'TJ List'!$S:$S,"&gt;="&amp;$A13,'TJ List'!$S:$S,"&lt;="&amp;$B13,'TJ List'!$T:$T,"&gt;="&amp;E$2,'TJ List'!$T:$T,"&lt;="&amp;E$3)/COUNTIFS('TJ List'!$L:$L,"&gt;0",'TJ List'!$S:$S,"&gt;="&amp;$A13,'TJ List'!$S:$S,"&lt;="&amp;$B13,'TJ List'!$T:$T,"&gt;="&amp;E$2,'TJ List'!$T:$T,"&lt;="&amp;E$3),"N/A")</f>
        <v>15.6</v>
      </c>
      <c r="F13" s="81">
        <f>IF(COUNTIFS('TJ List'!$L:$L,"&gt;0",'TJ List'!$S:$S,"&gt;="&amp;$A13,'TJ List'!$S:$S,"&lt;="&amp;$B13,'TJ List'!$T:$T,"&gt;="&amp;F$2,'TJ List'!$T:$T,"&lt;="&amp;F$3)&gt;0,SUMIFS('TJ List'!$L:$L,'TJ List'!$S:$S,"&gt;="&amp;$A13,'TJ List'!$S:$S,"&lt;="&amp;$B13,'TJ List'!$T:$T,"&gt;="&amp;F$2,'TJ List'!$T:$T,"&lt;="&amp;F$3)/COUNTIFS('TJ List'!$L:$L,"&gt;0",'TJ List'!$S:$S,"&gt;="&amp;$A13,'TJ List'!$S:$S,"&lt;="&amp;$B13,'TJ List'!$T:$T,"&gt;="&amp;F$2,'TJ List'!$T:$T,"&lt;="&amp;F$3),"N/A")</f>
        <v>18</v>
      </c>
      <c r="G13" s="82">
        <f t="array" ref="G13">AVERAGE(INDIRECT(CONCATENATE(ADDRESS(ROW(INDEX('TJ List'!A:A,MATCH(37256,'TJ List'!B:B,-1)+1,0)),12,1,TRUE,"TJ List"),":",ADDRESS(ROW(INDEX('TJ List'!A:A,MATCH(36525,'TJ List'!B:B,-1),0)),12))))</f>
        <v>14.8</v>
      </c>
      <c r="H13" s="83">
        <f t="array" ref="H13">MEDIAN(INDIRECT(CONCATENATE(ADDRESS(ROW(INDEX('TJ List'!A:A,MATCH(37256,'TJ List'!B:B,-1)+1,0)),12,1,TRUE,"TJ List"),":",ADDRESS(ROW(INDEX('TJ List'!A:A,MATCH(36525,'TJ List'!B:B,-1),0)),12))))</f>
        <v>13</v>
      </c>
      <c r="I13" s="83">
        <f t="array" ref="I13">MODE(INDIRECT(CONCATENATE(ADDRESS(ROW(INDEX('TJ List'!A:A,MATCH(37256,'TJ List'!B:B,-1)+1,0)),12,1,TRUE,"TJ List"),":",ADDRESS(ROW(INDEX('TJ List'!A:A,MATCH(36525,'TJ List'!B:B,-1),0)),12))))</f>
        <v>12</v>
      </c>
      <c r="J13" s="84">
        <f t="array" ref="J13">COUNTIFS(INDIRECT(CONCATENATE(ADDRESS(ROW(INDEX('TJ List'!A:A,MATCH(37256,'TJ List'!B:B,-1)+1,0)),11,1,TRUE,"TJ List"),":",ADDRESS(ROW(INDEX('TJ List'!A:A,MATCH(36525,'TJ List'!B:B,-1),0)),11))),"&gt;0")/COUNTIFS(INDIRECT(CONCATENATE(ADDRESS(ROW(INDEX('TJ List'!A:A,MATCH(37256,'TJ List'!B:B,-1)+1,0)),1,1,TRUE,"TJ List"),":",ADDRESS(ROW(INDEX('TJ List'!A:A,MATCH(36525,'TJ List'!B:B,-1),0)),1))),"&lt;&gt;0")</f>
        <v>0.9016393443</v>
      </c>
      <c r="K13" s="85">
        <f t="array" ref="K13">COUNTIFS(INDIRECT(CONCATENATE(ADDRESS(ROW(INDEX('TJ List'!A:A,MATCH(37256,'TJ List'!B:B,-1)+1,0)),11,1,TRUE,"TJ List"),":",ADDRESS(ROW(INDEX('TJ List'!A:A,MATCH(36525,'TJ List'!B:B,-1),0)),11))),"&lt;&gt;X")</f>
        <v>61</v>
      </c>
      <c r="L13" s="86">
        <f t="array" ref="L13">AVERAGEIFS(INDIRECT(CONCATENATE(ADDRESS(ROW(INDEX('TJ List'!A:A,MATCH(37256,'TJ List'!B:B,-1)+1,0)),12,1,TRUE,"TJ List"),":",ADDRESS(ROW(INDEX('TJ List'!A:A,MATCH(36525,'TJ List'!B:B,-1),0)),12))),INDIRECT(CONCATENATE(ADDRESS(ROW(INDEX('TJ List'!A:A,MATCH(37256,'TJ List'!B:B,-1)+1,0)),4,1,TRUE,"TJ List"),":",ADDRESS(ROW(INDEX('TJ List'!A:A,MATCH(36525,'TJ List'!B:B,-1),0)),4))),"MLB",INDIRECT(CONCATENATE(ADDRESS(ROW(INDEX('TJ List'!A:A,MATCH(37256,'TJ List'!B:B,-1)+1,0)),12,1,TRUE,"TJ List"),":",ADDRESS(ROW(INDEX('TJ List'!A:A,MATCH(36525,'TJ List'!B:B,-1),0)),12))),"&gt;0")</f>
        <v>14.8</v>
      </c>
      <c r="M13" s="84">
        <f t="array" ref="M13">COUNTIFS(INDIRECT(CONCATENATE(ADDRESS(ROW(INDEX('TJ List'!A:A,MATCH(37256,'TJ List'!B:B,-1)+1,0)),11,1,TRUE,"TJ List"),":",ADDRESS(ROW(INDEX('TJ List'!A:A,MATCH(36525,'TJ List'!B:B,-1),0)),11))),"&gt;0",INDIRECT(CONCATENATE(ADDRESS(ROW(INDEX('TJ List'!A:A,MATCH(37256,'TJ List'!B:B,-1)+1,0)),4,1,TRUE,"TJ List"),":",ADDRESS(ROW(INDEX('TJ List'!A:A,MATCH(36525,'TJ List'!B:B,-1),0)),4))),"MLB")/COUNTIFS(INDIRECT(CONCATENATE(ADDRESS(ROW(INDEX('TJ List'!A:A,MATCH(37256,'TJ List'!B:B,-1)+1,0)),1,1,TRUE,"TJ List"),":",ADDRESS(ROW(INDEX('TJ List'!A:A,MATCH(36525,'TJ List'!B:B,-1),0)),1))),"&lt;&gt;0",INDIRECT(CONCATENATE(ADDRESS(ROW(INDEX('TJ List'!A:A,MATCH(37256,'TJ List'!B:B,-1)+1,0)),4,1,TRUE,"TJ List"),":",ADDRESS(ROW(INDEX('TJ List'!A:A,MATCH(36525,'TJ List'!B:B,-1),0)),4))),"MLB")</f>
        <v>0.8387096774</v>
      </c>
      <c r="N13" s="87">
        <f t="array" ref="N13">COUNTIFS(INDIRECT(CONCATENATE(ADDRESS(ROW(INDEX('TJ List'!A:A,MATCH(37256,'TJ List'!B:B,-1)+1,0)),11,1,TRUE,"TJ List"),":",ADDRESS(ROW(INDEX('TJ List'!A:A,MATCH(36525,'TJ List'!B:B,-1),0)),11))),"&lt;&gt;X",INDIRECT(CONCATENATE(ADDRESS(ROW(INDEX('TJ List'!A:A,MATCH(37256,'TJ List'!B:B,-1)+1,0)),4,1,TRUE,"TJ List"),":",ADDRESS(ROW(INDEX('TJ List'!A:A,MATCH(36525,'TJ List'!B:B,-1),0)),4))),"MLB")</f>
        <v>31</v>
      </c>
    </row>
    <row r="14">
      <c r="A14" s="78">
        <v>1974.0</v>
      </c>
      <c r="B14" s="79">
        <v>1999.0</v>
      </c>
      <c r="C14" s="80">
        <f>IF(COUNTIFS('TJ List'!$L:$L,"&gt;0",'TJ List'!$S:$S,"&gt;="&amp;$A14,'TJ List'!$S:$S,"&lt;="&amp;$B14,'TJ List'!$T:$T,"&gt;="&amp;C$2,'TJ List'!$T:$T,"&lt;="&amp;C$3)&gt;0,SUMIFS('TJ List'!$L:$L,'TJ List'!$S:$S,"&gt;="&amp;$A14,'TJ List'!$S:$S,"&lt;="&amp;$B14,'TJ List'!$T:$T,"&gt;="&amp;C$2,'TJ List'!$T:$T,"&lt;="&amp;C$3)/COUNTIFS('TJ List'!$L:$L,"&gt;0",'TJ List'!$S:$S,"&gt;="&amp;$A14,'TJ List'!$S:$S,"&lt;="&amp;$B14,'TJ List'!$T:$T,"&gt;="&amp;C$2,'TJ List'!$T:$T,"&lt;="&amp;C$3),"N/A")</f>
        <v>19.4</v>
      </c>
      <c r="D14" s="80">
        <f>IF(COUNTIFS('TJ List'!$L:$L,"&gt;0",'TJ List'!$S:$S,"&gt;="&amp;$A14,'TJ List'!$S:$S,"&lt;="&amp;$B14,'TJ List'!$T:$T,"&gt;="&amp;D$2,'TJ List'!$T:$T,"&lt;="&amp;D$3)&gt;0,SUMIFS('TJ List'!$L:$L,'TJ List'!$S:$S,"&gt;="&amp;$A14,'TJ List'!$S:$S,"&lt;="&amp;$B14,'TJ List'!$T:$T,"&gt;="&amp;D$2,'TJ List'!$T:$T,"&lt;="&amp;D$3)/COUNTIFS('TJ List'!$L:$L,"&gt;0",'TJ List'!$S:$S,"&gt;="&amp;$A14,'TJ List'!$S:$S,"&lt;="&amp;$B14,'TJ List'!$T:$T,"&gt;="&amp;D$2,'TJ List'!$T:$T,"&lt;="&amp;D$3),"N/A")</f>
        <v>17.95833333</v>
      </c>
      <c r="E14" s="80">
        <f>IF(COUNTIFS('TJ List'!$L:$L,"&gt;0",'TJ List'!$S:$S,"&gt;="&amp;$A14,'TJ List'!$S:$S,"&lt;="&amp;$B14,'TJ List'!$T:$T,"&gt;="&amp;E$2,'TJ List'!$T:$T,"&lt;="&amp;E$3)&gt;0,SUMIFS('TJ List'!$L:$L,'TJ List'!$S:$S,"&gt;="&amp;$A14,'TJ List'!$S:$S,"&lt;="&amp;$B14,'TJ List'!$T:$T,"&gt;="&amp;E$2,'TJ List'!$T:$T,"&lt;="&amp;E$3)/COUNTIFS('TJ List'!$L:$L,"&gt;0",'TJ List'!$S:$S,"&gt;="&amp;$A14,'TJ List'!$S:$S,"&lt;="&amp;$B14,'TJ List'!$T:$T,"&gt;="&amp;E$2,'TJ List'!$T:$T,"&lt;="&amp;E$3),"N/A")</f>
        <v>17.55172414</v>
      </c>
      <c r="F14" s="81">
        <f>IF(COUNTIFS('TJ List'!$L:$L,"&gt;0",'TJ List'!$S:$S,"&gt;="&amp;$A14,'TJ List'!$S:$S,"&lt;="&amp;$B14,'TJ List'!$T:$T,"&gt;="&amp;F$2,'TJ List'!$T:$T,"&lt;="&amp;F$3)&gt;0,SUMIFS('TJ List'!$L:$L,'TJ List'!$S:$S,"&gt;="&amp;$A14,'TJ List'!$S:$S,"&lt;="&amp;$B14,'TJ List'!$T:$T,"&gt;="&amp;F$2,'TJ List'!$T:$T,"&lt;="&amp;F$3)/COUNTIFS('TJ List'!$L:$L,"&gt;0",'TJ List'!$S:$S,"&gt;="&amp;$A14,'TJ List'!$S:$S,"&lt;="&amp;$B14,'TJ List'!$T:$T,"&gt;="&amp;F$2,'TJ List'!$T:$T,"&lt;="&amp;F$3),"N/A")</f>
        <v>15.42857143</v>
      </c>
      <c r="G14" s="82">
        <f t="array" ref="G14">AVERAGE(INDIRECT(CONCATENATE(ADDRESS(ROW(INDEX('TJ List'!A:A,MATCH(36525,'TJ List'!B:B,-1)+1,0)),12,1,TRUE,"TJ List"),":",ADDRESS(ROW(INDEX('TJ List'!A:A,MATCH(27030,'TJ List'!B:B,-1)+1,0)),12))))</f>
        <v>17.61538462</v>
      </c>
      <c r="H14" s="83">
        <f t="array" ref="H14">MEDIAN(INDIRECT(CONCATENATE(ADDRESS(ROW(INDEX('TJ List'!A:A,MATCH(36525,'TJ List'!B:B,-1)+1,0)),12,1,TRUE,"TJ List"),":",ADDRESS(ROW(INDEX('TJ List'!A:A,MATCH(27030,'TJ List'!B:B,-1)+1,0)),12))))</f>
        <v>14</v>
      </c>
      <c r="I14" s="83">
        <f t="array" ref="I14">MODE(INDIRECT(CONCATENATE(ADDRESS(ROW(INDEX('TJ List'!A:A,MATCH(36525,'TJ List'!B:B,-1)+1,0)),12,1,TRUE,"TJ List"),":",ADDRESS(ROW(INDEX('TJ List'!A:A,MATCH(27030,'TJ List'!B:B,-1)+1,0)),12))))</f>
        <v>13</v>
      </c>
      <c r="J14" s="88">
        <f t="array" ref="J14">COUNTIFS(INDIRECT(CONCATENATE(ADDRESS(ROW(INDEX('TJ List'!A:A,MATCH(36525,'TJ List'!B:B,-1)+1,0)),11,1,TRUE,"TJ List"),":",ADDRESS(ROW(INDEX('TJ List'!A:A,MATCH(27030,'TJ List'!B:B,-1)+1,0)),11))),"&gt;0")/COUNTIFS(INDIRECT(CONCATENATE(ADDRESS(ROW(INDEX('TJ List'!A:A,MATCH(36525,'TJ List'!B:B,-1)+1,0)),1,1,TRUE,"TJ List"),":",ADDRESS(ROW(INDEX('TJ List'!A:A,MATCH(27030,'TJ List'!B:B,-1)+1,0)),1))),"&lt;&gt;0")</f>
        <v>0.9154929577</v>
      </c>
      <c r="K14" s="7">
        <f t="array" ref="K14">COUNTIFS(INDIRECT(CONCATENATE(ADDRESS(ROW(INDEX('TJ List'!A:A,MATCH(36525,'TJ List'!B:B,-1)+1,0)),11,1,TRUE,"TJ List"),":",ADDRESS(ROW(INDEX('TJ List'!A:A,MATCH(27030,'TJ List'!B:B,-1)+1,0)),11))),"&lt;&gt;X")</f>
        <v>143</v>
      </c>
      <c r="L14" s="89">
        <f t="array" ref="L14">AVERAGEIFS(INDIRECT(CONCATENATE(ADDRESS(ROW(INDEX('TJ List'!A:A,MATCH(36525,'TJ List'!B:B,-1)+1,0)),12,1,TRUE,"TJ List"),":",ADDRESS(ROW(INDEX('TJ List'!A:A,MATCH(27030,'TJ List'!B:B,-1)+1,0)),12))),INDIRECT(CONCATENATE(ADDRESS(ROW(INDEX('TJ List'!A:A,MATCH(36525,'TJ List'!B:B,-1)+1,0)),4,1,TRUE,"TJ List"),":",ADDRESS(ROW(INDEX('TJ List'!A:A,MATCH(27030,'TJ List'!B:B,-1)+1,0)),4))),"MLB",INDIRECT(CONCATENATE(ADDRESS(ROW(INDEX('TJ List'!A:A,MATCH(36525,'TJ List'!B:B,-1)+1,0)),12,1,TRUE,"TJ List"),":",ADDRESS(ROW(INDEX('TJ List'!A:A,MATCH(27030,'TJ List'!B:B,-1)+1,0)),12))),"&gt;0")</f>
        <v>17.359375</v>
      </c>
      <c r="M14" s="88">
        <f t="array" ref="M14">COUNTIFS(INDIRECT(CONCATENATE(ADDRESS(ROW(INDEX('TJ List'!A:A,MATCH(36525,'TJ List'!B:B,-1)+1,0)),11,1,TRUE,"TJ List"),":",ADDRESS(ROW(INDEX('TJ List'!A:A,MATCH(27030,'TJ List'!B:B,-1)+1,0)),11))),"&gt;0",INDIRECT(CONCATENATE(ADDRESS(ROW(INDEX('TJ List'!A:A,MATCH(36525,'TJ List'!B:B,-1)+1,0)),4,1,TRUE,"TJ List"),":",ADDRESS(ROW(INDEX('TJ List'!A:A,MATCH(27030,'TJ List'!B:B,-1)+1,0)),4))),"MLB")/COUNTIFS(INDIRECT(CONCATENATE(ADDRESS(ROW(INDEX('TJ List'!A:A,MATCH(36525,'TJ List'!B:B,-1)+1,0)),1,1,TRUE,"TJ List"),":",ADDRESS(ROW(INDEX('TJ List'!A:A,MATCH(27030,'TJ List'!B:B,-1)+1,0)),1))),"&lt;&gt;0",INDIRECT(CONCATENATE(ADDRESS(ROW(INDEX('TJ List'!A:A,MATCH(36525,'TJ List'!B:B,-1)+1,0)),4,1,TRUE,"TJ List"),":",ADDRESS(ROW(INDEX('TJ List'!A:A,MATCH(27030,'TJ List'!B:B,-1)+1,0)),4))),"MLB")</f>
        <v>0.8641975309</v>
      </c>
      <c r="N14" s="90">
        <f t="array" ref="N14">COUNTIFS(INDIRECT(CONCATENATE(ADDRESS(ROW(INDEX('TJ List'!A:A,MATCH(36525,'TJ List'!B:B,-1)+1,0)),11,1,TRUE,"TJ List"),":",ADDRESS(ROW(INDEX('TJ List'!A:A,MATCH(27030,'TJ List'!B:B,-1)+1,0)),11))),"&lt;&gt;X",INDIRECT(CONCATENATE(ADDRESS(ROW(INDEX('TJ List'!A:A,MATCH(36525,'TJ List'!B:B,-1)+1,0)),4,1,TRUE,"TJ List"),":",ADDRESS(ROW(INDEX('TJ List'!A:A,MATCH(27030,'TJ List'!B:B,-1)+1,0)),4))),"MLB")</f>
        <v>81</v>
      </c>
    </row>
    <row r="15">
      <c r="A15" s="91" t="s">
        <v>2330</v>
      </c>
      <c r="B15" s="92"/>
      <c r="C15" s="93">
        <f>SUMIFS('TJ List'!$L:$L,'TJ List'!$S:$S,"&gt;=1974",'TJ List'!$S:$S,"&lt;=2014",'TJ List'!$T:$T,"&gt;="&amp;C$2,'TJ List'!$T:$T,"&lt;="&amp;C$3)/COUNTIFS('TJ List'!$L:$L,"&gt;0",'TJ List'!$S:$S,"&gt;=1974",'TJ List'!$S:$S,"&lt;=2014",'TJ List'!$T:$T,"&gt;="&amp;C$2,'TJ List'!$T:$T,"&lt;="&amp;C$3)</f>
        <v>17.93103448</v>
      </c>
      <c r="D15" s="94">
        <f>SUMIFS('TJ List'!$L:$L,'TJ List'!$S:$S,"&gt;=1974",'TJ List'!$S:$S,"&lt;=2014",'TJ List'!$T:$T,"&gt;="&amp;D$2,'TJ List'!$T:$T,"&lt;="&amp;D$3)/COUNTIFS('TJ List'!$L:$L,"&gt;0",'TJ List'!$S:$S,"&gt;=1974",'TJ List'!$S:$S,"&lt;=2014",'TJ List'!$T:$T,"&gt;="&amp;D$2,'TJ List'!$T:$T,"&lt;="&amp;D$3)</f>
        <v>17.04680851</v>
      </c>
      <c r="E15" s="94">
        <f>SUMIFS('TJ List'!$L:$L,'TJ List'!$S:$S,"&gt;=1974",'TJ List'!$S:$S,"&lt;=2014",'TJ List'!$T:$T,"&gt;="&amp;E$2,'TJ List'!$T:$T,"&lt;="&amp;E$3)/COUNTIFS('TJ List'!$L:$L,"&gt;0",'TJ List'!$S:$S,"&gt;=1974",'TJ List'!$S:$S,"&lt;=2014",'TJ List'!$T:$T,"&gt;="&amp;E$2,'TJ List'!$T:$T,"&lt;="&amp;E$3)</f>
        <v>17.0952381</v>
      </c>
      <c r="F15" s="95">
        <f>SUMIFS('TJ List'!$L:$L,'TJ List'!$S:$S,"&gt;=1974",'TJ List'!$S:$S,"&lt;=2014",'TJ List'!$T:$T,"&gt;="&amp;F$2,'TJ List'!$T:$T,"&lt;="&amp;F$3)/COUNTIFS('TJ List'!$L:$L,"&gt;0",'TJ List'!$S:$S,"&gt;=1974",'TJ List'!$S:$S,"&lt;=2014",'TJ List'!$T:$T,"&gt;="&amp;F$2,'TJ List'!$T:$T,"&lt;="&amp;F$3)</f>
        <v>16.65306122</v>
      </c>
      <c r="G15" s="96">
        <f t="array" ref="G15">AVERAGE(INDIRECT(CONCATENATE(ADDRESS(ROW(INDEX('TJ List'!A:A,MATCH(42369,'TJ List'!B:B,-1)+1,0)),12,1,TRUE,"TJ List"),":",ADDRESS(ROW(INDEX('TJ List'!A:A,MATCH(27030,'TJ List'!B:B,-1),0)),12))))</f>
        <v>16.78104575</v>
      </c>
      <c r="H15" s="97">
        <f t="array" ref="H15">MEDIAN(INDIRECT(CONCATENATE(ADDRESS(ROW(INDEX('TJ List'!A:A,MATCH(42369,'TJ List'!B:B,-1)+1,0)),12,1,TRUE,"TJ List"),":",ADDRESS(ROW(INDEX('TJ List'!A:A,MATCH(27030,'TJ List'!B:B,-1),0)),12))))</f>
        <v>14</v>
      </c>
      <c r="I15" s="97">
        <f t="array" ref="I15">MODE(INDIRECT(CONCATENATE(ADDRESS(ROW(INDEX('TJ List'!A:A,MATCH(42369,'TJ List'!B:B,-1)+1,0)),12,1,TRUE,"TJ List"),":",ADDRESS(ROW(INDEX('TJ List'!A:A,MATCH(27030,'TJ List'!B:B,-1),0)),12))))</f>
        <v>12</v>
      </c>
      <c r="J15" s="98">
        <f t="array" ref="J15">COUNTIFS(INDIRECT(CONCATENATE(ADDRESS(ROW(INDEX('TJ List'!A:A,MATCH(42369,'TJ List'!B:B,-1)+1,0)),11,1,TRUE,"TJ List"),":",ADDRESS(ROW(INDEX('TJ List'!A:A,MATCH(27030,'TJ List'!B:B,-1),0)),11))),"&gt;0")/COUNTIFS(INDIRECT(CONCATENATE(ADDRESS(ROW(INDEX('TJ List'!A:A,MATCH(42369,'TJ List'!B:B,-1)+1,0)),1,1,TRUE,"TJ List"),":",ADDRESS(ROW(INDEX('TJ List'!A:A,MATCH(27030,'TJ List'!B:B,-1),0)),1))),"&lt;&gt;0")</f>
        <v>0.8313349321</v>
      </c>
      <c r="K15" s="99">
        <f t="array" ref="K15">COUNTIFS(INDIRECT(CONCATENATE(ADDRESS(ROW(INDEX('TJ List'!A:A,MATCH(42369,'TJ List'!B:B,-1)+1,0)),11,1,TRUE,"TJ List"),":",ADDRESS(ROW(INDEX('TJ List'!A:A,MATCH(27030,'TJ List'!B:B,-1),0)),11))),"&lt;&gt;X")</f>
        <v>1251</v>
      </c>
      <c r="L15" s="96">
        <f t="array" ref="L15">AVERAGEIFS(INDIRECT(CONCATENATE(ADDRESS(ROW(INDEX('TJ List'!A:A,MATCH(42369,'TJ List'!B:B,-1)+1,0)),12,1,TRUE,"TJ List"),":",ADDRESS(ROW(INDEX('TJ List'!A:A,MATCH(27030,'TJ List'!B:B,-1),0)),12))),INDIRECT(CONCATENATE(ADDRESS(ROW(INDEX('TJ List'!A:A,MATCH(42369,'TJ List'!B:B,-1)+1,0)),4,1,TRUE,"TJ List"),":",ADDRESS(ROW(INDEX('TJ List'!A:A,MATCH(27030,'TJ List'!B:B,-1),0)),4))),"MLB",INDIRECT(CONCATENATE(ADDRESS(ROW(INDEX('TJ List'!A:A,MATCH(42369,'TJ List'!B:B,-1)+1,0)),12,1,TRUE,"TJ List"),":",ADDRESS(ROW(INDEX('TJ List'!A:A,MATCH(27030,'TJ List'!B:B,-1),0)),12))),"&gt;0")</f>
        <v>17.36267606</v>
      </c>
      <c r="M15" s="98">
        <f t="array" ref="M15">COUNTIFS(INDIRECT(CONCATENATE(ADDRESS(ROW(INDEX('TJ List'!A:A,MATCH(42369,'TJ List'!B:B,-1)+1,0)),11,1,TRUE,"TJ List"),":",ADDRESS(ROW(INDEX('TJ List'!A:A,MATCH(27030,'TJ List'!B:B,-1),0)),11))),"&gt;0",INDIRECT(CONCATENATE(ADDRESS(ROW(INDEX('TJ List'!A:A,MATCH(42369,'TJ List'!B:B,-1)+1,0)),4,1,TRUE,"TJ List"),":",ADDRESS(ROW(INDEX('TJ List'!A:A,MATCH(27030,'TJ List'!B:B,-1),0)),4))),"MLB")/COUNTIFS(INDIRECT(CONCATENATE(ADDRESS(ROW(INDEX('TJ List'!A:A,MATCH(42369,'TJ List'!B:B,-1)+1,0)),1,1,TRUE,"TJ List"),":",ADDRESS(ROW(INDEX('TJ List'!A:A,MATCH(27030,'TJ List'!B:B,-1),0)),1))),"&lt;&gt;0",INDIRECT(CONCATENATE(ADDRESS(ROW(INDEX('TJ List'!A:A,MATCH(42369,'TJ List'!B:B,-1)+1,0)),4,1,TRUE,"TJ List"),":",ADDRESS(ROW(INDEX('TJ List'!A:A,MATCH(27030,'TJ List'!B:B,-1),0)),4))),"MLB")</f>
        <v>0.7680798005</v>
      </c>
      <c r="N15" s="100">
        <f t="array" ref="N15">COUNTIFS(INDIRECT(CONCATENATE(ADDRESS(ROW(INDEX('TJ List'!A:A,MATCH(42369,'TJ List'!B:B,-1)+1,0)),11,1,TRUE,"TJ List"),":",ADDRESS(ROW(INDEX('TJ List'!A:A,MATCH(27030,'TJ List'!B:B,-1),0)),11))),"&lt;&gt;X",INDIRECT(CONCATENATE(ADDRESS(ROW(INDEX('TJ List'!A:A,MATCH(42369,'TJ List'!B:B,-1)+1,0)),4,1,TRUE,"TJ List"),":",ADDRESS(ROW(INDEX('TJ List'!A:A,MATCH(27030,'TJ List'!B:B,-1),0)),4))),"MLB")</f>
        <v>401</v>
      </c>
    </row>
    <row r="16">
      <c r="H16" s="101"/>
      <c r="I16" s="60"/>
      <c r="J16" s="60"/>
      <c r="K16" s="60"/>
      <c r="L16" s="60"/>
      <c r="M16" s="60"/>
      <c r="N16" s="60"/>
    </row>
    <row r="17">
      <c r="A17" s="62" t="s">
        <v>2389</v>
      </c>
      <c r="B17" s="63"/>
      <c r="C17" s="63"/>
      <c r="D17" s="63"/>
      <c r="E17" s="63"/>
      <c r="F17" s="63"/>
      <c r="G17" s="63"/>
      <c r="H17" s="64"/>
      <c r="I17" s="2"/>
      <c r="J17" s="102"/>
      <c r="K17" s="2"/>
      <c r="L17" s="2"/>
      <c r="M17" s="2"/>
      <c r="N17" s="2"/>
    </row>
    <row r="18">
      <c r="A18" s="67" t="s">
        <v>2392</v>
      </c>
      <c r="B18" s="68" t="s">
        <v>2394</v>
      </c>
      <c r="C18" s="62" t="s">
        <v>1886</v>
      </c>
      <c r="D18" s="63"/>
      <c r="E18" s="64"/>
      <c r="F18" s="62" t="s">
        <v>1890</v>
      </c>
      <c r="G18" s="63"/>
      <c r="H18" s="64"/>
      <c r="I18" s="60"/>
      <c r="J18" s="4"/>
      <c r="K18" s="4"/>
      <c r="L18" s="60"/>
      <c r="M18" s="60"/>
      <c r="N18" s="60"/>
    </row>
    <row r="19">
      <c r="A19" s="70"/>
      <c r="B19" s="71"/>
      <c r="C19" s="75" t="s">
        <v>1900</v>
      </c>
      <c r="D19" s="76" t="s">
        <v>1903</v>
      </c>
      <c r="E19" s="77" t="s">
        <v>1904</v>
      </c>
      <c r="F19" s="75" t="s">
        <v>1900</v>
      </c>
      <c r="G19" s="76" t="s">
        <v>1903</v>
      </c>
      <c r="H19" s="77" t="s">
        <v>1904</v>
      </c>
      <c r="I19" s="60"/>
      <c r="J19" s="4"/>
      <c r="K19" s="60"/>
      <c r="L19" s="60"/>
      <c r="M19" s="60"/>
      <c r="N19" s="60"/>
    </row>
    <row r="20">
      <c r="A20" s="78">
        <v>12.0</v>
      </c>
      <c r="B20" s="79">
        <v>17.0</v>
      </c>
      <c r="C20" s="103">
        <f>SUMIFS('TJ List'!$L:$L,'TJ List'!$J:$J,"&gt;="&amp;$A20,'TJ List'!$J:$J,"&lt;="&amp;$B20,'TJ List'!$S:$S,"&lt;2016")/COUNTIFS('TJ List'!$L:$L,"&gt;0",'TJ List'!$J:$J,"&gt;="&amp;$A20,'TJ List'!$J:$J,"&lt;="&amp;$B20,'TJ List'!$S:$S,"&lt;2016")</f>
        <v>14.75</v>
      </c>
      <c r="D20" s="84">
        <f>COUNTIFS('TJ List'!$K:$K,"&gt;0",'TJ List'!$J:$J,"&gt;="&amp;$A20,'TJ List'!$J:$J,"&lt;="&amp;$B20,'TJ List'!$S:$S,"&lt;2016")/COUNTIFS('TJ List'!$J:$J,"&gt;="&amp;$A20,'TJ List'!$J:$J,"&lt;="&amp;$B20,'TJ List'!$S:$S,"&lt;2016")</f>
        <v>0.9</v>
      </c>
      <c r="E20" s="104">
        <f>COUNTIFS('TJ List'!$J:$J,"&gt;="&amp;$A20,'TJ List'!$J:$J,"&lt;="&amp;$B20,'TJ List'!$S:$S,"&lt;2016")</f>
        <v>40</v>
      </c>
      <c r="F20" s="86" t="str">
        <f>IF(COUNTIFS('TJ List'!$L:$L,"&gt;0",'TJ List'!$J:$J,"&gt;="&amp;$A20,'TJ List'!$J:$J,"&lt;="&amp;$B20,'TJ List'!$D:$D,"MLB",'TJ List'!$S:$S,"&lt;2016")&gt;0,SUMIFS('TJ List'!$L:$L,'TJ List'!$J:$J,"&gt;="&amp;$A20,'TJ List'!$J:$J,"&lt;="&amp;$B20,'TJ List'!$D:$D,"MLB",'TJ List'!$S:$S,"&lt;2016")/COUNTIFS('TJ List'!$L:$L,"&gt;0",'TJ List'!$J:$J,"&gt;="&amp;$A20,'TJ List'!$J:$J,"&lt;="&amp;$B20,'TJ List'!$D:$D,"MLB",'TJ List'!$S:$S,"&lt;2016"),"N/A")</f>
        <v>N/A</v>
      </c>
      <c r="G20" s="84" t="str">
        <f>IF(COUNTIFS('TJ List'!$J:$J,"&gt;="&amp;$A20,'TJ List'!$J:$J,"&lt;="&amp;$B20,'TJ List'!$D:$D,"MLB",'TJ List'!$S:$S,"&lt;2016")&gt;0,COUNTIFS('TJ List'!$K:$K,"&gt;0",'TJ List'!$J:$J,"&gt;="&amp;$A20,'TJ List'!$D:$D,"MLB",'TJ List'!$J:$J,"&lt;="&amp;$B20,'TJ List'!$S:$S,"&lt;2016")/COUNTIFS('TJ List'!$J:$J,"&gt;="&amp;$A20,'TJ List'!$J:$J,"&lt;="&amp;$B20,'TJ List'!$D:$D,"MLB",'TJ List'!$S:$S,"&lt;2016"),"N/A")</f>
        <v>N/A</v>
      </c>
      <c r="H20" s="105">
        <f>COUNTIFS('TJ List'!$J:$J,"&gt;="&amp;$A20,'TJ List'!$J:$J,"&lt;="&amp;$B20,'TJ List'!$D:$D,"MLB",'TJ List'!$S:$S,"&lt;2016")</f>
        <v>0</v>
      </c>
      <c r="I20" s="60"/>
      <c r="J20" s="4"/>
      <c r="K20" s="4"/>
      <c r="L20" s="60"/>
      <c r="M20" s="60"/>
      <c r="N20" s="60"/>
    </row>
    <row r="21">
      <c r="A21" s="78">
        <v>18.0</v>
      </c>
      <c r="B21" s="79">
        <v>19.0</v>
      </c>
      <c r="C21" s="103">
        <f>SUMIFS('TJ List'!$L:$L,'TJ List'!$J:$J,"&gt;="&amp;$A21,'TJ List'!$J:$J,"&lt;="&amp;$B21,'TJ List'!$S:$S,"&lt;2016")/COUNTIFS('TJ List'!$L:$L,"&gt;0",'TJ List'!$J:$J,"&gt;="&amp;$A21,'TJ List'!$J:$J,"&lt;="&amp;$B21,'TJ List'!$S:$S,"&lt;2016")</f>
        <v>15.26666667</v>
      </c>
      <c r="D21" s="84">
        <f>COUNTIFS('TJ List'!$K:$K,"&gt;0",'TJ List'!$J:$J,"&gt;="&amp;$A21,'TJ List'!$J:$J,"&lt;="&amp;$B21,'TJ List'!$S:$S,"&lt;2016")/COUNTIFS('TJ List'!$J:$J,"&gt;="&amp;$A21,'TJ List'!$J:$J,"&lt;="&amp;$B21,'TJ List'!$S:$S,"&lt;2016")</f>
        <v>0.908496732</v>
      </c>
      <c r="E21" s="104">
        <f>COUNTIFS('TJ List'!$J:$J,"&gt;="&amp;$A21,'TJ List'!$J:$J,"&lt;="&amp;$B21,'TJ List'!$S:$S,"&lt;2016")</f>
        <v>153</v>
      </c>
      <c r="F21" s="86" t="str">
        <f>IF(COUNTIFS('TJ List'!$L:$L,"&gt;0",'TJ List'!$J:$J,"&gt;="&amp;$A21,'TJ List'!$J:$J,"&lt;="&amp;$B21,'TJ List'!$D:$D,"MLB",'TJ List'!$S:$S,"&lt;2016")&gt;0,SUMIFS('TJ List'!$L:$L,'TJ List'!$J:$J,"&gt;="&amp;$A21,'TJ List'!$J:$J,"&lt;="&amp;$B21,'TJ List'!$D:$D,"MLB",'TJ List'!$S:$S,"&lt;2016")/COUNTIFS('TJ List'!$L:$L,"&gt;0",'TJ List'!$J:$J,"&gt;="&amp;$A21,'TJ List'!$J:$J,"&lt;="&amp;$B21,'TJ List'!$D:$D,"MLB",'TJ List'!$S:$S,"&lt;2016"),"N/A")</f>
        <v>N/A</v>
      </c>
      <c r="G21" s="84" t="str">
        <f>IF(COUNTIFS('TJ List'!$J:$J,"&gt;="&amp;$A21,'TJ List'!$J:$J,"&lt;="&amp;$B21,'TJ List'!$D:$D,"MLB",'TJ List'!$S:$S,"&lt;2016")&gt;0,COUNTIFS('TJ List'!$K:$K,"&gt;0",'TJ List'!$J:$J,"&gt;="&amp;$A21,'TJ List'!$D:$D,"MLB",'TJ List'!$J:$J,"&lt;="&amp;$B21,'TJ List'!$S:$S,"&lt;2016")/COUNTIFS('TJ List'!$J:$J,"&gt;="&amp;$A21,'TJ List'!$J:$J,"&lt;="&amp;$B21,'TJ List'!$D:$D,"MLB",'TJ List'!$S:$S,"&lt;2016"),"N/A")</f>
        <v>N/A</v>
      </c>
      <c r="H21" s="105">
        <f>COUNTIFS('TJ List'!$J:$J,"&gt;="&amp;$A21,'TJ List'!$J:$J,"&lt;="&amp;$B21,'TJ List'!$D:$D,"MLB",'TJ List'!$S:$S,"&lt;2016")</f>
        <v>0</v>
      </c>
      <c r="I21" s="60"/>
      <c r="J21" s="4"/>
      <c r="K21" s="60"/>
      <c r="L21" s="60"/>
      <c r="M21" s="60"/>
      <c r="N21" s="60"/>
    </row>
    <row r="22">
      <c r="A22" s="78">
        <v>20.0</v>
      </c>
      <c r="B22" s="79">
        <v>21.0</v>
      </c>
      <c r="C22" s="103">
        <f>SUMIFS('TJ List'!$L:$L,'TJ List'!$J:$J,"&gt;="&amp;$A22,'TJ List'!$J:$J,"&lt;="&amp;$B22,'TJ List'!$S:$S,"&lt;2016")/COUNTIFS('TJ List'!$L:$L,"&gt;0",'TJ List'!$J:$J,"&gt;="&amp;$A22,'TJ List'!$J:$J,"&lt;="&amp;$B22,'TJ List'!$S:$S,"&lt;2016")</f>
        <v>16.38613861</v>
      </c>
      <c r="D22" s="84">
        <f>COUNTIFS('TJ List'!$K:$K,"&gt;0",'TJ List'!$J:$J,"&gt;="&amp;$A22,'TJ List'!$J:$J,"&lt;="&amp;$B22,'TJ List'!$S:$S,"&lt;2016")/COUNTIFS('TJ List'!$J:$J,"&gt;="&amp;$A22,'TJ List'!$J:$J,"&lt;="&amp;$B22,'TJ List'!$S:$S,"&lt;2016")</f>
        <v>0.9265306122</v>
      </c>
      <c r="E22" s="104">
        <f>COUNTIFS('TJ List'!$J:$J,"&gt;="&amp;$A22,'TJ List'!$J:$J,"&lt;="&amp;$B22,'TJ List'!$S:$S,"&lt;2016")</f>
        <v>245</v>
      </c>
      <c r="F22" s="86">
        <f>SUMIFS('TJ List'!$L:$L,'TJ List'!$J:$J,"&gt;="&amp;$A22,'TJ List'!$J:$J,"&lt;="&amp;$B22,'TJ List'!$D:$D,"MLB",'TJ List'!$S:$S,"&lt;2016")/COUNTIFS('TJ List'!$L:$L,"&gt;0",'TJ List'!$J:$J,"&gt;="&amp;$A22,'TJ List'!$J:$J,"&lt;="&amp;$B22,'TJ List'!$D:$D,"MLB",'TJ List'!$S:$S,"&lt;2016")</f>
        <v>20.57142857</v>
      </c>
      <c r="G22" s="84">
        <f>COUNTIFS('TJ List'!$K:$K,"&gt;0",'TJ List'!$J:$J,"&gt;="&amp;$A22,'TJ List'!$D:$D,"MLB",'TJ List'!$J:$J,"&lt;="&amp;$B22,'TJ List'!$S:$S,"&lt;2016")/COUNTIFS('TJ List'!$J:$J,"&gt;="&amp;$A22,'TJ List'!$J:$J,"&lt;="&amp;$B22,'TJ List'!$D:$D,"MLB",'TJ List'!$S:$S,"&lt;2016")</f>
        <v>1</v>
      </c>
      <c r="H22" s="105">
        <f>COUNTIFS('TJ List'!$J:$J,"&gt;="&amp;$A22,'TJ List'!$J:$J,"&lt;="&amp;$B22,'TJ List'!$D:$D,"MLB",'TJ List'!$S:$S,"&lt;2016")</f>
        <v>8</v>
      </c>
      <c r="I22" s="60"/>
      <c r="J22" s="60"/>
      <c r="K22" s="60"/>
      <c r="L22" s="60"/>
      <c r="M22" s="60"/>
      <c r="N22" s="60"/>
    </row>
    <row r="23">
      <c r="A23" s="78">
        <v>22.0</v>
      </c>
      <c r="B23" s="79">
        <v>23.0</v>
      </c>
      <c r="C23" s="103">
        <f>SUMIFS('TJ List'!$L:$L,'TJ List'!$J:$J,"&gt;="&amp;$A23,'TJ List'!$J:$J,"&lt;="&amp;$B23,'TJ List'!$S:$S,"&lt;2016")/COUNTIFS('TJ List'!$L:$L,"&gt;0",'TJ List'!$J:$J,"&gt;="&amp;$A23,'TJ List'!$J:$J,"&lt;="&amp;$B23,'TJ List'!$S:$S,"&lt;2016")</f>
        <v>17.1031746</v>
      </c>
      <c r="D23" s="84">
        <f>COUNTIFS('TJ List'!$K:$K,"&gt;0",'TJ List'!$J:$J,"&gt;="&amp;$A23,'TJ List'!$J:$J,"&lt;="&amp;$B23,'TJ List'!$S:$S,"&lt;2016")/COUNTIFS('TJ List'!$J:$J,"&gt;="&amp;$A23,'TJ List'!$J:$J,"&lt;="&amp;$B23,'TJ List'!$S:$S,"&lt;2016")</f>
        <v>0.8530612245</v>
      </c>
      <c r="E23" s="104">
        <f>COUNTIFS('TJ List'!$J:$J,"&gt;="&amp;$A23,'TJ List'!$J:$J,"&lt;="&amp;$B23,'TJ List'!$S:$S,"&lt;2016")</f>
        <v>245</v>
      </c>
      <c r="F23" s="86">
        <f>SUMIFS('TJ List'!$L:$L,'TJ List'!$J:$J,"&gt;="&amp;$A23,'TJ List'!$J:$J,"&lt;="&amp;$B23,'TJ List'!$D:$D,"MLB",'TJ List'!$S:$S,"&lt;2016")/COUNTIFS('TJ List'!$L:$L,"&gt;0",'TJ List'!$J:$J,"&gt;="&amp;$A23,'TJ List'!$J:$J,"&lt;="&amp;$B23,'TJ List'!$D:$D,"MLB",'TJ List'!$S:$S,"&lt;2016")</f>
        <v>19.88888889</v>
      </c>
      <c r="G23" s="84">
        <f>COUNTIFS('TJ List'!$K:$K,"&gt;0",'TJ List'!$J:$J,"&gt;="&amp;$A23,'TJ List'!$D:$D,"MLB",'TJ List'!$J:$J,"&lt;="&amp;$B23,'TJ List'!$S:$S,"&lt;2016")/COUNTIFS('TJ List'!$J:$J,"&gt;="&amp;$A23,'TJ List'!$J:$J,"&lt;="&amp;$B23,'TJ List'!$D:$D,"MLB",'TJ List'!$S:$S,"&lt;2016")</f>
        <v>0.8611111111</v>
      </c>
      <c r="H23" s="105">
        <f>COUNTIFS('TJ List'!$J:$J,"&gt;="&amp;$A23,'TJ List'!$J:$J,"&lt;="&amp;$B23,'TJ List'!$D:$D,"MLB",'TJ List'!$S:$S,"&lt;2016")</f>
        <v>36</v>
      </c>
      <c r="I23" s="60"/>
      <c r="J23" s="60"/>
      <c r="K23" s="60"/>
      <c r="L23" s="60"/>
      <c r="M23" s="60"/>
      <c r="N23" s="60"/>
    </row>
    <row r="24">
      <c r="A24" s="78">
        <v>24.0</v>
      </c>
      <c r="B24" s="79">
        <v>25.0</v>
      </c>
      <c r="C24" s="103">
        <f>SUMIFS('TJ List'!$L:$L,'TJ List'!$J:$J,"&gt;="&amp;$A24,'TJ List'!$J:$J,"&lt;="&amp;$B24,'TJ List'!$S:$S,"&lt;2016")/COUNTIFS('TJ List'!$L:$L,"&gt;0",'TJ List'!$J:$J,"&gt;="&amp;$A24,'TJ List'!$J:$J,"&lt;="&amp;$B24,'TJ List'!$S:$S,"&lt;2016")</f>
        <v>17.23529412</v>
      </c>
      <c r="D24" s="84">
        <f>COUNTIFS('TJ List'!$K:$K,"&gt;0",'TJ List'!$J:$J,"&gt;="&amp;$A24,'TJ List'!$J:$J,"&lt;="&amp;$B24,'TJ List'!$S:$S,"&lt;2016")/COUNTIFS('TJ List'!$J:$J,"&gt;="&amp;$A24,'TJ List'!$J:$J,"&lt;="&amp;$B24,'TJ List'!$S:$S,"&lt;2016")</f>
        <v>0.79</v>
      </c>
      <c r="E24" s="104">
        <f>COUNTIFS('TJ List'!$J:$J,"&gt;="&amp;$A24,'TJ List'!$J:$J,"&lt;="&amp;$B24,'TJ List'!$S:$S,"&lt;2016")</f>
        <v>200</v>
      </c>
      <c r="F24" s="86">
        <f>SUMIFS('TJ List'!$L:$L,'TJ List'!$J:$J,"&gt;="&amp;$A24,'TJ List'!$J:$J,"&lt;="&amp;$B24,'TJ List'!$D:$D,"MLB",'TJ List'!$S:$S,"&lt;2016")/COUNTIFS('TJ List'!$L:$L,"&gt;0",'TJ List'!$J:$J,"&gt;="&amp;$A24,'TJ List'!$J:$J,"&lt;="&amp;$B24,'TJ List'!$D:$D,"MLB",'TJ List'!$S:$S,"&lt;2016")</f>
        <v>17.31914894</v>
      </c>
      <c r="G24" s="84">
        <f>COUNTIFS('TJ List'!$K:$K,"&gt;0",'TJ List'!$J:$J,"&gt;="&amp;$A24,'TJ List'!$D:$D,"MLB",'TJ List'!$J:$J,"&lt;="&amp;$B24,'TJ List'!$S:$S,"&lt;2016")/COUNTIFS('TJ List'!$J:$J,"&gt;="&amp;$A24,'TJ List'!$J:$J,"&lt;="&amp;$B24,'TJ List'!$D:$D,"MLB",'TJ List'!$S:$S,"&lt;2016")</f>
        <v>0.7910447761</v>
      </c>
      <c r="H24" s="105">
        <f>COUNTIFS('TJ List'!$J:$J,"&gt;="&amp;$A24,'TJ List'!$J:$J,"&lt;="&amp;$B24,'TJ List'!$D:$D,"MLB",'TJ List'!$S:$S,"&lt;2016")</f>
        <v>67</v>
      </c>
      <c r="I24" s="60"/>
      <c r="J24" s="60"/>
      <c r="K24" s="60"/>
      <c r="L24" s="60"/>
      <c r="M24" s="60"/>
      <c r="N24" s="60"/>
    </row>
    <row r="25">
      <c r="A25" s="78">
        <v>26.0</v>
      </c>
      <c r="B25" s="79">
        <v>27.0</v>
      </c>
      <c r="C25" s="103">
        <f>SUMIFS('TJ List'!$L:$L,'TJ List'!$J:$J,"&gt;="&amp;$A25,'TJ List'!$J:$J,"&lt;="&amp;$B25,'TJ List'!$S:$S,"&lt;2016")/COUNTIFS('TJ List'!$L:$L,"&gt;0",'TJ List'!$J:$J,"&gt;="&amp;$A25,'TJ List'!$J:$J,"&lt;="&amp;$B25,'TJ List'!$S:$S,"&lt;2016")</f>
        <v>16.7826087</v>
      </c>
      <c r="D25" s="84">
        <f>COUNTIFS('TJ List'!$K:$K,"&gt;0",'TJ List'!$J:$J,"&gt;="&amp;$A25,'TJ List'!$J:$J,"&lt;="&amp;$B25,'TJ List'!$S:$S,"&lt;2016")/COUNTIFS('TJ List'!$J:$J,"&gt;="&amp;$A25,'TJ List'!$J:$J,"&lt;="&amp;$B25,'TJ List'!$S:$S,"&lt;2016")</f>
        <v>0.7166666667</v>
      </c>
      <c r="E25" s="104">
        <f>COUNTIFS('TJ List'!$J:$J,"&gt;="&amp;$A25,'TJ List'!$J:$J,"&lt;="&amp;$B25,'TJ List'!$S:$S,"&lt;2016")</f>
        <v>120</v>
      </c>
      <c r="F25" s="86">
        <f>SUMIFS('TJ List'!$L:$L,'TJ List'!$J:$J,"&gt;="&amp;$A25,'TJ List'!$J:$J,"&lt;="&amp;$B25,'TJ List'!$D:$D,"MLB",'TJ List'!$S:$S,"&lt;2016")/COUNTIFS('TJ List'!$L:$L,"&gt;0",'TJ List'!$J:$J,"&gt;="&amp;$A25,'TJ List'!$J:$J,"&lt;="&amp;$B25,'TJ List'!$D:$D,"MLB",'TJ List'!$S:$S,"&lt;2016")</f>
        <v>16.67346939</v>
      </c>
      <c r="G25" s="84">
        <f>COUNTIFS('TJ List'!$K:$K,"&gt;0",'TJ List'!$J:$J,"&gt;="&amp;$A25,'TJ List'!$D:$D,"MLB",'TJ List'!$J:$J,"&lt;="&amp;$B25,'TJ List'!$S:$S,"&lt;2016")/COUNTIFS('TJ List'!$J:$J,"&gt;="&amp;$A25,'TJ List'!$J:$J,"&lt;="&amp;$B25,'TJ List'!$D:$D,"MLB",'TJ List'!$S:$S,"&lt;2016")</f>
        <v>0.698630137</v>
      </c>
      <c r="H25" s="105">
        <f>COUNTIFS('TJ List'!$J:$J,"&gt;="&amp;$A25,'TJ List'!$J:$J,"&lt;="&amp;$B25,'TJ List'!$D:$D,"MLB",'TJ List'!$S:$S,"&lt;2016")</f>
        <v>73</v>
      </c>
      <c r="I25" s="60"/>
      <c r="J25" s="60"/>
      <c r="K25" s="60"/>
      <c r="L25" s="60"/>
      <c r="M25" s="60"/>
      <c r="N25" s="60"/>
    </row>
    <row r="26">
      <c r="A26" s="78">
        <v>28.0</v>
      </c>
      <c r="B26" s="79">
        <v>29.0</v>
      </c>
      <c r="C26" s="103">
        <f>SUMIFS('TJ List'!$L:$L,'TJ List'!$J:$J,"&gt;="&amp;$A26,'TJ List'!$J:$J,"&lt;="&amp;$B26,'TJ List'!$S:$S,"&lt;2016")/COUNTIFS('TJ List'!$L:$L,"&gt;0",'TJ List'!$J:$J,"&gt;="&amp;$A26,'TJ List'!$J:$J,"&lt;="&amp;$B26,'TJ List'!$S:$S,"&lt;2016")</f>
        <v>16.88571429</v>
      </c>
      <c r="D26" s="84">
        <f>COUNTIFS('TJ List'!$K:$K,"&gt;0",'TJ List'!$J:$J,"&gt;="&amp;$A26,'TJ List'!$J:$J,"&lt;="&amp;$B26,'TJ List'!$S:$S,"&lt;2016")/COUNTIFS('TJ List'!$J:$J,"&gt;="&amp;$A26,'TJ List'!$J:$J,"&lt;="&amp;$B26,'TJ List'!$S:$S,"&lt;2016")</f>
        <v>0.7053571429</v>
      </c>
      <c r="E26" s="104">
        <f>COUNTIFS('TJ List'!$J:$J,"&gt;="&amp;$A26,'TJ List'!$J:$J,"&lt;="&amp;$B26,'TJ List'!$S:$S,"&lt;2016")</f>
        <v>112</v>
      </c>
      <c r="F26" s="86">
        <f>SUMIFS('TJ List'!$L:$L,'TJ List'!$J:$J,"&gt;="&amp;$A26,'TJ List'!$J:$J,"&lt;="&amp;$B26,'TJ List'!$D:$D,"MLB",'TJ List'!$S:$S,"&lt;2016")/COUNTIFS('TJ List'!$L:$L,"&gt;0",'TJ List'!$J:$J,"&gt;="&amp;$A26,'TJ List'!$J:$J,"&lt;="&amp;$B26,'TJ List'!$D:$D,"MLB",'TJ List'!$S:$S,"&lt;2016")</f>
        <v>16.8</v>
      </c>
      <c r="G26" s="84">
        <f>COUNTIFS('TJ List'!$K:$K,"&gt;0",'TJ List'!$J:$J,"&gt;="&amp;$A26,'TJ List'!$D:$D,"MLB",'TJ List'!$J:$J,"&lt;="&amp;$B26,'TJ List'!$S:$S,"&lt;2016")/COUNTIFS('TJ List'!$J:$J,"&gt;="&amp;$A26,'TJ List'!$J:$J,"&lt;="&amp;$B26,'TJ List'!$D:$D,"MLB",'TJ List'!$S:$S,"&lt;2016")</f>
        <v>0.7263157895</v>
      </c>
      <c r="H26" s="105">
        <f>COUNTIFS('TJ List'!$J:$J,"&gt;="&amp;$A26,'TJ List'!$J:$J,"&lt;="&amp;$B26,'TJ List'!$D:$D,"MLB",'TJ List'!$S:$S,"&lt;2016")</f>
        <v>95</v>
      </c>
      <c r="I26" s="60"/>
      <c r="J26" s="60"/>
      <c r="K26" s="60"/>
      <c r="L26" s="60"/>
      <c r="M26" s="60"/>
      <c r="N26" s="60"/>
    </row>
    <row r="27">
      <c r="A27" s="78">
        <v>30.0</v>
      </c>
      <c r="B27" s="79">
        <v>31.0</v>
      </c>
      <c r="C27" s="103">
        <f>SUMIFS('TJ List'!$L:$L,'TJ List'!$J:$J,"&gt;="&amp;$A27,'TJ List'!$J:$J,"&lt;="&amp;$B27,'TJ List'!$S:$S,"&lt;2016")/COUNTIFS('TJ List'!$L:$L,"&gt;0",'TJ List'!$J:$J,"&gt;="&amp;$A27,'TJ List'!$J:$J,"&lt;="&amp;$B27,'TJ List'!$S:$S,"&lt;2016")</f>
        <v>18.425</v>
      </c>
      <c r="D27" s="84">
        <f>COUNTIFS('TJ List'!$K:$K,"&gt;0",'TJ List'!$J:$J,"&gt;="&amp;$A27,'TJ List'!$J:$J,"&lt;="&amp;$B27,'TJ List'!$S:$S,"&lt;2016")/COUNTIFS('TJ List'!$J:$J,"&gt;="&amp;$A27,'TJ List'!$J:$J,"&lt;="&amp;$B27,'TJ List'!$S:$S,"&lt;2016")</f>
        <v>0.8301886792</v>
      </c>
      <c r="E27" s="104">
        <f>COUNTIFS('TJ List'!$J:$J,"&gt;="&amp;$A27,'TJ List'!$J:$J,"&lt;="&amp;$B27,'TJ List'!$S:$S,"&lt;2016")</f>
        <v>53</v>
      </c>
      <c r="F27" s="86">
        <f>SUMIFS('TJ List'!$L:$L,'TJ List'!$J:$J,"&gt;="&amp;$A27,'TJ List'!$J:$J,"&lt;="&amp;$B27,'TJ List'!$D:$D,"MLB",'TJ List'!$S:$S,"&lt;2016")/COUNTIFS('TJ List'!$L:$L,"&gt;0",'TJ List'!$J:$J,"&gt;="&amp;$A27,'TJ List'!$J:$J,"&lt;="&amp;$B27,'TJ List'!$D:$D,"MLB",'TJ List'!$S:$S,"&lt;2016")</f>
        <v>18.48648649</v>
      </c>
      <c r="G27" s="84">
        <f>COUNTIFS('TJ List'!$K:$K,"&gt;0",'TJ List'!$J:$J,"&gt;="&amp;$A27,'TJ List'!$D:$D,"MLB",'TJ List'!$J:$J,"&lt;="&amp;$B27,'TJ List'!$S:$S,"&lt;2016")/COUNTIFS('TJ List'!$J:$J,"&gt;="&amp;$A27,'TJ List'!$J:$J,"&lt;="&amp;$B27,'TJ List'!$D:$D,"MLB",'TJ List'!$S:$S,"&lt;2016")</f>
        <v>0.829787234</v>
      </c>
      <c r="H27" s="105">
        <f>COUNTIFS('TJ List'!$J:$J,"&gt;="&amp;$A27,'TJ List'!$J:$J,"&lt;="&amp;$B27,'TJ List'!$D:$D,"MLB",'TJ List'!$S:$S,"&lt;2016")</f>
        <v>47</v>
      </c>
      <c r="I27" s="60"/>
      <c r="J27" s="60"/>
      <c r="K27" s="60"/>
      <c r="L27" s="60"/>
      <c r="M27" s="60"/>
      <c r="N27" s="60"/>
    </row>
    <row r="28">
      <c r="A28" s="78">
        <v>32.0</v>
      </c>
      <c r="B28" s="79">
        <v>33.0</v>
      </c>
      <c r="C28" s="103">
        <f>SUMIFS('TJ List'!$L:$L,'TJ List'!$J:$J,"&gt;="&amp;$A28,'TJ List'!$J:$J,"&lt;="&amp;$B28,'TJ List'!$S:$S,"&lt;2016")/COUNTIFS('TJ List'!$L:$L,"&gt;0",'TJ List'!$J:$J,"&gt;="&amp;$A28,'TJ List'!$J:$J,"&lt;="&amp;$B28,'TJ List'!$S:$S,"&lt;2016")</f>
        <v>15.4</v>
      </c>
      <c r="D28" s="84">
        <f>COUNTIFS('TJ List'!$K:$K,"&gt;0",'TJ List'!$J:$J,"&gt;="&amp;$A28,'TJ List'!$J:$J,"&lt;="&amp;$B28,'TJ List'!$S:$S,"&lt;2016")/COUNTIFS('TJ List'!$J:$J,"&gt;="&amp;$A28,'TJ List'!$J:$J,"&lt;="&amp;$B28,'TJ List'!$S:$S,"&lt;2016")</f>
        <v>0.7837837838</v>
      </c>
      <c r="E28" s="104">
        <f>COUNTIFS('TJ List'!$J:$J,"&gt;="&amp;$A28,'TJ List'!$J:$J,"&lt;="&amp;$B28,'TJ List'!$S:$S,"&lt;2016")</f>
        <v>37</v>
      </c>
      <c r="F28" s="86">
        <f>SUMIFS('TJ List'!$L:$L,'TJ List'!$J:$J,"&gt;="&amp;$A28,'TJ List'!$J:$J,"&lt;="&amp;$B28,'TJ List'!$D:$D,"MLB",'TJ List'!$S:$S,"&lt;2016")/COUNTIFS('TJ List'!$L:$L,"&gt;0",'TJ List'!$J:$J,"&gt;="&amp;$A28,'TJ List'!$J:$J,"&lt;="&amp;$B28,'TJ List'!$D:$D,"MLB",'TJ List'!$S:$S,"&lt;2016")</f>
        <v>15.69565217</v>
      </c>
      <c r="G28" s="84">
        <f>COUNTIFS('TJ List'!$K:$K,"&gt;0",'TJ List'!$J:$J,"&gt;="&amp;$A28,'TJ List'!$D:$D,"MLB",'TJ List'!$J:$J,"&lt;="&amp;$B28,'TJ List'!$S:$S,"&lt;2016")/COUNTIFS('TJ List'!$J:$J,"&gt;="&amp;$A28,'TJ List'!$J:$J,"&lt;="&amp;$B28,'TJ List'!$D:$D,"MLB",'TJ List'!$S:$S,"&lt;2016")</f>
        <v>0.8333333333</v>
      </c>
      <c r="H28" s="105">
        <f>COUNTIFS('TJ List'!$J:$J,"&gt;="&amp;$A28,'TJ List'!$J:$J,"&lt;="&amp;$B28,'TJ List'!$D:$D,"MLB",'TJ List'!$S:$S,"&lt;2016")</f>
        <v>30</v>
      </c>
      <c r="I28" s="60"/>
      <c r="J28" s="60"/>
      <c r="K28" s="60"/>
      <c r="L28" s="60"/>
      <c r="M28" s="60"/>
      <c r="N28" s="60"/>
    </row>
    <row r="29">
      <c r="A29" s="78">
        <v>34.0</v>
      </c>
      <c r="B29" s="79">
        <v>35.0</v>
      </c>
      <c r="C29" s="103">
        <f>SUMIFS('TJ List'!$L:$L,'TJ List'!$J:$J,"&gt;="&amp;$A29,'TJ List'!$J:$J,"&lt;="&amp;$B29,'TJ List'!$S:$S,"&lt;2016")/COUNTIFS('TJ List'!$L:$L,"&gt;0",'TJ List'!$J:$J,"&gt;="&amp;$A29,'TJ List'!$J:$J,"&lt;="&amp;$B29,'TJ List'!$S:$S,"&lt;2016")</f>
        <v>18.5625</v>
      </c>
      <c r="D29" s="84">
        <f>COUNTIFS('TJ List'!$K:$K,"&gt;0",'TJ List'!$J:$J,"&gt;="&amp;$A29,'TJ List'!$J:$J,"&lt;="&amp;$B29,'TJ List'!$S:$S,"&lt;2016")/COUNTIFS('TJ List'!$J:$J,"&gt;="&amp;$A29,'TJ List'!$J:$J,"&lt;="&amp;$B29,'TJ List'!$S:$S,"&lt;2016")</f>
        <v>0.6551724138</v>
      </c>
      <c r="E29" s="104">
        <f>COUNTIFS('TJ List'!$J:$J,"&gt;="&amp;$A29,'TJ List'!$J:$J,"&lt;="&amp;$B29,'TJ List'!$S:$S,"&lt;2016")</f>
        <v>29</v>
      </c>
      <c r="F29" s="86">
        <f>SUMIFS('TJ List'!$L:$L,'TJ List'!$J:$J,"&gt;="&amp;$A29,'TJ List'!$J:$J,"&lt;="&amp;$B29,'TJ List'!$D:$D,"MLB",'TJ List'!$S:$S,"&lt;2016")/COUNTIFS('TJ List'!$L:$L,"&gt;0",'TJ List'!$J:$J,"&gt;="&amp;$A29,'TJ List'!$J:$J,"&lt;="&amp;$B29,'TJ List'!$D:$D,"MLB",'TJ List'!$S:$S,"&lt;2016")</f>
        <v>18.5625</v>
      </c>
      <c r="G29" s="84">
        <f>COUNTIFS('TJ List'!$K:$K,"&gt;0",'TJ List'!$J:$J,"&gt;="&amp;$A29,'TJ List'!$D:$D,"MLB",'TJ List'!$J:$J,"&lt;="&amp;$B29,'TJ List'!$S:$S,"&lt;2016")/COUNTIFS('TJ List'!$J:$J,"&gt;="&amp;$A29,'TJ List'!$J:$J,"&lt;="&amp;$B29,'TJ List'!$D:$D,"MLB",'TJ List'!$S:$S,"&lt;2016")</f>
        <v>0.6551724138</v>
      </c>
      <c r="H29" s="105">
        <f>COUNTIFS('TJ List'!$J:$J,"&gt;="&amp;$A29,'TJ List'!$J:$J,"&lt;="&amp;$B29,'TJ List'!$D:$D,"MLB",'TJ List'!$S:$S,"&lt;2016")</f>
        <v>29</v>
      </c>
      <c r="I29" s="60"/>
      <c r="J29" s="60"/>
      <c r="K29" s="60"/>
      <c r="L29" s="60"/>
      <c r="M29" s="60"/>
      <c r="N29" s="60"/>
    </row>
    <row r="30">
      <c r="A30" s="108">
        <v>36.0</v>
      </c>
      <c r="B30" s="109">
        <v>50.0</v>
      </c>
      <c r="C30" s="110">
        <f>SUMIFS('TJ List'!$L:$L,'TJ List'!$J:$J,"&gt;="&amp;$A30,'TJ List'!$J:$J,"&lt;="&amp;$B30,'TJ List'!$S:$S,"&lt;2016")/COUNTIFS('TJ List'!$L:$L,"&gt;0",'TJ List'!$J:$J,"&gt;="&amp;$A30,'TJ List'!$J:$J,"&lt;="&amp;$B30,'TJ List'!$S:$S,"&lt;2016")</f>
        <v>14.07142857</v>
      </c>
      <c r="D30" s="111">
        <f>COUNTIFS('TJ List'!$K:$K,"&gt;0",'TJ List'!$J:$J,"&gt;="&amp;$A30,'TJ List'!$J:$J,"&lt;="&amp;$B30,'TJ List'!$S:$S,"&lt;2016")/COUNTIFS('TJ List'!$J:$J,"&gt;="&amp;$A30,'TJ List'!$J:$J,"&lt;="&amp;$B30,'TJ List'!$S:$S,"&lt;2016")</f>
        <v>0.8235294118</v>
      </c>
      <c r="E30" s="112">
        <f>COUNTIFS('TJ List'!$J:$J,"&gt;="&amp;$A30,'TJ List'!$J:$J,"&lt;="&amp;$B30,'TJ List'!$S:$S,"&lt;2016")</f>
        <v>17</v>
      </c>
      <c r="F30" s="86">
        <f>SUMIFS('TJ List'!$L:$L,'TJ List'!$J:$J,"&gt;="&amp;$A30,'TJ List'!$J:$J,"&lt;="&amp;$B30,'TJ List'!$D:$D,"MLB",'TJ List'!$S:$S,"&lt;2016")/COUNTIFS('TJ List'!$L:$L,"&gt;0",'TJ List'!$J:$J,"&gt;="&amp;$A30,'TJ List'!$J:$J,"&lt;="&amp;$B30,'TJ List'!$D:$D,"MLB",'TJ List'!$S:$S,"&lt;2016")</f>
        <v>14.23076923</v>
      </c>
      <c r="G30" s="111">
        <f>COUNTIFS('TJ List'!$K:$K,"&gt;0",'TJ List'!$J:$J,"&gt;="&amp;$A30,'TJ List'!$D:$D,"MLB",'TJ List'!$J:$J,"&lt;="&amp;$B30,'TJ List'!$S:$S,"&lt;2016")/COUNTIFS('TJ List'!$J:$J,"&gt;="&amp;$A30,'TJ List'!$J:$J,"&lt;="&amp;$B30,'TJ List'!$D:$D,"MLB",'TJ List'!$S:$S,"&lt;2016")</f>
        <v>0.8125</v>
      </c>
      <c r="H30" s="113">
        <f>COUNTIFS('TJ List'!$J:$J,"&gt;="&amp;$A30,'TJ List'!$J:$J,"&lt;="&amp;$B30,'TJ List'!$D:$D,"MLB",'TJ List'!$S:$S,"&lt;2016")</f>
        <v>16</v>
      </c>
      <c r="I30" s="60"/>
      <c r="J30" s="60"/>
      <c r="K30" s="60"/>
      <c r="L30" s="60"/>
      <c r="M30" s="60"/>
      <c r="N30" s="60"/>
    </row>
    <row r="31">
      <c r="A31" s="114" t="s">
        <v>2524</v>
      </c>
      <c r="B31" s="92"/>
      <c r="C31" s="115">
        <f>SUMIFS('TJ List'!$L:$L,'TJ List'!$J:$J,"&gt;=12",'TJ List'!$J:$J,"&lt;=50",'TJ List'!$S:$S,"&lt;2016")/COUNTIFS('TJ List'!$L:$L,"&gt;0",'TJ List'!$J:$J,"&gt;=12",'TJ List'!$J:$J,"&lt;=50",'TJ List'!$S:$S,"&lt;2016")</f>
        <v>16.78104575</v>
      </c>
      <c r="D31" s="116">
        <f>COUNTIFS('TJ List'!$K:$K,"&gt;0",'TJ List'!$J:$J,"&gt;=12",'TJ List'!$J:$J,"&lt;=50",'TJ List'!$S:$S,"&lt;2016")/COUNTIFS('TJ List'!$J:$J,"&gt;=12",'TJ List'!$J:$J,"&lt;=50",'TJ List'!$S:$S,"&lt;2016")</f>
        <v>0.8313349321</v>
      </c>
      <c r="E31" s="117">
        <f>COUNTIFS('TJ List'!$J:$J,"&gt;=12",'TJ List'!$J:$J,"&lt;=50",'TJ List'!$S:$S,"&lt;2016")</f>
        <v>1251</v>
      </c>
      <c r="F31" s="118">
        <f>SUMIFS('TJ List'!$L:$L,'TJ List'!$J:$J,"&gt;=12",'TJ List'!$J:$J,"&lt;=50",'TJ List'!$D:$D,"MLB",'TJ List'!$S:$S,"&lt;2016")/COUNTIFS('TJ List'!$L:$L,"&gt;0",'TJ List'!$J:$J,"&gt;=12",'TJ List'!$J:$J,"&lt;=50",'TJ List'!$D:$D,"MLB",'TJ List'!$S:$S,"&lt;2016")</f>
        <v>17.36267606</v>
      </c>
      <c r="G31" s="116">
        <f>COUNTIFS('TJ List'!$K:$K,"&gt;0",'TJ List'!$J:$J,"&gt;=12",'TJ List'!$D:$D,"MLB",'TJ List'!$J:$J,"&lt;=50",'TJ List'!$S:$S,"&lt;2016")/COUNTIFS('TJ List'!$J:$J,"&gt;=12",'TJ List'!$J:$J,"&lt;=50",'TJ List'!$D:$D,"MLB",'TJ List'!$S:$S,"&lt;2016")</f>
        <v>0.7680798005</v>
      </c>
      <c r="H31" s="117">
        <f>COUNTIFS('TJ List'!$J:$J,"&gt;=12",'TJ List'!$J:$J,"&lt;=50",'TJ List'!$D:$D,"MLB",'TJ List'!$S:$S,"&lt;2016")</f>
        <v>401</v>
      </c>
      <c r="I31" s="60"/>
      <c r="J31" s="60"/>
      <c r="K31" s="60"/>
      <c r="L31" s="60"/>
      <c r="M31" s="60"/>
      <c r="N31" s="60"/>
    </row>
    <row r="32">
      <c r="A32" s="4"/>
      <c r="I32" s="60"/>
      <c r="J32" s="60"/>
      <c r="K32" s="60"/>
      <c r="L32" s="60"/>
      <c r="M32" s="60"/>
      <c r="N32" s="60"/>
    </row>
    <row r="33">
      <c r="I33" s="60"/>
      <c r="J33" s="60"/>
      <c r="K33" s="60"/>
      <c r="L33" s="60"/>
      <c r="M33" s="60"/>
      <c r="N33" s="60"/>
    </row>
    <row r="34">
      <c r="I34" s="60"/>
      <c r="J34" s="60"/>
      <c r="K34" s="60"/>
      <c r="L34" s="60"/>
      <c r="M34" s="60"/>
      <c r="N34" s="60"/>
    </row>
    <row r="35">
      <c r="I35" s="60"/>
      <c r="J35" s="60"/>
      <c r="K35" s="60"/>
      <c r="L35" s="60"/>
      <c r="M35" s="60"/>
      <c r="N35" s="60"/>
    </row>
    <row r="36">
      <c r="I36" s="60"/>
      <c r="J36" s="60"/>
      <c r="K36" s="60"/>
      <c r="L36" s="60"/>
      <c r="M36" s="60"/>
      <c r="N36" s="60"/>
    </row>
    <row r="37">
      <c r="I37" s="60"/>
      <c r="J37" s="60"/>
      <c r="K37" s="60"/>
      <c r="L37" s="60"/>
      <c r="M37" s="60"/>
      <c r="N37" s="60"/>
    </row>
    <row r="38">
      <c r="I38" s="60"/>
      <c r="J38" s="60"/>
      <c r="K38" s="60"/>
      <c r="L38" s="60"/>
      <c r="M38" s="60"/>
      <c r="N38" s="60"/>
    </row>
    <row r="39">
      <c r="I39" s="60"/>
      <c r="J39" s="60"/>
      <c r="K39" s="60"/>
      <c r="L39" s="60"/>
      <c r="M39" s="60"/>
      <c r="N39" s="60"/>
    </row>
    <row r="40">
      <c r="I40" s="60"/>
      <c r="J40" s="60"/>
      <c r="K40" s="60"/>
      <c r="L40" s="60"/>
      <c r="M40" s="60"/>
      <c r="N40" s="60"/>
    </row>
    <row r="41">
      <c r="I41" s="60"/>
      <c r="J41" s="60"/>
      <c r="K41" s="60"/>
      <c r="L41" s="60"/>
      <c r="M41" s="60"/>
      <c r="N41" s="60"/>
    </row>
    <row r="42">
      <c r="I42" s="60"/>
      <c r="J42" s="60"/>
      <c r="K42" s="60"/>
      <c r="L42" s="60"/>
      <c r="M42" s="60"/>
      <c r="N42" s="60"/>
    </row>
    <row r="43">
      <c r="I43" s="60"/>
      <c r="J43" s="60"/>
      <c r="K43" s="60"/>
      <c r="L43" s="60"/>
      <c r="M43" s="60"/>
      <c r="N43" s="60"/>
    </row>
  </sheetData>
  <mergeCells count="13">
    <mergeCell ref="F18:H18"/>
    <mergeCell ref="C18:E18"/>
    <mergeCell ref="A31:B31"/>
    <mergeCell ref="G4:K4"/>
    <mergeCell ref="A1:N1"/>
    <mergeCell ref="C4:F4"/>
    <mergeCell ref="A4:A5"/>
    <mergeCell ref="B4:B5"/>
    <mergeCell ref="A18:A19"/>
    <mergeCell ref="A15:B15"/>
    <mergeCell ref="B18:B19"/>
    <mergeCell ref="L4:N4"/>
    <mergeCell ref="A17:H17"/>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1" max="1" width="48.57"/>
    <col customWidth="1" min="2" max="2" width="5.0"/>
    <col customWidth="1" min="3" max="3" width="5.57"/>
    <col customWidth="1" min="4" max="4" width="5.29"/>
    <col customWidth="1" min="5" max="5" width="5.43"/>
    <col customWidth="1" min="6" max="6" width="15.0"/>
    <col customWidth="1" min="7" max="7" width="19.0"/>
  </cols>
  <sheetData>
    <row r="1">
      <c r="A1" s="7" t="s">
        <v>2553</v>
      </c>
    </row>
    <row r="2">
      <c r="A2" s="17" t="s">
        <v>17</v>
      </c>
      <c r="B2" s="7" t="s">
        <v>51</v>
      </c>
      <c r="C2" s="7" t="s">
        <v>1094</v>
      </c>
      <c r="D2" s="7" t="s">
        <v>1095</v>
      </c>
      <c r="E2" s="7" t="s">
        <v>1096</v>
      </c>
      <c r="F2" s="7" t="s">
        <v>2554</v>
      </c>
      <c r="G2" s="7" t="s">
        <v>2555</v>
      </c>
    </row>
    <row r="3">
      <c r="A3" s="4" t="s">
        <v>59</v>
      </c>
      <c r="B3" s="11">
        <f>COUNTIFS('TJ List'!O:O,A3,'TJ List'!D:D,"MLB")</f>
        <v>132</v>
      </c>
      <c r="C3" s="14">
        <f>COUNTIFS('TJ List'!O:O,A3,'TJ List'!D:D,"AAA")+COUNTIFS('TJ List'!O:O,A3,'TJ List'!D:D,"AA")+COUNTIFS('TJ List'!O:O,A3,'TJ List'!D:D,"A+")+COUNTIFS('TJ List'!O:O,A3,'TJ List'!D:D,"A")+COUNTIFS('TJ List'!O:O,A3,'TJ List'!D:D,"A-")+COUNTIFS('TJ List'!O:O,A3,'TJ List'!D:D,"Rk")</f>
        <v>27</v>
      </c>
      <c r="D3" s="14">
        <f>COUNTIFS('TJ List'!O:O,A3,'TJ List'!D:D,"Coll")+COUNTIFS('TJ List'!O:O,A3,'TJ List'!D:D,"HS")</f>
        <v>16</v>
      </c>
      <c r="E3" s="14">
        <f t="shared" ref="E3:E35" si="1">SUM(B3:D3)</f>
        <v>175</v>
      </c>
      <c r="F3" s="119">
        <f>IF(COUNTIFS('TJ List'!$O:$O,A3,'TJ List'!$B:$B,"&lt;"&amp;$B$38,'TJ List'!$D:$D,"MLB")&gt;0,COUNTIFS('TJ List'!$O:$O,A3,'TJ List'!$B:$B,"&lt;"&amp;$B$38,'TJ List'!$D:$D,"MLB",'TJ List'!$K:$K,"&gt;0")/COUNTIFS('TJ List'!$O:$O,A3,'TJ List'!$B:$B,"&lt;"&amp;$B$38,'TJ List'!$D:$D,"MLB"),"N/A")</f>
        <v>0.8292682927</v>
      </c>
      <c r="G3" s="119">
        <f>COUNTIFS('Repeat TJ List'!E:E,A3)/E3</f>
        <v>0.09142857143</v>
      </c>
    </row>
    <row r="4">
      <c r="A4" s="4" t="s">
        <v>704</v>
      </c>
      <c r="B4" s="11">
        <f>COUNTIFS('TJ List'!O:O,A4,'TJ List'!D:D,"MLB")</f>
        <v>71</v>
      </c>
      <c r="C4" s="14">
        <f>COUNTIFS('TJ List'!O:O,A4,'TJ List'!D:D,"AAA")+COUNTIFS('TJ List'!O:O,A4,'TJ List'!D:D,"AA")+COUNTIFS('TJ List'!O:O,A4,'TJ List'!D:D,"A+")+COUNTIFS('TJ List'!O:O,A4,'TJ List'!D:D,"A")+COUNTIFS('TJ List'!O:O,A4,'TJ List'!D:D,"A-")+COUNTIFS('TJ List'!O:O,A4,'TJ List'!D:D,"Rk")</f>
        <v>8</v>
      </c>
      <c r="D4" s="14">
        <f>COUNTIFS('TJ List'!O:O,A4,'TJ List'!D:D,"Coll")+COUNTIFS('TJ List'!O:O,A4,'TJ List'!D:D,"HS")</f>
        <v>4</v>
      </c>
      <c r="E4" s="14">
        <f t="shared" si="1"/>
        <v>83</v>
      </c>
      <c r="F4" s="119">
        <f>IF(COUNTIFS('TJ List'!$O:$O,A4,'TJ List'!$B:$B,"&lt;"&amp;$B$38,'TJ List'!$D:$D,"MLB")&gt;0,COUNTIFS('TJ List'!$O:$O,A4,'TJ List'!$B:$B,"&lt;"&amp;$B$38,'TJ List'!$D:$D,"MLB",'TJ List'!$K:$K,"&gt;0")/COUNTIFS('TJ List'!$O:$O,A4,'TJ List'!$B:$B,"&lt;"&amp;$B$38,'TJ List'!$D:$D,"MLB"),"N/A")</f>
        <v>0.8169014085</v>
      </c>
      <c r="G4" s="119">
        <f>COUNTIFS('Repeat TJ List'!E:E,A4)/E4</f>
        <v>0.09638554217</v>
      </c>
    </row>
    <row r="5">
      <c r="A5" s="4" t="s">
        <v>2252</v>
      </c>
      <c r="B5" s="11">
        <f>COUNTIFS('TJ List'!O:O,A5,'TJ List'!D:D,"MLB")</f>
        <v>27</v>
      </c>
      <c r="C5" s="14">
        <f>COUNTIFS('TJ List'!O:O,A5,'TJ List'!D:D,"AAA")+COUNTIFS('TJ List'!O:O,A5,'TJ List'!D:D,"AA")+COUNTIFS('TJ List'!O:O,A5,'TJ List'!D:D,"A+")+COUNTIFS('TJ List'!O:O,A5,'TJ List'!D:D,"A")+COUNTIFS('TJ List'!O:O,A5,'TJ List'!D:D,"A-")+COUNTIFS('TJ List'!O:O,A5,'TJ List'!D:D,"Rk")</f>
        <v>5</v>
      </c>
      <c r="D5" s="14">
        <f>COUNTIFS('TJ List'!O:O,A5,'TJ List'!D:D,"Coll")+COUNTIFS('TJ List'!O:O,A5,'TJ List'!D:D,"HS")</f>
        <v>1</v>
      </c>
      <c r="E5" s="14">
        <f t="shared" si="1"/>
        <v>33</v>
      </c>
      <c r="F5" s="119">
        <f>IF(COUNTIFS('TJ List'!$O:$O,A5,'TJ List'!$B:$B,"&lt;"&amp;$B$38,'TJ List'!$D:$D,"MLB")&gt;0,COUNTIFS('TJ List'!$O:$O,A5,'TJ List'!$B:$B,"&lt;"&amp;$B$38,'TJ List'!$D:$D,"MLB",'TJ List'!$K:$K,"&gt;0")/COUNTIFS('TJ List'!$O:$O,A5,'TJ List'!$B:$B,"&lt;"&amp;$B$38,'TJ List'!$D:$D,"MLB"),"N/A")</f>
        <v>0.8148148148</v>
      </c>
      <c r="G5" s="119">
        <f>COUNTIFS('Repeat TJ List'!E:E,A5)/E5</f>
        <v>0.09090909091</v>
      </c>
    </row>
    <row r="6">
      <c r="A6" s="4" t="s">
        <v>287</v>
      </c>
      <c r="B6" s="11">
        <f>COUNTIFS('TJ List'!O:O,A6,'TJ List'!D:D,"MLB")</f>
        <v>25</v>
      </c>
      <c r="C6" s="14">
        <f>COUNTIFS('TJ List'!O:O,A6,'TJ List'!D:D,"AAA")+COUNTIFS('TJ List'!O:O,A6,'TJ List'!D:D,"AA")+COUNTIFS('TJ List'!O:O,A6,'TJ List'!D:D,"A+")+COUNTIFS('TJ List'!O:O,A6,'TJ List'!D:D,"A")+COUNTIFS('TJ List'!O:O,A6,'TJ List'!D:D,"A-")+COUNTIFS('TJ List'!O:O,A6,'TJ List'!D:D,"Rk")</f>
        <v>10</v>
      </c>
      <c r="D6" s="14">
        <f>COUNTIFS('TJ List'!O:O,A6,'TJ List'!D:D,"Coll")+COUNTIFS('TJ List'!O:O,A6,'TJ List'!D:D,"HS")</f>
        <v>2</v>
      </c>
      <c r="E6" s="14">
        <f t="shared" si="1"/>
        <v>37</v>
      </c>
      <c r="F6" s="119">
        <f>IF(COUNTIFS('TJ List'!$O:$O,A6,'TJ List'!$B:$B,"&lt;"&amp;$B$38,'TJ List'!$D:$D,"MLB")&gt;0,COUNTIFS('TJ List'!$O:$O,A6,'TJ List'!$B:$B,"&lt;"&amp;$B$38,'TJ List'!$D:$D,"MLB",'TJ List'!$K:$K,"&gt;0")/COUNTIFS('TJ List'!$O:$O,A6,'TJ List'!$B:$B,"&lt;"&amp;$B$38,'TJ List'!$D:$D,"MLB"),"N/A")</f>
        <v>0.6086956522</v>
      </c>
      <c r="G6" s="119">
        <f>COUNTIFS('Repeat TJ List'!E:E,A6)/E6</f>
        <v>0.1351351351</v>
      </c>
    </row>
    <row r="7">
      <c r="A7" s="4" t="s">
        <v>224</v>
      </c>
      <c r="B7" s="11">
        <f>COUNTIFS('TJ List'!O:O,A7,'TJ List'!D:D,"MLB")</f>
        <v>23</v>
      </c>
      <c r="C7" s="14">
        <f>COUNTIFS('TJ List'!O:O,A7,'TJ List'!D:D,"AAA")+COUNTIFS('TJ List'!O:O,A7,'TJ List'!D:D,"AA")+COUNTIFS('TJ List'!O:O,A7,'TJ List'!D:D,"A+")+COUNTIFS('TJ List'!O:O,A7,'TJ List'!D:D,"A")+COUNTIFS('TJ List'!O:O,A7,'TJ List'!D:D,"A-")+COUNTIFS('TJ List'!O:O,A7,'TJ List'!D:D,"Rk")</f>
        <v>1</v>
      </c>
      <c r="D7" s="14">
        <f>COUNTIFS('TJ List'!O:O,A7,'TJ List'!D:D,"Coll")+COUNTIFS('TJ List'!O:O,A7,'TJ List'!D:D,"HS")</f>
        <v>2</v>
      </c>
      <c r="E7" s="14">
        <f t="shared" si="1"/>
        <v>26</v>
      </c>
      <c r="F7" s="119">
        <f>IF(COUNTIFS('TJ List'!$O:$O,A7,'TJ List'!$B:$B,"&lt;"&amp;$B$38,'TJ List'!$D:$D,"MLB")&gt;0,COUNTIFS('TJ List'!$O:$O,A7,'TJ List'!$B:$B,"&lt;"&amp;$B$38,'TJ List'!$D:$D,"MLB",'TJ List'!$K:$K,"&gt;0")/COUNTIFS('TJ List'!$O:$O,A7,'TJ List'!$B:$B,"&lt;"&amp;$B$38,'TJ List'!$D:$D,"MLB"),"N/A")</f>
        <v>0.8</v>
      </c>
      <c r="G7" s="119">
        <f>COUNTIFS('Repeat TJ List'!E:E,A7)/E7</f>
        <v>0.03846153846</v>
      </c>
    </row>
    <row r="8">
      <c r="A8" s="4" t="s">
        <v>188</v>
      </c>
      <c r="B8" s="11">
        <f>COUNTIFS('TJ List'!O:O,A8,'TJ List'!D:D,"MLB")</f>
        <v>17</v>
      </c>
      <c r="C8" s="14">
        <f>COUNTIFS('TJ List'!O:O,A8,'TJ List'!D:D,"AAA")+COUNTIFS('TJ List'!O:O,A8,'TJ List'!D:D,"AA")+COUNTIFS('TJ List'!O:O,A8,'TJ List'!D:D,"A+")+COUNTIFS('TJ List'!O:O,A8,'TJ List'!D:D,"A")+COUNTIFS('TJ List'!O:O,A8,'TJ List'!D:D,"A-")+COUNTIFS('TJ List'!O:O,A8,'TJ List'!D:D,"Rk")</f>
        <v>8</v>
      </c>
      <c r="D8" s="14">
        <f>COUNTIFS('TJ List'!O:O,A8,'TJ List'!D:D,"Coll")+COUNTIFS('TJ List'!O:O,A8,'TJ List'!D:D,"HS")</f>
        <v>3</v>
      </c>
      <c r="E8" s="14">
        <f t="shared" si="1"/>
        <v>28</v>
      </c>
      <c r="F8" s="119">
        <f>IF(COUNTIFS('TJ List'!$O:$O,A8,'TJ List'!$B:$B,"&lt;"&amp;$B$38,'TJ List'!$D:$D,"MLB")&gt;0,COUNTIFS('TJ List'!$O:$O,A8,'TJ List'!$B:$B,"&lt;"&amp;$B$38,'TJ List'!$D:$D,"MLB",'TJ List'!$K:$K,"&gt;0")/COUNTIFS('TJ List'!$O:$O,A8,'TJ List'!$B:$B,"&lt;"&amp;$B$38,'TJ List'!$D:$D,"MLB"),"N/A")</f>
        <v>0.6363636364</v>
      </c>
      <c r="G8" s="119">
        <f>COUNTIFS('Repeat TJ List'!E:E,A8)/E8</f>
        <v>0</v>
      </c>
    </row>
    <row r="9">
      <c r="A9" s="4" t="s">
        <v>404</v>
      </c>
      <c r="B9" s="11">
        <f>COUNTIFS('TJ List'!O:O,A9,'TJ List'!D:D,"MLB")</f>
        <v>10</v>
      </c>
      <c r="C9" s="14">
        <f>COUNTIFS('TJ List'!O:O,A9,'TJ List'!D:D,"AAA")+COUNTIFS('TJ List'!O:O,A9,'TJ List'!D:D,"AA")+COUNTIFS('TJ List'!O:O,A9,'TJ List'!D:D,"A+")+COUNTIFS('TJ List'!O:O,A9,'TJ List'!D:D,"A")+COUNTIFS('TJ List'!O:O,A9,'TJ List'!D:D,"A-")+COUNTIFS('TJ List'!O:O,A9,'TJ List'!D:D,"Rk")</f>
        <v>2</v>
      </c>
      <c r="D9" s="14">
        <f>COUNTIFS('TJ List'!O:O,A9,'TJ List'!D:D,"Coll")+COUNTIFS('TJ List'!O:O,A9,'TJ List'!D:D,"HS")</f>
        <v>1</v>
      </c>
      <c r="E9" s="14">
        <f t="shared" si="1"/>
        <v>13</v>
      </c>
      <c r="F9" s="119">
        <f>IF(COUNTIFS('TJ List'!$O:$O,A9,'TJ List'!$B:$B,"&lt;"&amp;$B$38,'TJ List'!$D:$D,"MLB")&gt;0,COUNTIFS('TJ List'!$O:$O,A9,'TJ List'!$B:$B,"&lt;"&amp;$B$38,'TJ List'!$D:$D,"MLB",'TJ List'!$K:$K,"&gt;0")/COUNTIFS('TJ List'!$O:$O,A9,'TJ List'!$B:$B,"&lt;"&amp;$B$38,'TJ List'!$D:$D,"MLB"),"N/A")</f>
        <v>0.8888888889</v>
      </c>
      <c r="G9" s="119">
        <f>COUNTIFS('Repeat TJ List'!E:E,A9)/E9</f>
        <v>0.07692307692</v>
      </c>
    </row>
    <row r="10">
      <c r="A10" s="4" t="s">
        <v>177</v>
      </c>
      <c r="B10" s="11">
        <f>COUNTIFS('TJ List'!O:O,A10,'TJ List'!D:D,"MLB")</f>
        <v>8</v>
      </c>
      <c r="C10" s="14">
        <f>COUNTIFS('TJ List'!O:O,A10,'TJ List'!D:D,"AAA")+COUNTIFS('TJ List'!O:O,A10,'TJ List'!D:D,"AA")+COUNTIFS('TJ List'!O:O,A10,'TJ List'!D:D,"A+")+COUNTIFS('TJ List'!O:O,A10,'TJ List'!D:D,"A")+COUNTIFS('TJ List'!O:O,A10,'TJ List'!D:D,"A-")+COUNTIFS('TJ List'!O:O,A10,'TJ List'!D:D,"Rk")</f>
        <v>3</v>
      </c>
      <c r="D10" s="14">
        <f>COUNTIFS('TJ List'!O:O,A10,'TJ List'!D:D,"Coll")+COUNTIFS('TJ List'!O:O,A10,'TJ List'!D:D,"HS")</f>
        <v>0</v>
      </c>
      <c r="E10" s="14">
        <f t="shared" si="1"/>
        <v>11</v>
      </c>
      <c r="F10" s="119">
        <f>IF(COUNTIFS('TJ List'!$O:$O,A10,'TJ List'!$B:$B,"&lt;"&amp;$B$38,'TJ List'!$D:$D,"MLB")&gt;0,COUNTIFS('TJ List'!$O:$O,A10,'TJ List'!$B:$B,"&lt;"&amp;$B$38,'TJ List'!$D:$D,"MLB",'TJ List'!$K:$K,"&gt;0")/COUNTIFS('TJ List'!$O:$O,A10,'TJ List'!$B:$B,"&lt;"&amp;$B$38,'TJ List'!$D:$D,"MLB"),"N/A")</f>
        <v>0.625</v>
      </c>
      <c r="G10" s="119">
        <f>COUNTIFS('Repeat TJ List'!E:E,A10)/E10</f>
        <v>0</v>
      </c>
    </row>
    <row r="11">
      <c r="A11" s="4" t="s">
        <v>102</v>
      </c>
      <c r="B11" s="11">
        <f>COUNTIFS('TJ List'!O:O,A11,'TJ List'!D:D,"MLB")</f>
        <v>7</v>
      </c>
      <c r="C11" s="14">
        <f>COUNTIFS('TJ List'!O:O,A11,'TJ List'!D:D,"AAA")+COUNTIFS('TJ List'!O:O,A11,'TJ List'!D:D,"AA")+COUNTIFS('TJ List'!O:O,A11,'TJ List'!D:D,"A+")+COUNTIFS('TJ List'!O:O,A11,'TJ List'!D:D,"A")+COUNTIFS('TJ List'!O:O,A11,'TJ List'!D:D,"A-")+COUNTIFS('TJ List'!O:O,A11,'TJ List'!D:D,"Rk")</f>
        <v>1</v>
      </c>
      <c r="D11" s="14">
        <f>COUNTIFS('TJ List'!O:O,A11,'TJ List'!D:D,"Coll")+COUNTIFS('TJ List'!O:O,A11,'TJ List'!D:D,"HS")</f>
        <v>0</v>
      </c>
      <c r="E11" s="14">
        <f t="shared" si="1"/>
        <v>8</v>
      </c>
      <c r="F11" s="119">
        <f>IF(COUNTIFS('TJ List'!$O:$O,A11,'TJ List'!$B:$B,"&lt;"&amp;$B$38,'TJ List'!$D:$D,"MLB")&gt;0,COUNTIFS('TJ List'!$O:$O,A11,'TJ List'!$B:$B,"&lt;"&amp;$B$38,'TJ List'!$D:$D,"MLB",'TJ List'!$K:$K,"&gt;0")/COUNTIFS('TJ List'!$O:$O,A11,'TJ List'!$B:$B,"&lt;"&amp;$B$38,'TJ List'!$D:$D,"MLB"),"N/A")</f>
        <v>0.5</v>
      </c>
      <c r="G11" s="119">
        <f>COUNTIFS('Repeat TJ List'!E:E,A11)/E11</f>
        <v>0.125</v>
      </c>
    </row>
    <row r="12">
      <c r="A12" s="4" t="s">
        <v>183</v>
      </c>
      <c r="B12" s="11">
        <f>COUNTIFS('TJ List'!O:O,A12,'TJ List'!D:D,"MLB")</f>
        <v>3</v>
      </c>
      <c r="C12" s="14">
        <f>COUNTIFS('TJ List'!O:O,A12,'TJ List'!D:D,"AAA")+COUNTIFS('TJ List'!O:O,A12,'TJ List'!D:D,"AA")+COUNTIFS('TJ List'!O:O,A12,'TJ List'!D:D,"A+")+COUNTIFS('TJ List'!O:O,A12,'TJ List'!D:D,"A")+COUNTIFS('TJ List'!O:O,A12,'TJ List'!D:D,"A-")+COUNTIFS('TJ List'!O:O,A12,'TJ List'!D:D,"Rk")</f>
        <v>2</v>
      </c>
      <c r="D12" s="14">
        <f>COUNTIFS('TJ List'!O:O,A12,'TJ List'!D:D,"Coll")+COUNTIFS('TJ List'!O:O,A12,'TJ List'!D:D,"HS")</f>
        <v>0</v>
      </c>
      <c r="E12" s="14">
        <f t="shared" si="1"/>
        <v>5</v>
      </c>
      <c r="F12" s="119">
        <f>IF(COUNTIFS('TJ List'!$O:$O,A12,'TJ List'!$B:$B,"&lt;"&amp;$B$38,'TJ List'!$D:$D,"MLB")&gt;0,COUNTIFS('TJ List'!$O:$O,A12,'TJ List'!$B:$B,"&lt;"&amp;$B$38,'TJ List'!$D:$D,"MLB",'TJ List'!$K:$K,"&gt;0")/COUNTIFS('TJ List'!$O:$O,A12,'TJ List'!$B:$B,"&lt;"&amp;$B$38,'TJ List'!$D:$D,"MLB"),"N/A")</f>
        <v>1</v>
      </c>
      <c r="G12" s="119">
        <f>COUNTIFS('Repeat TJ List'!E:E,A12)/E12</f>
        <v>0</v>
      </c>
    </row>
    <row r="13">
      <c r="A13" s="4" t="s">
        <v>817</v>
      </c>
      <c r="B13" s="11">
        <f>COUNTIFS('TJ List'!O:O,A13,'TJ List'!D:D,"MLB")</f>
        <v>3</v>
      </c>
      <c r="C13" s="14">
        <f>COUNTIFS('TJ List'!O:O,A13,'TJ List'!D:D,"AAA")+COUNTIFS('TJ List'!O:O,A13,'TJ List'!D:D,"AA")+COUNTIFS('TJ List'!O:O,A13,'TJ List'!D:D,"A+")+COUNTIFS('TJ List'!O:O,A13,'TJ List'!D:D,"A")+COUNTIFS('TJ List'!O:O,A13,'TJ List'!D:D,"A-")+COUNTIFS('TJ List'!O:O,A13,'TJ List'!D:D,"Rk")</f>
        <v>1</v>
      </c>
      <c r="D13" s="14">
        <f>COUNTIFS('TJ List'!O:O,A13,'TJ List'!D:D,"Coll")+COUNTIFS('TJ List'!O:O,A13,'TJ List'!D:D,"HS")</f>
        <v>0</v>
      </c>
      <c r="E13" s="14">
        <f t="shared" si="1"/>
        <v>4</v>
      </c>
      <c r="F13" s="119">
        <f>IF(COUNTIFS('TJ List'!$O:$O,A13,'TJ List'!$B:$B,"&lt;"&amp;$B$38,'TJ List'!$D:$D,"MLB")&gt;0,COUNTIFS('TJ List'!$O:$O,A13,'TJ List'!$B:$B,"&lt;"&amp;$B$38,'TJ List'!$D:$D,"MLB",'TJ List'!$K:$K,"&gt;0")/COUNTIFS('TJ List'!$O:$O,A13,'TJ List'!$B:$B,"&lt;"&amp;$B$38,'TJ List'!$D:$D,"MLB"),"N/A")</f>
        <v>0.3333333333</v>
      </c>
      <c r="G13" s="119">
        <f>COUNTIFS('Repeat TJ List'!E:E,A13)/E13</f>
        <v>0</v>
      </c>
    </row>
    <row r="14">
      <c r="A14" s="4" t="s">
        <v>383</v>
      </c>
      <c r="B14" s="11">
        <f>COUNTIFS('TJ List'!O:O,A14,'TJ List'!D:D,"MLB")</f>
        <v>3</v>
      </c>
      <c r="C14" s="14">
        <f>COUNTIFS('TJ List'!O:O,A14,'TJ List'!D:D,"AAA")+COUNTIFS('TJ List'!O:O,A14,'TJ List'!D:D,"AA")+COUNTIFS('TJ List'!O:O,A14,'TJ List'!D:D,"A+")+COUNTIFS('TJ List'!O:O,A14,'TJ List'!D:D,"A")+COUNTIFS('TJ List'!O:O,A14,'TJ List'!D:D,"A-")+COUNTIFS('TJ List'!O:O,A14,'TJ List'!D:D,"Rk")</f>
        <v>0</v>
      </c>
      <c r="D14" s="14">
        <f>COUNTIFS('TJ List'!O:O,A14,'TJ List'!D:D,"Coll")+COUNTIFS('TJ List'!O:O,A14,'TJ List'!D:D,"HS")</f>
        <v>0</v>
      </c>
      <c r="E14" s="14">
        <f t="shared" si="1"/>
        <v>3</v>
      </c>
      <c r="F14" s="119">
        <f>IF(COUNTIFS('TJ List'!$O:$O,A14,'TJ List'!$B:$B,"&lt;"&amp;$B$38,'TJ List'!$D:$D,"MLB")&gt;0,COUNTIFS('TJ List'!$O:$O,A14,'TJ List'!$B:$B,"&lt;"&amp;$B$38,'TJ List'!$D:$D,"MLB",'TJ List'!$K:$K,"&gt;0")/COUNTIFS('TJ List'!$O:$O,A14,'TJ List'!$B:$B,"&lt;"&amp;$B$38,'TJ List'!$D:$D,"MLB"),"N/A")</f>
        <v>1</v>
      </c>
      <c r="G14" s="119">
        <f>COUNTIFS('Repeat TJ List'!E:E,A14)/E14</f>
        <v>0</v>
      </c>
    </row>
    <row r="15">
      <c r="A15" s="4" t="s">
        <v>805</v>
      </c>
      <c r="B15" s="11">
        <f>COUNTIFS('TJ List'!O:O,A15,'TJ List'!D:D,"MLB")</f>
        <v>2</v>
      </c>
      <c r="C15" s="14">
        <f>COUNTIFS('TJ List'!O:O,A15,'TJ List'!D:D,"AAA")+COUNTIFS('TJ List'!O:O,A15,'TJ List'!D:D,"AA")+COUNTIFS('TJ List'!O:O,A15,'TJ List'!D:D,"A+")+COUNTIFS('TJ List'!O:O,A15,'TJ List'!D:D,"A")+COUNTIFS('TJ List'!O:O,A15,'TJ List'!D:D,"A-")+COUNTIFS('TJ List'!O:O,A15,'TJ List'!D:D,"Rk")</f>
        <v>2</v>
      </c>
      <c r="D15" s="14">
        <f>COUNTIFS('TJ List'!O:O,A15,'TJ List'!D:D,"Coll")+COUNTIFS('TJ List'!O:O,A15,'TJ List'!D:D,"HS")</f>
        <v>0</v>
      </c>
      <c r="E15" s="14">
        <f t="shared" si="1"/>
        <v>4</v>
      </c>
      <c r="F15" s="119">
        <f>IF(COUNTIFS('TJ List'!$O:$O,A15,'TJ List'!$B:$B,"&lt;"&amp;$B$38,'TJ List'!$D:$D,"MLB")&gt;0,COUNTIFS('TJ List'!$O:$O,A15,'TJ List'!$B:$B,"&lt;"&amp;$B$38,'TJ List'!$D:$D,"MLB",'TJ List'!$K:$K,"&gt;0")/COUNTIFS('TJ List'!$O:$O,A15,'TJ List'!$B:$B,"&lt;"&amp;$B$38,'TJ List'!$D:$D,"MLB"),"N/A")</f>
        <v>1</v>
      </c>
      <c r="G15" s="119">
        <f>COUNTIFS('Repeat TJ List'!E:E,A15)/E15</f>
        <v>0</v>
      </c>
    </row>
    <row r="16">
      <c r="A16" s="4" t="s">
        <v>863</v>
      </c>
      <c r="B16" s="11">
        <f>COUNTIFS('TJ List'!O:O,A16,'TJ List'!D:D,"MLB")</f>
        <v>2</v>
      </c>
      <c r="C16" s="14">
        <f>COUNTIFS('TJ List'!O:O,A16,'TJ List'!D:D,"AAA")+COUNTIFS('TJ List'!O:O,A16,'TJ List'!D:D,"AA")+COUNTIFS('TJ List'!O:O,A16,'TJ List'!D:D,"A+")+COUNTIFS('TJ List'!O:O,A16,'TJ List'!D:D,"A")+COUNTIFS('TJ List'!O:O,A16,'TJ List'!D:D,"A-")+COUNTIFS('TJ List'!O:O,A16,'TJ List'!D:D,"Rk")</f>
        <v>0</v>
      </c>
      <c r="D16" s="14">
        <f>COUNTIFS('TJ List'!O:O,A16,'TJ List'!D:D,"Coll")+COUNTIFS('TJ List'!O:O,A16,'TJ List'!D:D,"HS")</f>
        <v>0</v>
      </c>
      <c r="E16" s="14">
        <f t="shared" si="1"/>
        <v>2</v>
      </c>
      <c r="F16" s="119">
        <f>IF(COUNTIFS('TJ List'!$O:$O,A16,'TJ List'!$B:$B,"&lt;"&amp;$B$38,'TJ List'!$D:$D,"MLB")&gt;0,COUNTIFS('TJ List'!$O:$O,A16,'TJ List'!$B:$B,"&lt;"&amp;$B$38,'TJ List'!$D:$D,"MLB",'TJ List'!$K:$K,"&gt;0")/COUNTIFS('TJ List'!$O:$O,A16,'TJ List'!$B:$B,"&lt;"&amp;$B$38,'TJ List'!$D:$D,"MLB"),"N/A")</f>
        <v>0.5</v>
      </c>
      <c r="G16" s="119">
        <f>COUNTIFS('Repeat TJ List'!E:E,A16)/E16</f>
        <v>0</v>
      </c>
    </row>
    <row r="17">
      <c r="A17" s="4" t="s">
        <v>1651</v>
      </c>
      <c r="B17" s="11">
        <f>COUNTIFS('TJ List'!O:O,A17,'TJ List'!D:D,"MLB")</f>
        <v>1</v>
      </c>
      <c r="C17" s="14">
        <f>COUNTIFS('TJ List'!O:O,A17,'TJ List'!D:D,"AAA")+COUNTIFS('TJ List'!O:O,A17,'TJ List'!D:D,"AA")+COUNTIFS('TJ List'!O:O,A17,'TJ List'!D:D,"A+")+COUNTIFS('TJ List'!O:O,A17,'TJ List'!D:D,"A")+COUNTIFS('TJ List'!O:O,A17,'TJ List'!D:D,"A-")+COUNTIFS('TJ List'!O:O,A17,'TJ List'!D:D,"Rk")</f>
        <v>1</v>
      </c>
      <c r="D17" s="14">
        <f>COUNTIFS('TJ List'!O:O,A17,'TJ List'!D:D,"Coll")+COUNTIFS('TJ List'!O:O,A17,'TJ List'!D:D,"HS")</f>
        <v>0</v>
      </c>
      <c r="E17" s="14">
        <f t="shared" si="1"/>
        <v>2</v>
      </c>
      <c r="F17" s="119">
        <f>IF(COUNTIFS('TJ List'!$O:$O,A17,'TJ List'!$B:$B,"&lt;"&amp;$B$38,'TJ List'!$D:$D,"MLB")&gt;0,COUNTIFS('TJ List'!$O:$O,A17,'TJ List'!$B:$B,"&lt;"&amp;$B$38,'TJ List'!$D:$D,"MLB",'TJ List'!$K:$K,"&gt;0")/COUNTIFS('TJ List'!$O:$O,A17,'TJ List'!$B:$B,"&lt;"&amp;$B$38,'TJ List'!$D:$D,"MLB"),"N/A")</f>
        <v>1</v>
      </c>
      <c r="G17" s="119">
        <f>COUNTIFS('Repeat TJ List'!E:E,A17)/E17</f>
        <v>0</v>
      </c>
    </row>
    <row r="18">
      <c r="A18" s="4" t="s">
        <v>808</v>
      </c>
      <c r="B18" s="11">
        <f>COUNTIFS('TJ List'!O:O,A18,'TJ List'!D:D,"MLB")</f>
        <v>1</v>
      </c>
      <c r="C18" s="14">
        <f>COUNTIFS('TJ List'!O:O,A18,'TJ List'!D:D,"AAA")+COUNTIFS('TJ List'!O:O,A18,'TJ List'!D:D,"AA")+COUNTIFS('TJ List'!O:O,A18,'TJ List'!D:D,"A+")+COUNTIFS('TJ List'!O:O,A18,'TJ List'!D:D,"A")+COUNTIFS('TJ List'!O:O,A18,'TJ List'!D:D,"A-")+COUNTIFS('TJ List'!O:O,A18,'TJ List'!D:D,"Rk")</f>
        <v>1</v>
      </c>
      <c r="D18" s="14">
        <f>COUNTIFS('TJ List'!O:O,A18,'TJ List'!D:D,"Coll")+COUNTIFS('TJ List'!O:O,A18,'TJ List'!D:D,"HS")</f>
        <v>0</v>
      </c>
      <c r="E18" s="14">
        <f t="shared" si="1"/>
        <v>2</v>
      </c>
      <c r="F18" s="119">
        <f>IF(COUNTIFS('TJ List'!$O:$O,A18,'TJ List'!$B:$B,"&lt;"&amp;$B$38,'TJ List'!$D:$D,"MLB")&gt;0,COUNTIFS('TJ List'!$O:$O,A18,'TJ List'!$B:$B,"&lt;"&amp;$B$38,'TJ List'!$D:$D,"MLB",'TJ List'!$K:$K,"&gt;0")/COUNTIFS('TJ List'!$O:$O,A18,'TJ List'!$B:$B,"&lt;"&amp;$B$38,'TJ List'!$D:$D,"MLB"),"N/A")</f>
        <v>0</v>
      </c>
      <c r="G18" s="119">
        <f>COUNTIFS('Repeat TJ List'!E:E,A18)/E18</f>
        <v>0</v>
      </c>
    </row>
    <row r="19">
      <c r="A19" s="4" t="s">
        <v>414</v>
      </c>
      <c r="B19" s="11">
        <f>COUNTIFS('TJ List'!O:O,A19,'TJ List'!D:D,"MLB")</f>
        <v>1</v>
      </c>
      <c r="C19" s="14">
        <f>COUNTIFS('TJ List'!O:O,A19,'TJ List'!D:D,"AAA")+COUNTIFS('TJ List'!O:O,A19,'TJ List'!D:D,"AA")+COUNTIFS('TJ List'!O:O,A19,'TJ List'!D:D,"A+")+COUNTIFS('TJ List'!O:O,A19,'TJ List'!D:D,"A")+COUNTIFS('TJ List'!O:O,A19,'TJ List'!D:D,"A-")+COUNTIFS('TJ List'!O:O,A19,'TJ List'!D:D,"Rk")</f>
        <v>1</v>
      </c>
      <c r="D19" s="14">
        <f>COUNTIFS('TJ List'!O:O,A19,'TJ List'!D:D,"Coll")+COUNTIFS('TJ List'!O:O,A19,'TJ List'!D:D,"HS")</f>
        <v>0</v>
      </c>
      <c r="E19" s="14">
        <f t="shared" si="1"/>
        <v>2</v>
      </c>
      <c r="F19" s="119">
        <f>IF(COUNTIFS('TJ List'!$O:$O,A19,'TJ List'!$B:$B,"&lt;"&amp;$B$38,'TJ List'!$D:$D,"MLB")&gt;0,COUNTIFS('TJ List'!$O:$O,A19,'TJ List'!$B:$B,"&lt;"&amp;$B$38,'TJ List'!$D:$D,"MLB",'TJ List'!$K:$K,"&gt;0")/COUNTIFS('TJ List'!$O:$O,A19,'TJ List'!$B:$B,"&lt;"&amp;$B$38,'TJ List'!$D:$D,"MLB"),"N/A")</f>
        <v>0</v>
      </c>
      <c r="G19" s="119">
        <f>COUNTIFS('Repeat TJ List'!E:E,A19)/E19</f>
        <v>0</v>
      </c>
    </row>
    <row r="20">
      <c r="A20" s="4" t="s">
        <v>2180</v>
      </c>
      <c r="B20" s="11">
        <f>COUNTIFS('TJ List'!O:O,A20,'TJ List'!D:D,"MLB")</f>
        <v>1</v>
      </c>
      <c r="C20" s="14">
        <f>COUNTIFS('TJ List'!O:O,A20,'TJ List'!D:D,"AAA")+COUNTIFS('TJ List'!O:O,A20,'TJ List'!D:D,"AA")+COUNTIFS('TJ List'!O:O,A20,'TJ List'!D:D,"A+")+COUNTIFS('TJ List'!O:O,A20,'TJ List'!D:D,"A")+COUNTIFS('TJ List'!O:O,A20,'TJ List'!D:D,"A-")+COUNTIFS('TJ List'!O:O,A20,'TJ List'!D:D,"Rk")</f>
        <v>0</v>
      </c>
      <c r="D20" s="14">
        <f>COUNTIFS('TJ List'!O:O,A20,'TJ List'!D:D,"Coll")+COUNTIFS('TJ List'!O:O,A20,'TJ List'!D:D,"HS")</f>
        <v>0</v>
      </c>
      <c r="E20" s="14">
        <f t="shared" si="1"/>
        <v>1</v>
      </c>
      <c r="F20" s="119">
        <f>IF(COUNTIFS('TJ List'!$O:$O,A20,'TJ List'!$B:$B,"&lt;"&amp;$B$38,'TJ List'!$D:$D,"MLB")&gt;0,COUNTIFS('TJ List'!$O:$O,A20,'TJ List'!$B:$B,"&lt;"&amp;$B$38,'TJ List'!$D:$D,"MLB",'TJ List'!$K:$K,"&gt;0")/COUNTIFS('TJ List'!$O:$O,A20,'TJ List'!$B:$B,"&lt;"&amp;$B$38,'TJ List'!$D:$D,"MLB"),"N/A")</f>
        <v>1</v>
      </c>
      <c r="G20" s="119">
        <f>COUNTIFS('Repeat TJ List'!E:E,A20)/E20</f>
        <v>0</v>
      </c>
    </row>
    <row r="21">
      <c r="A21" s="4" t="s">
        <v>2077</v>
      </c>
      <c r="B21" s="11">
        <f>COUNTIFS('TJ List'!O:O,A21,'TJ List'!D:D,"MLB")</f>
        <v>1</v>
      </c>
      <c r="C21" s="14">
        <f>COUNTIFS('TJ List'!O:O,A21,'TJ List'!D:D,"AAA")+COUNTIFS('TJ List'!O:O,A21,'TJ List'!D:D,"AA")+COUNTIFS('TJ List'!O:O,A21,'TJ List'!D:D,"A+")+COUNTIFS('TJ List'!O:O,A21,'TJ List'!D:D,"A")+COUNTIFS('TJ List'!O:O,A21,'TJ List'!D:D,"A-")+COUNTIFS('TJ List'!O:O,A21,'TJ List'!D:D,"Rk")</f>
        <v>0</v>
      </c>
      <c r="D21" s="14">
        <f>COUNTIFS('TJ List'!O:O,A21,'TJ List'!D:D,"Coll")+COUNTIFS('TJ List'!O:O,A21,'TJ List'!D:D,"HS")</f>
        <v>0</v>
      </c>
      <c r="E21" s="14">
        <f t="shared" si="1"/>
        <v>1</v>
      </c>
      <c r="F21" s="119">
        <f>IF(COUNTIFS('TJ List'!$O:$O,A21,'TJ List'!$B:$B,"&lt;"&amp;$B$38,'TJ List'!$D:$D,"MLB")&gt;0,COUNTIFS('TJ List'!$O:$O,A21,'TJ List'!$B:$B,"&lt;"&amp;$B$38,'TJ List'!$D:$D,"MLB",'TJ List'!$K:$K,"&gt;0")/COUNTIFS('TJ List'!$O:$O,A21,'TJ List'!$B:$B,"&lt;"&amp;$B$38,'TJ List'!$D:$D,"MLB"),"N/A")</f>
        <v>1</v>
      </c>
      <c r="G21" s="119">
        <f>COUNTIFS('Repeat TJ List'!E:E,A21)/E21</f>
        <v>0</v>
      </c>
    </row>
    <row r="22">
      <c r="A22" s="4" t="s">
        <v>2578</v>
      </c>
      <c r="B22" s="11">
        <f>COUNTIFS('TJ List'!O:O,A22,'TJ List'!D:D,"MLB")</f>
        <v>1</v>
      </c>
      <c r="C22" s="14">
        <f>COUNTIFS('TJ List'!O:O,A22,'TJ List'!D:D,"AAA")+COUNTIFS('TJ List'!O:O,A22,'TJ List'!D:D,"AA")+COUNTIFS('TJ List'!O:O,A22,'TJ List'!D:D,"A+")+COUNTIFS('TJ List'!O:O,A22,'TJ List'!D:D,"A")+COUNTIFS('TJ List'!O:O,A22,'TJ List'!D:D,"A-")+COUNTIFS('TJ List'!O:O,A22,'TJ List'!D:D,"Rk")</f>
        <v>0</v>
      </c>
      <c r="D22" s="14">
        <f>COUNTIFS('TJ List'!O:O,A22,'TJ List'!D:D,"Coll")+COUNTIFS('TJ List'!O:O,A22,'TJ List'!D:D,"HS")</f>
        <v>0</v>
      </c>
      <c r="E22" s="14">
        <f t="shared" si="1"/>
        <v>1</v>
      </c>
      <c r="F22" s="119">
        <f>IF(COUNTIFS('TJ List'!$O:$O,A22,'TJ List'!$B:$B,"&lt;"&amp;$B$38,'TJ List'!$D:$D,"MLB")&gt;0,COUNTIFS('TJ List'!$O:$O,A22,'TJ List'!$B:$B,"&lt;"&amp;$B$38,'TJ List'!$D:$D,"MLB",'TJ List'!$K:$K,"&gt;0")/COUNTIFS('TJ List'!$O:$O,A22,'TJ List'!$B:$B,"&lt;"&amp;$B$38,'TJ List'!$D:$D,"MLB"),"N/A")</f>
        <v>1</v>
      </c>
      <c r="G22" s="119">
        <f>COUNTIFS('Repeat TJ List'!E:E,A22)/E22</f>
        <v>0</v>
      </c>
    </row>
    <row r="23">
      <c r="A23" s="4" t="s">
        <v>2626</v>
      </c>
      <c r="B23" s="11">
        <f>COUNTIFS('TJ List'!O:O,A23,'TJ List'!D:D,"MLB")</f>
        <v>1</v>
      </c>
      <c r="C23" s="14">
        <f>COUNTIFS('TJ List'!O:O,A23,'TJ List'!D:D,"AAA")+COUNTIFS('TJ List'!O:O,A23,'TJ List'!D:D,"AA")+COUNTIFS('TJ List'!O:O,A23,'TJ List'!D:D,"A+")+COUNTIFS('TJ List'!O:O,A23,'TJ List'!D:D,"A")+COUNTIFS('TJ List'!O:O,A23,'TJ List'!D:D,"A-")+COUNTIFS('TJ List'!O:O,A23,'TJ List'!D:D,"Rk")</f>
        <v>0</v>
      </c>
      <c r="D23" s="14">
        <f>COUNTIFS('TJ List'!O:O,A23,'TJ List'!D:D,"Coll")+COUNTIFS('TJ List'!O:O,A23,'TJ List'!D:D,"HS")</f>
        <v>0</v>
      </c>
      <c r="E23" s="14">
        <f t="shared" si="1"/>
        <v>1</v>
      </c>
      <c r="F23" s="119">
        <f>IF(COUNTIFS('TJ List'!$O:$O,A23,'TJ List'!$B:$B,"&lt;"&amp;$B$38,'TJ List'!$D:$D,"MLB")&gt;0,COUNTIFS('TJ List'!$O:$O,A23,'TJ List'!$B:$B,"&lt;"&amp;$B$38,'TJ List'!$D:$D,"MLB",'TJ List'!$K:$K,"&gt;0")/COUNTIFS('TJ List'!$O:$O,A23,'TJ List'!$B:$B,"&lt;"&amp;$B$38,'TJ List'!$D:$D,"MLB"),"N/A")</f>
        <v>1</v>
      </c>
      <c r="G23" s="119">
        <f>COUNTIFS('Repeat TJ List'!E:E,A23)/E23</f>
        <v>0</v>
      </c>
    </row>
    <row r="24">
      <c r="A24" s="4" t="s">
        <v>2026</v>
      </c>
      <c r="B24" s="11">
        <f>COUNTIFS('TJ List'!O:O,A24,'TJ List'!D:D,"MLB")</f>
        <v>1</v>
      </c>
      <c r="C24" s="14">
        <f>COUNTIFS('TJ List'!O:O,A24,'TJ List'!D:D,"AAA")+COUNTIFS('TJ List'!O:O,A24,'TJ List'!D:D,"AA")+COUNTIFS('TJ List'!O:O,A24,'TJ List'!D:D,"A+")+COUNTIFS('TJ List'!O:O,A24,'TJ List'!D:D,"A")+COUNTIFS('TJ List'!O:O,A24,'TJ List'!D:D,"A-")+COUNTIFS('TJ List'!O:O,A24,'TJ List'!D:D,"Rk")</f>
        <v>0</v>
      </c>
      <c r="D24" s="14">
        <f>COUNTIFS('TJ List'!O:O,A24,'TJ List'!D:D,"Coll")+COUNTIFS('TJ List'!O:O,A24,'TJ List'!D:D,"HS")</f>
        <v>0</v>
      </c>
      <c r="E24" s="14">
        <f t="shared" si="1"/>
        <v>1</v>
      </c>
      <c r="F24" s="119">
        <f>IF(COUNTIFS('TJ List'!$O:$O,A24,'TJ List'!$B:$B,"&lt;"&amp;$B$38,'TJ List'!$D:$D,"MLB")&gt;0,COUNTIFS('TJ List'!$O:$O,A24,'TJ List'!$B:$B,"&lt;"&amp;$B$38,'TJ List'!$D:$D,"MLB",'TJ List'!$K:$K,"&gt;0")/COUNTIFS('TJ List'!$O:$O,A24,'TJ List'!$B:$B,"&lt;"&amp;$B$38,'TJ List'!$D:$D,"MLB"),"N/A")</f>
        <v>0</v>
      </c>
      <c r="G24" s="119">
        <f>COUNTIFS('Repeat TJ List'!E:E,A24)/E24</f>
        <v>0</v>
      </c>
    </row>
    <row r="25">
      <c r="A25" s="4" t="s">
        <v>528</v>
      </c>
      <c r="B25" s="11">
        <f>COUNTIFS('TJ List'!O:O,A25,'TJ List'!D:D,"MLB")</f>
        <v>1</v>
      </c>
      <c r="C25" s="14">
        <f>COUNTIFS('TJ List'!O:O,A25,'TJ List'!D:D,"AAA")+COUNTIFS('TJ List'!O:O,A25,'TJ List'!D:D,"AA")+COUNTIFS('TJ List'!O:O,A25,'TJ List'!D:D,"A+")+COUNTIFS('TJ List'!O:O,A25,'TJ List'!D:D,"A")+COUNTIFS('TJ List'!O:O,A25,'TJ List'!D:D,"A-")+COUNTIFS('TJ List'!O:O,A25,'TJ List'!D:D,"Rk")</f>
        <v>0</v>
      </c>
      <c r="D25" s="14">
        <f>COUNTIFS('TJ List'!O:O,A25,'TJ List'!D:D,"Coll")+COUNTIFS('TJ List'!O:O,A25,'TJ List'!D:D,"HS")</f>
        <v>0</v>
      </c>
      <c r="E25" s="14">
        <f t="shared" si="1"/>
        <v>1</v>
      </c>
      <c r="F25" s="119" t="str">
        <f>IF(COUNTIFS('TJ List'!$O:$O,A25,'TJ List'!$B:$B,"&lt;"&amp;$B$38,'TJ List'!$D:$D,"MLB")&gt;0,COUNTIFS('TJ List'!$O:$O,A25,'TJ List'!$B:$B,"&lt;"&amp;$B$38,'TJ List'!$D:$D,"MLB",'TJ List'!$K:$K,"&gt;0")/COUNTIFS('TJ List'!$O:$O,A25,'TJ List'!$B:$B,"&lt;"&amp;$B$38,'TJ List'!$D:$D,"MLB"),"N/A")</f>
        <v>N/A</v>
      </c>
      <c r="G25" s="119">
        <f>COUNTIFS('Repeat TJ List'!E:E,A25)/E25</f>
        <v>0</v>
      </c>
    </row>
    <row r="26">
      <c r="A26" s="4" t="s">
        <v>674</v>
      </c>
      <c r="B26" s="11">
        <f>COUNTIFS('TJ List'!O:O,A26,'TJ List'!D:D,"MLB")</f>
        <v>0</v>
      </c>
      <c r="C26" s="14">
        <f>COUNTIFS('TJ List'!O:O,A26,'TJ List'!D:D,"AAA")+COUNTIFS('TJ List'!O:O,A26,'TJ List'!D:D,"AA")+COUNTIFS('TJ List'!O:O,A26,'TJ List'!D:D,"A+")+COUNTIFS('TJ List'!O:O,A26,'TJ List'!D:D,"A")+COUNTIFS('TJ List'!O:O,A26,'TJ List'!D:D,"A-")+COUNTIFS('TJ List'!O:O,A26,'TJ List'!D:D,"Rk")</f>
        <v>3</v>
      </c>
      <c r="D26" s="14">
        <f>COUNTIFS('TJ List'!O:O,A26,'TJ List'!D:D,"Coll")+COUNTIFS('TJ List'!O:O,A26,'TJ List'!D:D,"HS")</f>
        <v>0</v>
      </c>
      <c r="E26" s="14">
        <f t="shared" si="1"/>
        <v>3</v>
      </c>
      <c r="F26" s="119" t="str">
        <f>IF(COUNTIFS('TJ List'!$O:$O,A26,'TJ List'!$B:$B,"&lt;"&amp;$B$38,'TJ List'!$D:$D,"MLB")&gt;0,COUNTIFS('TJ List'!$O:$O,A26,'TJ List'!$B:$B,"&lt;"&amp;$B$38,'TJ List'!$D:$D,"MLB",'TJ List'!$K:$K,"&gt;0")/COUNTIFS('TJ List'!$O:$O,A26,'TJ List'!$B:$B,"&lt;"&amp;$B$38,'TJ List'!$D:$D,"MLB"),"N/A")</f>
        <v>N/A</v>
      </c>
      <c r="G26" s="119">
        <f>COUNTIFS('Repeat TJ List'!E:E,A26)/E26</f>
        <v>0</v>
      </c>
    </row>
    <row r="27">
      <c r="A27" s="4" t="s">
        <v>220</v>
      </c>
      <c r="B27" s="11">
        <f>COUNTIFS('TJ List'!O:O,A27,'TJ List'!D:D,"MLB")</f>
        <v>0</v>
      </c>
      <c r="C27" s="14">
        <f>COUNTIFS('TJ List'!O:O,A27,'TJ List'!D:D,"AAA")+COUNTIFS('TJ List'!O:O,A27,'TJ List'!D:D,"AA")+COUNTIFS('TJ List'!O:O,A27,'TJ List'!D:D,"A+")+COUNTIFS('TJ List'!O:O,A27,'TJ List'!D:D,"A")+COUNTIFS('TJ List'!O:O,A27,'TJ List'!D:D,"A-")+COUNTIFS('TJ List'!O:O,A27,'TJ List'!D:D,"Rk")</f>
        <v>3</v>
      </c>
      <c r="D27" s="14">
        <f>COUNTIFS('TJ List'!O:O,A27,'TJ List'!D:D,"Coll")+COUNTIFS('TJ List'!O:O,A27,'TJ List'!D:D,"HS")</f>
        <v>0</v>
      </c>
      <c r="E27" s="14">
        <f t="shared" si="1"/>
        <v>3</v>
      </c>
      <c r="F27" s="119" t="str">
        <f>IF(COUNTIFS('TJ List'!$O:$O,A27,'TJ List'!$B:$B,"&lt;"&amp;$B$38,'TJ List'!$D:$D,"MLB")&gt;0,COUNTIFS('TJ List'!$O:$O,A27,'TJ List'!$B:$B,"&lt;"&amp;$B$38,'TJ List'!$D:$D,"MLB",'TJ List'!$K:$K,"&gt;0")/COUNTIFS('TJ List'!$O:$O,A27,'TJ List'!$B:$B,"&lt;"&amp;$B$38,'TJ List'!$D:$D,"MLB"),"N/A")</f>
        <v>N/A</v>
      </c>
      <c r="G27" s="119">
        <f>COUNTIFS('Repeat TJ List'!E:E,A27)/E27</f>
        <v>0</v>
      </c>
    </row>
    <row r="28">
      <c r="A28" s="4" t="s">
        <v>685</v>
      </c>
      <c r="B28" s="11">
        <f>COUNTIFS('TJ List'!O:O,A28,'TJ List'!D:D,"MLB")</f>
        <v>0</v>
      </c>
      <c r="C28" s="14">
        <f>COUNTIFS('TJ List'!O:O,A28,'TJ List'!D:D,"AAA")+COUNTIFS('TJ List'!O:O,A28,'TJ List'!D:D,"AA")+COUNTIFS('TJ List'!O:O,A28,'TJ List'!D:D,"A+")+COUNTIFS('TJ List'!O:O,A28,'TJ List'!D:D,"A")+COUNTIFS('TJ List'!O:O,A28,'TJ List'!D:D,"A-")+COUNTIFS('TJ List'!O:O,A28,'TJ List'!D:D,"Rk")</f>
        <v>1</v>
      </c>
      <c r="D28" s="14">
        <f>COUNTIFS('TJ List'!O:O,A28,'TJ List'!D:D,"Coll")+COUNTIFS('TJ List'!O:O,A28,'TJ List'!D:D,"HS")</f>
        <v>0</v>
      </c>
      <c r="E28" s="14">
        <f t="shared" si="1"/>
        <v>1</v>
      </c>
      <c r="F28" s="119" t="str">
        <f>IF(COUNTIFS('TJ List'!$O:$O,A28,'TJ List'!$B:$B,"&lt;"&amp;$B$38,'TJ List'!$D:$D,"MLB")&gt;0,COUNTIFS('TJ List'!$O:$O,A28,'TJ List'!$B:$B,"&lt;"&amp;$B$38,'TJ List'!$D:$D,"MLB",'TJ List'!$K:$K,"&gt;0")/COUNTIFS('TJ List'!$O:$O,A28,'TJ List'!$B:$B,"&lt;"&amp;$B$38,'TJ List'!$D:$D,"MLB"),"N/A")</f>
        <v>N/A</v>
      </c>
      <c r="G28" s="119">
        <f>COUNTIFS('Repeat TJ List'!E:E,A28)/E28</f>
        <v>0</v>
      </c>
    </row>
    <row r="29">
      <c r="A29" s="131" t="s">
        <v>214</v>
      </c>
      <c r="B29" s="11">
        <f>COUNTIFS('TJ List'!O:O,A29,'TJ List'!D:D,"MLB")</f>
        <v>0</v>
      </c>
      <c r="C29" s="14">
        <f>COUNTIFS('TJ List'!O:O,A29,'TJ List'!D:D,"AAA")+COUNTIFS('TJ List'!O:O,A29,'TJ List'!D:D,"AA")+COUNTIFS('TJ List'!O:O,A29,'TJ List'!D:D,"A+")+COUNTIFS('TJ List'!O:O,A29,'TJ List'!D:D,"A")+COUNTIFS('TJ List'!O:O,A29,'TJ List'!D:D,"A-")+COUNTIFS('TJ List'!O:O,A29,'TJ List'!D:D,"Rk")</f>
        <v>1</v>
      </c>
      <c r="D29" s="14">
        <f>COUNTIFS('TJ List'!O:O,A29,'TJ List'!D:D,"Coll")+COUNTIFS('TJ List'!O:O,A29,'TJ List'!D:D,"HS")</f>
        <v>0</v>
      </c>
      <c r="E29" s="14">
        <f t="shared" si="1"/>
        <v>1</v>
      </c>
      <c r="F29" s="119" t="str">
        <f>IF(COUNTIFS('TJ List'!$O:$O,A29,'TJ List'!$B:$B,"&lt;"&amp;$B$38,'TJ List'!$D:$D,"MLB")&gt;0,COUNTIFS('TJ List'!$O:$O,A29,'TJ List'!$B:$B,"&lt;"&amp;$B$38,'TJ List'!$D:$D,"MLB",'TJ List'!$K:$K,"&gt;0")/COUNTIFS('TJ List'!$O:$O,A29,'TJ List'!$B:$B,"&lt;"&amp;$B$38,'TJ List'!$D:$D,"MLB"),"N/A")</f>
        <v>N/A</v>
      </c>
      <c r="G29" s="119">
        <f>COUNTIFS('Repeat TJ List'!E:E,A29)/E29</f>
        <v>0</v>
      </c>
    </row>
    <row r="30">
      <c r="A30" s="4" t="s">
        <v>507</v>
      </c>
      <c r="B30" s="11">
        <f>COUNTIFS('TJ List'!O:O,A30,'TJ List'!D:D,"MLB")</f>
        <v>0</v>
      </c>
      <c r="C30" s="14">
        <f>COUNTIFS('TJ List'!O:O,A30,'TJ List'!D:D,"AAA")+COUNTIFS('TJ List'!O:O,A30,'TJ List'!D:D,"AA")+COUNTIFS('TJ List'!O:O,A30,'TJ List'!D:D,"A+")+COUNTIFS('TJ List'!O:O,A30,'TJ List'!D:D,"A")+COUNTIFS('TJ List'!O:O,A30,'TJ List'!D:D,"A-")+COUNTIFS('TJ List'!O:O,A30,'TJ List'!D:D,"Rk")</f>
        <v>1</v>
      </c>
      <c r="D30" s="14">
        <f>COUNTIFS('TJ List'!O:O,A30,'TJ List'!D:D,"Coll")+COUNTIFS('TJ List'!O:O,A30,'TJ List'!D:D,"HS")</f>
        <v>0</v>
      </c>
      <c r="E30" s="14">
        <f t="shared" si="1"/>
        <v>1</v>
      </c>
      <c r="F30" s="119" t="str">
        <f>IF(COUNTIFS('TJ List'!$O:$O,A30,'TJ List'!$B:$B,"&lt;"&amp;$B$38,'TJ List'!$D:$D,"MLB")&gt;0,COUNTIFS('TJ List'!$O:$O,A30,'TJ List'!$B:$B,"&lt;"&amp;$B$38,'TJ List'!$D:$D,"MLB",'TJ List'!$K:$K,"&gt;0")/COUNTIFS('TJ List'!$O:$O,A30,'TJ List'!$B:$B,"&lt;"&amp;$B$38,'TJ List'!$D:$D,"MLB"),"N/A")</f>
        <v>N/A</v>
      </c>
      <c r="G30" s="119">
        <f>COUNTIFS('Repeat TJ List'!E:E,A30)/E30</f>
        <v>0</v>
      </c>
    </row>
    <row r="31">
      <c r="A31" s="4" t="s">
        <v>206</v>
      </c>
      <c r="B31" s="11">
        <f>COUNTIFS('TJ List'!O:O,A31,'TJ List'!D:D,"MLB")</f>
        <v>0</v>
      </c>
      <c r="C31" s="14">
        <f>COUNTIFS('TJ List'!O:O,A31,'TJ List'!D:D,"AAA")+COUNTIFS('TJ List'!O:O,A31,'TJ List'!D:D,"AA")+COUNTIFS('TJ List'!O:O,A31,'TJ List'!D:D,"A+")+COUNTIFS('TJ List'!O:O,A31,'TJ List'!D:D,"A")+COUNTIFS('TJ List'!O:O,A31,'TJ List'!D:D,"A-")+COUNTIFS('TJ List'!O:O,A31,'TJ List'!D:D,"Rk")</f>
        <v>1</v>
      </c>
      <c r="D31" s="14">
        <f>COUNTIFS('TJ List'!O:O,A31,'TJ List'!D:D,"Coll")+COUNTIFS('TJ List'!O:O,A31,'TJ List'!D:D,"HS")</f>
        <v>0</v>
      </c>
      <c r="E31" s="14">
        <f t="shared" si="1"/>
        <v>1</v>
      </c>
      <c r="F31" s="119" t="str">
        <f>IF(COUNTIFS('TJ List'!$O:$O,A31,'TJ List'!$B:$B,"&lt;"&amp;$B$38,'TJ List'!$D:$D,"MLB")&gt;0,COUNTIFS('TJ List'!$O:$O,A31,'TJ List'!$B:$B,"&lt;"&amp;$B$38,'TJ List'!$D:$D,"MLB",'TJ List'!$K:$K,"&gt;0")/COUNTIFS('TJ List'!$O:$O,A31,'TJ List'!$B:$B,"&lt;"&amp;$B$38,'TJ List'!$D:$D,"MLB"),"N/A")</f>
        <v>N/A</v>
      </c>
      <c r="G31" s="119">
        <f>COUNTIFS('Repeat TJ List'!E:E,A31)/E31</f>
        <v>1</v>
      </c>
    </row>
    <row r="32">
      <c r="A32" s="4" t="s">
        <v>1253</v>
      </c>
      <c r="B32" s="11">
        <f>COUNTIFS('TJ List'!O:O,A32,'TJ List'!D:D,"MLB")</f>
        <v>0</v>
      </c>
      <c r="C32" s="14">
        <f>COUNTIFS('TJ List'!O:O,A32,'TJ List'!D:D,"AAA")+COUNTIFS('TJ List'!O:O,A32,'TJ List'!D:D,"AA")+COUNTIFS('TJ List'!O:O,A32,'TJ List'!D:D,"A+")+COUNTIFS('TJ List'!O:O,A32,'TJ List'!D:D,"A")+COUNTIFS('TJ List'!O:O,A32,'TJ List'!D:D,"A-")+COUNTIFS('TJ List'!O:O,A32,'TJ List'!D:D,"Rk")</f>
        <v>1</v>
      </c>
      <c r="D32" s="14">
        <f>COUNTIFS('TJ List'!O:O,A32,'TJ List'!D:D,"Coll")+COUNTIFS('TJ List'!O:O,A32,'TJ List'!D:D,"HS")</f>
        <v>0</v>
      </c>
      <c r="E32" s="14">
        <f t="shared" si="1"/>
        <v>1</v>
      </c>
      <c r="F32" s="119" t="str">
        <f>IF(COUNTIFS('TJ List'!$O:$O,A32,'TJ List'!$B:$B,"&lt;"&amp;$B$38,'TJ List'!$D:$D,"MLB")&gt;0,COUNTIFS('TJ List'!$O:$O,A32,'TJ List'!$B:$B,"&lt;"&amp;$B$38,'TJ List'!$D:$D,"MLB",'TJ List'!$K:$K,"&gt;0")/COUNTIFS('TJ List'!$O:$O,A32,'TJ List'!$B:$B,"&lt;"&amp;$B$38,'TJ List'!$D:$D,"MLB"),"N/A")</f>
        <v>N/A</v>
      </c>
      <c r="G32" s="119">
        <f>COUNTIFS('Repeat TJ List'!E:E,A32)/E32</f>
        <v>0</v>
      </c>
    </row>
    <row r="33">
      <c r="A33" s="4" t="s">
        <v>700</v>
      </c>
      <c r="B33" s="11">
        <f>COUNTIFS('TJ List'!O:O,A33,'TJ List'!D:D,"MLB")</f>
        <v>0</v>
      </c>
      <c r="C33" s="14">
        <f>COUNTIFS('TJ List'!O:O,A33,'TJ List'!D:D,"AAA")+COUNTIFS('TJ List'!O:O,A33,'TJ List'!D:D,"AA")+COUNTIFS('TJ List'!O:O,A33,'TJ List'!D:D,"A+")+COUNTIFS('TJ List'!O:O,A33,'TJ List'!D:D,"A")+COUNTIFS('TJ List'!O:O,A33,'TJ List'!D:D,"A-")+COUNTIFS('TJ List'!O:O,A33,'TJ List'!D:D,"Rk")</f>
        <v>1</v>
      </c>
      <c r="D33" s="14">
        <f>COUNTIFS('TJ List'!O:O,A33,'TJ List'!D:D,"Coll")+COUNTIFS('TJ List'!O:O,A33,'TJ List'!D:D,"HS")</f>
        <v>0</v>
      </c>
      <c r="E33" s="14">
        <f t="shared" si="1"/>
        <v>1</v>
      </c>
      <c r="F33" s="119" t="str">
        <f>IF(COUNTIFS('TJ List'!$O:$O,A33,'TJ List'!$B:$B,"&lt;"&amp;$B$38,'TJ List'!$D:$D,"MLB")&gt;0,COUNTIFS('TJ List'!$O:$O,A33,'TJ List'!$B:$B,"&lt;"&amp;$B$38,'TJ List'!$D:$D,"MLB",'TJ List'!$K:$K,"&gt;0")/COUNTIFS('TJ List'!$O:$O,A33,'TJ List'!$B:$B,"&lt;"&amp;$B$38,'TJ List'!$D:$D,"MLB"),"N/A")</f>
        <v>N/A</v>
      </c>
      <c r="G33" s="119">
        <f>COUNTIFS('Repeat TJ List'!E:E,A33)/E33</f>
        <v>0</v>
      </c>
    </row>
    <row r="34">
      <c r="A34" s="4" t="s">
        <v>2344</v>
      </c>
      <c r="B34" s="11">
        <f>COUNTIFS('TJ List'!O:O,A34,'TJ List'!D:D,"MLB")</f>
        <v>0</v>
      </c>
      <c r="C34" s="14">
        <f>COUNTIFS('TJ List'!O:O,A34,'TJ List'!D:D,"AAA")+COUNTIFS('TJ List'!O:O,A34,'TJ List'!D:D,"AA")+COUNTIFS('TJ List'!O:O,A34,'TJ List'!D:D,"A+")+COUNTIFS('TJ List'!O:O,A34,'TJ List'!D:D,"A")+COUNTIFS('TJ List'!O:O,A34,'TJ List'!D:D,"A-")+COUNTIFS('TJ List'!O:O,A34,'TJ List'!D:D,"Rk")</f>
        <v>0</v>
      </c>
      <c r="D34" s="14">
        <f>COUNTIFS('TJ List'!O:O,A34,'TJ List'!D:D,"Coll")+COUNTIFS('TJ List'!O:O,A34,'TJ List'!D:D,"HS")</f>
        <v>3</v>
      </c>
      <c r="E34" s="14">
        <f t="shared" si="1"/>
        <v>3</v>
      </c>
      <c r="F34" s="119" t="str">
        <f>IF(COUNTIFS('TJ List'!$O:$O,A34,'TJ List'!$B:$B,"&lt;"&amp;$B$38,'TJ List'!$D:$D,"MLB")&gt;0,COUNTIFS('TJ List'!$O:$O,A34,'TJ List'!$B:$B,"&lt;"&amp;$B$38,'TJ List'!$D:$D,"MLB",'TJ List'!$K:$K,"&gt;0")/COUNTIFS('TJ List'!$O:$O,A34,'TJ List'!$B:$B,"&lt;"&amp;$B$38,'TJ List'!$D:$D,"MLB"),"N/A")</f>
        <v>N/A</v>
      </c>
      <c r="G34" s="119">
        <f>COUNTIFS('Repeat TJ List'!E:E,A34)/E34</f>
        <v>0</v>
      </c>
    </row>
    <row r="35">
      <c r="A35" s="4" t="s">
        <v>182</v>
      </c>
      <c r="B35" s="11">
        <f>COUNTIFS('TJ List'!O:O,"",'TJ List'!D:D,"MLB")</f>
        <v>78</v>
      </c>
      <c r="C35" s="14">
        <f>COUNTIFS('TJ List'!O:O,"",'TJ List'!D:D,"AAA")+COUNTIFS('TJ List'!O:O,"",'TJ List'!D:D,"AA")+COUNTIFS('TJ List'!O:O,"",'TJ List'!D:D,"A+")+COUNTIFS('TJ List'!O:O,"",'TJ List'!D:D,"A")+COUNTIFS('TJ List'!O:O,"",'TJ List'!D:D,"A-")+COUNTIFS('TJ List'!O:O,"",'TJ List'!D:D,"Rk")</f>
        <v>574</v>
      </c>
      <c r="D35" s="14">
        <f>COUNTIFS('TJ List'!O:O,"",'TJ List'!D:D,"Coll")+COUNTIFS('TJ List'!O:O,"",'TJ List'!D:D,"HS")</f>
        <v>224</v>
      </c>
      <c r="E35" s="14">
        <f t="shared" si="1"/>
        <v>876</v>
      </c>
      <c r="F35" s="119">
        <f>IF(COUNTIFS('TJ List'!$O:$O,"",'TJ List'!$B:$B,"&lt;"&amp;$B$38,'TJ List'!$D:$D,"MLB")&gt;0,COUNTIFS('TJ List'!$O:$O,"",'TJ List'!$B:$B,"&lt;"&amp;$B$38,'TJ List'!$D:$D,"MLB",'TJ List'!$K:$K,"&gt;0")/COUNTIFS('TJ List'!$O:$O,"",'TJ List'!$B:$B,"&lt;"&amp;$B$38,'TJ List'!$D:$D,"MLB"),"N/A")</f>
        <v>0.7763157895</v>
      </c>
      <c r="G35" s="119">
        <f>COUNTIFS('Repeat TJ List'!E:E,A35)/E35</f>
        <v>0.04794520548</v>
      </c>
    </row>
    <row r="36">
      <c r="A36" s="17" t="s">
        <v>1096</v>
      </c>
      <c r="B36" s="56">
        <f t="shared" ref="B36:E36" si="2">SUM(B3:B35)</f>
        <v>420</v>
      </c>
      <c r="C36" s="56">
        <f t="shared" si="2"/>
        <v>659</v>
      </c>
      <c r="D36" s="56">
        <f t="shared" si="2"/>
        <v>256</v>
      </c>
      <c r="E36" s="56">
        <f t="shared" si="2"/>
        <v>1335</v>
      </c>
      <c r="F36" s="84">
        <f>COUNTIFS('TJ List'!$B:$B,"&lt;"&amp;$B$38,'TJ List'!$D:$D,"MLB",'TJ List'!$K:$K,"&gt;0")/COUNTIFS('TJ List'!$B:$B,"&lt;"&amp;$B$38,'TJ List'!$D:$D,"MLB")</f>
        <v>0.7806122449</v>
      </c>
      <c r="G36" s="58">
        <f>COUNTIFS('Repeat TJ List'!D:D,"&gt;0")/E36</f>
        <v>0.05842696629</v>
      </c>
    </row>
    <row r="37">
      <c r="A37" s="4"/>
      <c r="B37" s="4"/>
      <c r="C37" s="4"/>
      <c r="D37" s="4"/>
      <c r="E37" s="4"/>
      <c r="F37" s="4"/>
      <c r="G37" s="119"/>
    </row>
    <row r="38">
      <c r="A38" s="134" t="s">
        <v>3098</v>
      </c>
      <c r="B38" s="135">
        <f>DATE(IF(MONTH(TODAY())&lt;=6,YEAR(TODAY())-2,YEAR(TODAY())-1),IF(MONTH(TODAY())&lt;=6,MONTH(TODAY())+6,MONTH(TODAY())-6),DAY(TODAY()))</f>
        <v>42171</v>
      </c>
    </row>
    <row r="39">
      <c r="A39" s="136"/>
      <c r="B39" s="137"/>
      <c r="C39" s="137"/>
      <c r="D39" s="137"/>
      <c r="E39" s="137"/>
      <c r="F39" s="137"/>
      <c r="G39" s="119"/>
    </row>
    <row r="40">
      <c r="A40" s="136"/>
      <c r="B40" s="137"/>
      <c r="C40" s="137"/>
      <c r="D40" s="137"/>
      <c r="E40" s="137"/>
      <c r="F40" s="137"/>
      <c r="G40" s="119"/>
    </row>
    <row r="41">
      <c r="B41" s="14"/>
      <c r="C41" s="14"/>
      <c r="D41" s="14"/>
      <c r="E41" s="14"/>
      <c r="F41" s="14"/>
      <c r="G41" s="119"/>
    </row>
    <row r="42">
      <c r="B42" s="14"/>
      <c r="C42" s="14"/>
      <c r="D42" s="14"/>
      <c r="E42" s="14"/>
      <c r="F42" s="14"/>
      <c r="G42" s="119"/>
    </row>
    <row r="43">
      <c r="B43" s="14"/>
      <c r="C43" s="14"/>
      <c r="D43" s="14"/>
      <c r="E43" s="14"/>
      <c r="F43" s="14"/>
      <c r="G43" s="119"/>
    </row>
    <row r="44">
      <c r="B44" s="14"/>
      <c r="C44" s="14"/>
      <c r="D44" s="14"/>
      <c r="E44" s="14"/>
      <c r="F44" s="14"/>
      <c r="G44" s="119"/>
    </row>
    <row r="45">
      <c r="B45" s="14"/>
      <c r="C45" s="14"/>
      <c r="D45" s="14"/>
      <c r="E45" s="14"/>
      <c r="F45" s="14"/>
      <c r="G45" s="119"/>
    </row>
    <row r="46">
      <c r="B46" s="14"/>
      <c r="C46" s="14"/>
      <c r="D46" s="14"/>
      <c r="E46" s="14"/>
      <c r="F46" s="14"/>
      <c r="G46" s="119"/>
    </row>
    <row r="47">
      <c r="B47" s="14"/>
      <c r="C47" s="14"/>
      <c r="D47" s="14"/>
      <c r="E47" s="14"/>
      <c r="F47" s="14"/>
      <c r="G47" s="119"/>
    </row>
    <row r="48">
      <c r="B48" s="14"/>
      <c r="C48" s="14"/>
      <c r="D48" s="14"/>
      <c r="E48" s="14"/>
      <c r="F48" s="14"/>
      <c r="G48" s="119"/>
    </row>
    <row r="49">
      <c r="B49" s="14"/>
      <c r="C49" s="14"/>
      <c r="D49" s="14"/>
      <c r="E49" s="14"/>
      <c r="F49" s="14"/>
      <c r="G49" s="119"/>
    </row>
    <row r="50">
      <c r="B50" s="14"/>
      <c r="C50" s="14"/>
      <c r="D50" s="14"/>
      <c r="E50" s="14"/>
      <c r="F50" s="14"/>
      <c r="G50" s="119"/>
    </row>
    <row r="51">
      <c r="B51" s="14"/>
      <c r="C51" s="14"/>
      <c r="D51" s="14"/>
      <c r="E51" s="14"/>
      <c r="F51" s="14"/>
      <c r="G51" s="119"/>
    </row>
    <row r="52">
      <c r="B52" s="14"/>
      <c r="C52" s="14"/>
      <c r="D52" s="14"/>
      <c r="E52" s="14"/>
      <c r="F52" s="14"/>
      <c r="G52" s="119"/>
    </row>
    <row r="53">
      <c r="B53" s="14"/>
      <c r="C53" s="14"/>
      <c r="D53" s="14"/>
      <c r="E53" s="14"/>
      <c r="F53" s="14"/>
      <c r="G53" s="119"/>
    </row>
    <row r="54">
      <c r="B54" s="14"/>
      <c r="C54" s="14"/>
      <c r="D54" s="14"/>
      <c r="E54" s="14"/>
      <c r="F54" s="14"/>
      <c r="G54" s="119"/>
    </row>
    <row r="55">
      <c r="B55" s="14"/>
      <c r="C55" s="14"/>
      <c r="D55" s="14"/>
      <c r="E55" s="14"/>
      <c r="F55" s="14"/>
      <c r="G55" s="119"/>
    </row>
    <row r="56">
      <c r="B56" s="14"/>
      <c r="C56" s="14"/>
      <c r="D56" s="14"/>
      <c r="E56" s="14"/>
      <c r="F56" s="14"/>
      <c r="G56" s="119"/>
    </row>
    <row r="57">
      <c r="B57" s="14"/>
      <c r="C57" s="14"/>
      <c r="D57" s="14"/>
      <c r="E57" s="14"/>
      <c r="F57" s="14"/>
      <c r="G57" s="119"/>
    </row>
    <row r="58">
      <c r="B58" s="14"/>
      <c r="C58" s="14"/>
      <c r="D58" s="14"/>
      <c r="E58" s="14"/>
      <c r="F58" s="14"/>
      <c r="G58" s="119"/>
    </row>
    <row r="59">
      <c r="B59" s="14"/>
      <c r="C59" s="14"/>
      <c r="D59" s="14"/>
      <c r="E59" s="14"/>
      <c r="F59" s="14"/>
      <c r="G59" s="119"/>
    </row>
    <row r="60">
      <c r="B60" s="14"/>
      <c r="C60" s="14"/>
      <c r="D60" s="14"/>
      <c r="E60" s="14"/>
      <c r="F60" s="14"/>
      <c r="G60" s="119"/>
    </row>
    <row r="61">
      <c r="B61" s="14"/>
      <c r="C61" s="14"/>
      <c r="D61" s="14"/>
      <c r="E61" s="14"/>
      <c r="F61" s="14"/>
      <c r="G61" s="119"/>
    </row>
    <row r="62">
      <c r="B62" s="14"/>
      <c r="C62" s="14"/>
      <c r="D62" s="14"/>
      <c r="E62" s="14"/>
      <c r="F62" s="14"/>
      <c r="G62" s="119"/>
    </row>
    <row r="63">
      <c r="B63" s="14"/>
      <c r="C63" s="14"/>
      <c r="D63" s="14"/>
      <c r="E63" s="14"/>
      <c r="F63" s="14"/>
      <c r="G63" s="119"/>
    </row>
    <row r="64">
      <c r="B64" s="14"/>
      <c r="C64" s="14"/>
      <c r="D64" s="14"/>
      <c r="E64" s="14"/>
      <c r="F64" s="14"/>
      <c r="G64" s="119"/>
    </row>
    <row r="65">
      <c r="B65" s="14"/>
      <c r="C65" s="14"/>
      <c r="D65" s="14"/>
      <c r="E65" s="14"/>
      <c r="F65" s="14"/>
      <c r="G65" s="119"/>
    </row>
    <row r="66">
      <c r="B66" s="14"/>
      <c r="C66" s="14"/>
      <c r="D66" s="14"/>
      <c r="E66" s="14"/>
      <c r="F66" s="14"/>
      <c r="G66" s="119"/>
    </row>
    <row r="67">
      <c r="B67" s="14"/>
      <c r="C67" s="14"/>
      <c r="D67" s="14"/>
      <c r="E67" s="14"/>
      <c r="F67" s="14"/>
      <c r="G67" s="119"/>
    </row>
    <row r="68">
      <c r="B68" s="14"/>
      <c r="C68" s="14"/>
      <c r="D68" s="14"/>
      <c r="E68" s="14"/>
      <c r="F68" s="14"/>
      <c r="G68" s="119"/>
    </row>
    <row r="69">
      <c r="B69" s="14"/>
      <c r="C69" s="14"/>
      <c r="D69" s="14"/>
      <c r="E69" s="14"/>
      <c r="F69" s="14"/>
      <c r="G69" s="119"/>
    </row>
    <row r="70">
      <c r="B70" s="14"/>
      <c r="C70" s="14"/>
      <c r="D70" s="14"/>
      <c r="E70" s="14"/>
      <c r="F70" s="14"/>
      <c r="G70" s="119"/>
    </row>
    <row r="71">
      <c r="B71" s="14"/>
      <c r="C71" s="14"/>
      <c r="D71" s="14"/>
      <c r="E71" s="14"/>
      <c r="F71" s="14"/>
      <c r="G71" s="119"/>
    </row>
    <row r="72">
      <c r="B72" s="14"/>
      <c r="C72" s="14"/>
      <c r="D72" s="14"/>
      <c r="E72" s="14"/>
      <c r="F72" s="14"/>
      <c r="G72" s="119"/>
    </row>
    <row r="73">
      <c r="B73" s="14"/>
      <c r="C73" s="14"/>
      <c r="D73" s="14"/>
      <c r="E73" s="14"/>
      <c r="F73" s="14"/>
      <c r="G73" s="119"/>
    </row>
    <row r="74">
      <c r="B74" s="14"/>
      <c r="C74" s="14"/>
      <c r="D74" s="14"/>
      <c r="E74" s="14"/>
      <c r="F74" s="14"/>
      <c r="G74" s="119"/>
    </row>
    <row r="75">
      <c r="B75" s="14"/>
      <c r="C75" s="14"/>
      <c r="D75" s="14"/>
      <c r="E75" s="14"/>
      <c r="F75" s="14"/>
      <c r="G75" s="119"/>
    </row>
    <row r="76">
      <c r="B76" s="14"/>
      <c r="C76" s="14"/>
      <c r="D76" s="14"/>
      <c r="E76" s="14"/>
      <c r="F76" s="14"/>
      <c r="G76" s="119"/>
    </row>
    <row r="77">
      <c r="B77" s="14"/>
      <c r="C77" s="14"/>
      <c r="D77" s="14"/>
      <c r="E77" s="14"/>
      <c r="F77" s="14"/>
      <c r="G77" s="119"/>
    </row>
    <row r="78">
      <c r="B78" s="14"/>
      <c r="C78" s="14"/>
      <c r="D78" s="14"/>
      <c r="E78" s="14"/>
      <c r="F78" s="14"/>
      <c r="G78" s="119"/>
    </row>
    <row r="79">
      <c r="B79" s="14"/>
      <c r="C79" s="14"/>
      <c r="D79" s="14"/>
      <c r="E79" s="14"/>
      <c r="F79" s="14"/>
      <c r="G79" s="119"/>
    </row>
    <row r="80">
      <c r="B80" s="14"/>
      <c r="C80" s="14"/>
      <c r="D80" s="14"/>
      <c r="E80" s="14"/>
      <c r="F80" s="14"/>
      <c r="G80" s="119"/>
    </row>
    <row r="81">
      <c r="B81" s="14"/>
      <c r="C81" s="14"/>
      <c r="D81" s="14"/>
      <c r="E81" s="14"/>
      <c r="F81" s="14"/>
      <c r="G81" s="119"/>
    </row>
    <row r="82">
      <c r="B82" s="14"/>
      <c r="C82" s="14"/>
      <c r="D82" s="14"/>
      <c r="E82" s="14"/>
      <c r="F82" s="14"/>
      <c r="G82" s="119"/>
    </row>
    <row r="83">
      <c r="B83" s="14"/>
      <c r="C83" s="14"/>
      <c r="D83" s="14"/>
      <c r="E83" s="14"/>
      <c r="F83" s="14"/>
      <c r="G83" s="119"/>
    </row>
    <row r="84">
      <c r="B84" s="14"/>
      <c r="C84" s="14"/>
      <c r="D84" s="14"/>
      <c r="E84" s="14"/>
      <c r="F84" s="14"/>
      <c r="G84" s="119"/>
    </row>
    <row r="85">
      <c r="B85" s="14"/>
      <c r="C85" s="14"/>
      <c r="D85" s="14"/>
      <c r="E85" s="14"/>
      <c r="F85" s="14"/>
      <c r="G85" s="119"/>
    </row>
    <row r="86">
      <c r="B86" s="14"/>
      <c r="C86" s="14"/>
      <c r="D86" s="14"/>
      <c r="E86" s="14"/>
      <c r="F86" s="14"/>
      <c r="G86" s="119"/>
    </row>
    <row r="87">
      <c r="B87" s="14"/>
      <c r="C87" s="14"/>
      <c r="D87" s="14"/>
      <c r="E87" s="14"/>
      <c r="F87" s="14"/>
      <c r="G87" s="119"/>
    </row>
    <row r="88">
      <c r="B88" s="14"/>
      <c r="C88" s="14"/>
      <c r="D88" s="14"/>
      <c r="E88" s="14"/>
      <c r="F88" s="14"/>
      <c r="G88" s="119"/>
    </row>
    <row r="89">
      <c r="B89" s="14"/>
      <c r="C89" s="14"/>
      <c r="D89" s="14"/>
      <c r="E89" s="14"/>
      <c r="F89" s="14"/>
      <c r="G89" s="119"/>
    </row>
    <row r="90">
      <c r="B90" s="14"/>
      <c r="C90" s="14"/>
      <c r="D90" s="14"/>
      <c r="E90" s="14"/>
      <c r="F90" s="14"/>
      <c r="G90" s="119"/>
    </row>
    <row r="91">
      <c r="B91" s="14"/>
      <c r="C91" s="14"/>
      <c r="D91" s="14"/>
      <c r="E91" s="14"/>
      <c r="F91" s="14"/>
      <c r="G91" s="119"/>
    </row>
    <row r="92">
      <c r="B92" s="14"/>
      <c r="C92" s="14"/>
      <c r="D92" s="14"/>
      <c r="E92" s="14"/>
      <c r="F92" s="14"/>
      <c r="G92" s="119"/>
    </row>
    <row r="93">
      <c r="B93" s="14"/>
      <c r="C93" s="14"/>
      <c r="D93" s="14"/>
      <c r="E93" s="14"/>
      <c r="F93" s="14"/>
      <c r="G93" s="119"/>
    </row>
    <row r="94">
      <c r="B94" s="14"/>
      <c r="C94" s="14"/>
      <c r="D94" s="14"/>
      <c r="E94" s="14"/>
      <c r="F94" s="14"/>
      <c r="G94" s="119"/>
    </row>
    <row r="95">
      <c r="B95" s="14"/>
      <c r="C95" s="14"/>
      <c r="D95" s="14"/>
      <c r="E95" s="14"/>
      <c r="F95" s="14"/>
      <c r="G95" s="119"/>
    </row>
    <row r="96">
      <c r="B96" s="14"/>
      <c r="C96" s="14"/>
      <c r="D96" s="14"/>
      <c r="E96" s="14"/>
      <c r="F96" s="14"/>
      <c r="G96" s="119"/>
    </row>
    <row r="97">
      <c r="B97" s="14"/>
      <c r="C97" s="14"/>
      <c r="D97" s="14"/>
      <c r="E97" s="14"/>
      <c r="F97" s="14"/>
      <c r="G97" s="119"/>
    </row>
    <row r="98">
      <c r="B98" s="14"/>
      <c r="C98" s="14"/>
      <c r="D98" s="14"/>
      <c r="E98" s="14"/>
      <c r="F98" s="14"/>
      <c r="G98" s="119"/>
    </row>
    <row r="99">
      <c r="B99" s="14"/>
      <c r="C99" s="14"/>
      <c r="D99" s="14"/>
      <c r="E99" s="14"/>
      <c r="F99" s="14"/>
      <c r="G99" s="119"/>
    </row>
    <row r="100">
      <c r="B100" s="14"/>
      <c r="C100" s="14"/>
      <c r="D100" s="14"/>
      <c r="E100" s="14"/>
      <c r="F100" s="14"/>
      <c r="G100" s="119"/>
    </row>
    <row r="101">
      <c r="B101" s="14"/>
      <c r="C101" s="14"/>
      <c r="D101" s="14"/>
      <c r="E101" s="14"/>
      <c r="F101" s="14"/>
      <c r="G101" s="119"/>
    </row>
    <row r="102">
      <c r="B102" s="14"/>
      <c r="C102" s="14"/>
      <c r="D102" s="14"/>
      <c r="E102" s="14"/>
      <c r="F102" s="14"/>
      <c r="G102" s="119"/>
    </row>
    <row r="103">
      <c r="B103" s="14"/>
      <c r="C103" s="14"/>
      <c r="D103" s="14"/>
      <c r="E103" s="14"/>
      <c r="F103" s="14"/>
      <c r="G103" s="119"/>
    </row>
    <row r="104">
      <c r="B104" s="14"/>
      <c r="C104" s="14"/>
      <c r="D104" s="14"/>
      <c r="E104" s="14"/>
      <c r="F104" s="14"/>
      <c r="G104" s="119"/>
    </row>
    <row r="105">
      <c r="B105" s="14"/>
      <c r="C105" s="14"/>
      <c r="D105" s="14"/>
      <c r="E105" s="14"/>
      <c r="F105" s="14"/>
      <c r="G105" s="119"/>
    </row>
    <row r="106">
      <c r="B106" s="14"/>
      <c r="C106" s="14"/>
      <c r="D106" s="14"/>
      <c r="E106" s="14"/>
      <c r="F106" s="14"/>
      <c r="G106" s="119"/>
    </row>
    <row r="107">
      <c r="B107" s="14"/>
      <c r="C107" s="14"/>
      <c r="D107" s="14"/>
      <c r="E107" s="14"/>
      <c r="F107" s="14"/>
      <c r="G107" s="119"/>
    </row>
    <row r="108">
      <c r="B108" s="14"/>
      <c r="C108" s="14"/>
      <c r="D108" s="14"/>
      <c r="E108" s="14"/>
      <c r="F108" s="14"/>
      <c r="G108" s="119"/>
    </row>
    <row r="109">
      <c r="B109" s="14"/>
      <c r="C109" s="14"/>
      <c r="D109" s="14"/>
      <c r="E109" s="14"/>
      <c r="F109" s="14"/>
      <c r="G109" s="119"/>
    </row>
    <row r="110">
      <c r="B110" s="14"/>
      <c r="C110" s="14"/>
      <c r="D110" s="14"/>
      <c r="E110" s="14"/>
      <c r="F110" s="14"/>
      <c r="G110" s="119"/>
    </row>
    <row r="111">
      <c r="B111" s="14"/>
      <c r="C111" s="14"/>
      <c r="D111" s="14"/>
      <c r="E111" s="14"/>
      <c r="F111" s="14"/>
      <c r="G111" s="119"/>
    </row>
    <row r="112">
      <c r="B112" s="14"/>
      <c r="C112" s="14"/>
      <c r="D112" s="14"/>
      <c r="E112" s="14"/>
      <c r="F112" s="14"/>
      <c r="G112" s="119"/>
    </row>
    <row r="113">
      <c r="B113" s="14"/>
      <c r="C113" s="14"/>
      <c r="D113" s="14"/>
      <c r="E113" s="14"/>
      <c r="F113" s="14"/>
      <c r="G113" s="119"/>
    </row>
    <row r="114">
      <c r="B114" s="14"/>
      <c r="C114" s="14"/>
      <c r="D114" s="14"/>
      <c r="E114" s="14"/>
      <c r="F114" s="14"/>
      <c r="G114" s="119"/>
    </row>
    <row r="115">
      <c r="B115" s="14"/>
      <c r="C115" s="14"/>
      <c r="D115" s="14"/>
      <c r="E115" s="14"/>
      <c r="F115" s="14"/>
      <c r="G115" s="119"/>
    </row>
    <row r="116">
      <c r="B116" s="14"/>
      <c r="C116" s="14"/>
      <c r="D116" s="14"/>
      <c r="E116" s="14"/>
      <c r="F116" s="14"/>
      <c r="G116" s="119"/>
    </row>
    <row r="117">
      <c r="B117" s="14"/>
      <c r="C117" s="14"/>
      <c r="D117" s="14"/>
      <c r="E117" s="14"/>
      <c r="F117" s="14"/>
      <c r="G117" s="119"/>
    </row>
    <row r="118">
      <c r="B118" s="14"/>
      <c r="C118" s="14"/>
      <c r="D118" s="14"/>
      <c r="E118" s="14"/>
      <c r="F118" s="14"/>
      <c r="G118" s="119"/>
    </row>
    <row r="119">
      <c r="B119" s="14"/>
      <c r="C119" s="14"/>
      <c r="D119" s="14"/>
      <c r="E119" s="14"/>
      <c r="F119" s="14"/>
      <c r="G119" s="119"/>
    </row>
    <row r="120">
      <c r="B120" s="14"/>
      <c r="C120" s="14"/>
      <c r="D120" s="14"/>
      <c r="E120" s="14"/>
      <c r="F120" s="14"/>
      <c r="G120" s="119"/>
    </row>
    <row r="121">
      <c r="B121" s="14"/>
      <c r="C121" s="14"/>
      <c r="D121" s="14"/>
      <c r="E121" s="14"/>
      <c r="F121" s="14"/>
      <c r="G121" s="119"/>
    </row>
    <row r="122">
      <c r="B122" s="14"/>
      <c r="C122" s="14"/>
      <c r="D122" s="14"/>
      <c r="E122" s="14"/>
      <c r="F122" s="14"/>
      <c r="G122" s="119"/>
    </row>
    <row r="123">
      <c r="B123" s="14"/>
      <c r="C123" s="14"/>
      <c r="D123" s="14"/>
      <c r="E123" s="14"/>
      <c r="F123" s="14"/>
      <c r="G123" s="119"/>
    </row>
    <row r="124">
      <c r="B124" s="14"/>
      <c r="C124" s="14"/>
      <c r="D124" s="14"/>
      <c r="E124" s="14"/>
      <c r="F124" s="14"/>
      <c r="G124" s="119"/>
    </row>
    <row r="125">
      <c r="B125" s="14"/>
      <c r="C125" s="14"/>
      <c r="D125" s="14"/>
      <c r="E125" s="14"/>
      <c r="F125" s="14"/>
      <c r="G125" s="119"/>
    </row>
    <row r="126">
      <c r="B126" s="14"/>
      <c r="C126" s="14"/>
      <c r="D126" s="14"/>
      <c r="E126" s="14"/>
      <c r="F126" s="14"/>
      <c r="G126" s="119"/>
    </row>
    <row r="127">
      <c r="B127" s="14"/>
      <c r="C127" s="14"/>
      <c r="D127" s="14"/>
      <c r="E127" s="14"/>
      <c r="F127" s="14"/>
      <c r="G127" s="119"/>
    </row>
    <row r="128">
      <c r="B128" s="14"/>
      <c r="C128" s="14"/>
      <c r="D128" s="14"/>
      <c r="E128" s="14"/>
      <c r="F128" s="14"/>
      <c r="G128" s="119"/>
    </row>
    <row r="129">
      <c r="B129" s="14"/>
      <c r="C129" s="14"/>
      <c r="D129" s="14"/>
      <c r="E129" s="14"/>
      <c r="F129" s="14"/>
      <c r="G129" s="119"/>
    </row>
    <row r="130">
      <c r="B130" s="14"/>
      <c r="C130" s="14"/>
      <c r="D130" s="14"/>
      <c r="E130" s="14"/>
      <c r="F130" s="14"/>
      <c r="G130" s="119"/>
    </row>
    <row r="131">
      <c r="B131" s="14"/>
      <c r="C131" s="14"/>
      <c r="D131" s="14"/>
      <c r="E131" s="14"/>
      <c r="F131" s="14"/>
      <c r="G131" s="119"/>
    </row>
    <row r="132">
      <c r="B132" s="14"/>
      <c r="C132" s="14"/>
      <c r="D132" s="14"/>
      <c r="E132" s="14"/>
      <c r="F132" s="14"/>
      <c r="G132" s="119"/>
    </row>
    <row r="133">
      <c r="B133" s="14"/>
      <c r="C133" s="14"/>
      <c r="D133" s="14"/>
      <c r="E133" s="14"/>
      <c r="F133" s="14"/>
      <c r="G133" s="119"/>
    </row>
    <row r="134">
      <c r="B134" s="14"/>
      <c r="C134" s="14"/>
      <c r="D134" s="14"/>
      <c r="E134" s="14"/>
      <c r="F134" s="14"/>
      <c r="G134" s="119"/>
    </row>
    <row r="135">
      <c r="B135" s="14"/>
      <c r="C135" s="14"/>
      <c r="D135" s="14"/>
      <c r="E135" s="14"/>
      <c r="F135" s="14"/>
      <c r="G135" s="119"/>
    </row>
    <row r="136">
      <c r="B136" s="14"/>
      <c r="C136" s="14"/>
      <c r="D136" s="14"/>
      <c r="E136" s="14"/>
      <c r="F136" s="14"/>
      <c r="G136" s="119"/>
    </row>
    <row r="137">
      <c r="B137" s="14"/>
      <c r="C137" s="14"/>
      <c r="D137" s="14"/>
      <c r="E137" s="14"/>
      <c r="F137" s="14"/>
      <c r="G137" s="119"/>
    </row>
    <row r="138">
      <c r="B138" s="14"/>
      <c r="C138" s="14"/>
      <c r="D138" s="14"/>
      <c r="E138" s="14"/>
      <c r="F138" s="14"/>
      <c r="G138" s="119"/>
    </row>
    <row r="139">
      <c r="B139" s="14"/>
      <c r="C139" s="14"/>
      <c r="D139" s="14"/>
      <c r="E139" s="14"/>
      <c r="F139" s="14"/>
      <c r="G139" s="119"/>
    </row>
    <row r="140">
      <c r="B140" s="14"/>
      <c r="C140" s="14"/>
      <c r="D140" s="14"/>
      <c r="E140" s="14"/>
      <c r="F140" s="14"/>
      <c r="G140" s="119"/>
    </row>
    <row r="141">
      <c r="B141" s="14"/>
      <c r="C141" s="14"/>
      <c r="D141" s="14"/>
      <c r="E141" s="14"/>
      <c r="F141" s="14"/>
      <c r="G141" s="119"/>
    </row>
    <row r="142">
      <c r="B142" s="14"/>
      <c r="C142" s="14"/>
      <c r="D142" s="14"/>
      <c r="E142" s="14"/>
      <c r="F142" s="14"/>
      <c r="G142" s="119"/>
    </row>
    <row r="143">
      <c r="B143" s="14"/>
      <c r="C143" s="14"/>
      <c r="D143" s="14"/>
      <c r="E143" s="14"/>
      <c r="F143" s="14"/>
      <c r="G143" s="119"/>
    </row>
    <row r="144">
      <c r="B144" s="14"/>
      <c r="C144" s="14"/>
      <c r="D144" s="14"/>
      <c r="E144" s="14"/>
      <c r="F144" s="14"/>
      <c r="G144" s="119"/>
    </row>
    <row r="145">
      <c r="B145" s="14"/>
      <c r="C145" s="14"/>
      <c r="D145" s="14"/>
      <c r="E145" s="14"/>
      <c r="F145" s="14"/>
      <c r="G145" s="119"/>
    </row>
    <row r="146">
      <c r="B146" s="14"/>
      <c r="C146" s="14"/>
      <c r="D146" s="14"/>
      <c r="E146" s="14"/>
      <c r="F146" s="14"/>
      <c r="G146" s="119"/>
    </row>
    <row r="147">
      <c r="B147" s="14"/>
      <c r="C147" s="14"/>
      <c r="D147" s="14"/>
      <c r="E147" s="14"/>
      <c r="F147" s="14"/>
      <c r="G147" s="119"/>
    </row>
    <row r="148">
      <c r="B148" s="14"/>
      <c r="C148" s="14"/>
      <c r="D148" s="14"/>
      <c r="E148" s="14"/>
      <c r="F148" s="14"/>
      <c r="G148" s="119"/>
    </row>
    <row r="149">
      <c r="B149" s="14"/>
      <c r="C149" s="14"/>
      <c r="D149" s="14"/>
      <c r="E149" s="14"/>
      <c r="F149" s="14"/>
      <c r="G149" s="119"/>
    </row>
    <row r="150">
      <c r="B150" s="14"/>
      <c r="C150" s="14"/>
      <c r="D150" s="14"/>
      <c r="E150" s="14"/>
      <c r="F150" s="14"/>
      <c r="G150" s="119"/>
    </row>
    <row r="151">
      <c r="B151" s="14"/>
      <c r="C151" s="14"/>
      <c r="D151" s="14"/>
      <c r="E151" s="14"/>
      <c r="F151" s="14"/>
      <c r="G151" s="119"/>
    </row>
    <row r="152">
      <c r="B152" s="14"/>
      <c r="C152" s="14"/>
      <c r="D152" s="14"/>
      <c r="E152" s="14"/>
      <c r="F152" s="14"/>
      <c r="G152" s="119"/>
    </row>
    <row r="153">
      <c r="B153" s="14"/>
      <c r="C153" s="14"/>
      <c r="D153" s="14"/>
      <c r="E153" s="14"/>
      <c r="F153" s="14"/>
      <c r="G153" s="119"/>
    </row>
    <row r="154">
      <c r="B154" s="14"/>
      <c r="C154" s="14"/>
      <c r="D154" s="14"/>
      <c r="E154" s="14"/>
      <c r="F154" s="14"/>
      <c r="G154" s="119"/>
    </row>
    <row r="155">
      <c r="B155" s="14"/>
      <c r="C155" s="14"/>
      <c r="D155" s="14"/>
      <c r="E155" s="14"/>
      <c r="F155" s="14"/>
      <c r="G155" s="119"/>
    </row>
    <row r="156">
      <c r="B156" s="14"/>
      <c r="C156" s="14"/>
      <c r="D156" s="14"/>
      <c r="E156" s="14"/>
      <c r="F156" s="14"/>
      <c r="G156" s="119"/>
    </row>
    <row r="157">
      <c r="B157" s="14"/>
      <c r="C157" s="14"/>
      <c r="D157" s="14"/>
      <c r="E157" s="14"/>
      <c r="F157" s="14"/>
      <c r="G157" s="119"/>
    </row>
    <row r="158">
      <c r="B158" s="14"/>
      <c r="C158" s="14"/>
      <c r="D158" s="14"/>
      <c r="E158" s="14"/>
      <c r="F158" s="14"/>
      <c r="G158" s="119"/>
    </row>
    <row r="159">
      <c r="B159" s="14"/>
      <c r="C159" s="14"/>
      <c r="D159" s="14"/>
      <c r="E159" s="14"/>
      <c r="F159" s="14"/>
      <c r="G159" s="119"/>
    </row>
    <row r="160">
      <c r="B160" s="14"/>
      <c r="C160" s="14"/>
      <c r="D160" s="14"/>
      <c r="E160" s="14"/>
      <c r="F160" s="14"/>
      <c r="G160" s="119"/>
    </row>
    <row r="161">
      <c r="B161" s="14"/>
      <c r="C161" s="14"/>
      <c r="D161" s="14"/>
      <c r="E161" s="14"/>
      <c r="F161" s="14"/>
      <c r="G161" s="119"/>
    </row>
    <row r="162">
      <c r="B162" s="14"/>
      <c r="C162" s="14"/>
      <c r="D162" s="14"/>
      <c r="E162" s="14"/>
      <c r="F162" s="14"/>
      <c r="G162" s="119"/>
    </row>
    <row r="163">
      <c r="B163" s="14"/>
      <c r="C163" s="14"/>
      <c r="D163" s="14"/>
      <c r="E163" s="14"/>
      <c r="F163" s="14"/>
      <c r="G163" s="119"/>
    </row>
    <row r="164">
      <c r="B164" s="14"/>
      <c r="C164" s="14"/>
      <c r="D164" s="14"/>
      <c r="E164" s="14"/>
      <c r="F164" s="14"/>
      <c r="G164" s="119"/>
    </row>
    <row r="165">
      <c r="B165" s="14"/>
      <c r="C165" s="14"/>
      <c r="D165" s="14"/>
      <c r="E165" s="14"/>
      <c r="F165" s="14"/>
      <c r="G165" s="119"/>
    </row>
    <row r="166">
      <c r="B166" s="14"/>
      <c r="C166" s="14"/>
      <c r="D166" s="14"/>
      <c r="E166" s="14"/>
      <c r="F166" s="14"/>
      <c r="G166" s="119"/>
    </row>
    <row r="167">
      <c r="B167" s="14"/>
      <c r="C167" s="14"/>
      <c r="D167" s="14"/>
      <c r="E167" s="14"/>
      <c r="F167" s="14"/>
      <c r="G167" s="119"/>
    </row>
    <row r="168">
      <c r="B168" s="14"/>
      <c r="C168" s="14"/>
      <c r="D168" s="14"/>
      <c r="E168" s="14"/>
      <c r="F168" s="14"/>
      <c r="G168" s="119"/>
    </row>
    <row r="169">
      <c r="B169" s="14"/>
      <c r="C169" s="14"/>
      <c r="D169" s="14"/>
      <c r="E169" s="14"/>
      <c r="F169" s="14"/>
      <c r="G169" s="119"/>
    </row>
    <row r="170">
      <c r="B170" s="14"/>
      <c r="C170" s="14"/>
      <c r="D170" s="14"/>
      <c r="E170" s="14"/>
      <c r="F170" s="14"/>
      <c r="G170" s="119"/>
    </row>
    <row r="171">
      <c r="B171" s="14"/>
      <c r="C171" s="14"/>
      <c r="D171" s="14"/>
      <c r="E171" s="14"/>
      <c r="F171" s="14"/>
      <c r="G171" s="119"/>
    </row>
    <row r="172">
      <c r="B172" s="14"/>
      <c r="C172" s="14"/>
      <c r="D172" s="14"/>
      <c r="E172" s="14"/>
      <c r="F172" s="14"/>
      <c r="G172" s="119"/>
    </row>
    <row r="173">
      <c r="B173" s="14"/>
      <c r="C173" s="14"/>
      <c r="D173" s="14"/>
      <c r="E173" s="14"/>
      <c r="F173" s="14"/>
      <c r="G173" s="119"/>
    </row>
    <row r="174">
      <c r="B174" s="14"/>
      <c r="C174" s="14"/>
      <c r="D174" s="14"/>
      <c r="E174" s="14"/>
      <c r="F174" s="14"/>
      <c r="G174" s="119"/>
    </row>
    <row r="175">
      <c r="B175" s="14"/>
      <c r="C175" s="14"/>
      <c r="D175" s="14"/>
      <c r="E175" s="14"/>
      <c r="F175" s="14"/>
      <c r="G175" s="119"/>
    </row>
    <row r="176">
      <c r="B176" s="14"/>
      <c r="C176" s="14"/>
      <c r="D176" s="14"/>
      <c r="E176" s="14"/>
      <c r="F176" s="14"/>
      <c r="G176" s="119"/>
    </row>
    <row r="177">
      <c r="B177" s="14"/>
      <c r="C177" s="14"/>
      <c r="D177" s="14"/>
      <c r="E177" s="14"/>
      <c r="F177" s="14"/>
      <c r="G177" s="119"/>
    </row>
    <row r="178">
      <c r="B178" s="14"/>
      <c r="C178" s="14"/>
      <c r="D178" s="14"/>
      <c r="E178" s="14"/>
      <c r="F178" s="14"/>
      <c r="G178" s="119"/>
    </row>
    <row r="179">
      <c r="B179" s="14"/>
      <c r="C179" s="14"/>
      <c r="D179" s="14"/>
      <c r="E179" s="14"/>
      <c r="F179" s="14"/>
      <c r="G179" s="119"/>
    </row>
    <row r="180">
      <c r="B180" s="14"/>
      <c r="C180" s="14"/>
      <c r="D180" s="14"/>
      <c r="E180" s="14"/>
      <c r="F180" s="14"/>
      <c r="G180" s="119"/>
    </row>
    <row r="181">
      <c r="B181" s="14"/>
      <c r="C181" s="14"/>
      <c r="D181" s="14"/>
      <c r="E181" s="14"/>
      <c r="F181" s="14"/>
      <c r="G181" s="119"/>
    </row>
    <row r="182">
      <c r="B182" s="14"/>
      <c r="C182" s="14"/>
      <c r="D182" s="14"/>
      <c r="E182" s="14"/>
      <c r="F182" s="14"/>
      <c r="G182" s="119"/>
    </row>
    <row r="183">
      <c r="B183" s="14"/>
      <c r="C183" s="14"/>
      <c r="D183" s="14"/>
      <c r="E183" s="14"/>
      <c r="F183" s="14"/>
      <c r="G183" s="119"/>
    </row>
    <row r="184">
      <c r="B184" s="14"/>
      <c r="C184" s="14"/>
      <c r="D184" s="14"/>
      <c r="E184" s="14"/>
      <c r="F184" s="14"/>
      <c r="G184" s="119"/>
    </row>
    <row r="185">
      <c r="B185" s="14"/>
      <c r="C185" s="14"/>
      <c r="D185" s="14"/>
      <c r="E185" s="14"/>
      <c r="F185" s="14"/>
      <c r="G185" s="119"/>
    </row>
    <row r="186">
      <c r="B186" s="14"/>
      <c r="C186" s="14"/>
      <c r="D186" s="14"/>
      <c r="E186" s="14"/>
      <c r="F186" s="14"/>
      <c r="G186" s="119"/>
    </row>
    <row r="187">
      <c r="B187" s="14"/>
      <c r="C187" s="14"/>
      <c r="D187" s="14"/>
      <c r="E187" s="14"/>
      <c r="F187" s="14"/>
      <c r="G187" s="119"/>
    </row>
    <row r="188">
      <c r="B188" s="14"/>
      <c r="C188" s="14"/>
      <c r="D188" s="14"/>
      <c r="E188" s="14"/>
      <c r="F188" s="14"/>
      <c r="G188" s="119"/>
    </row>
    <row r="189">
      <c r="B189" s="14"/>
      <c r="C189" s="14"/>
      <c r="D189" s="14"/>
      <c r="E189" s="14"/>
      <c r="F189" s="14"/>
      <c r="G189" s="119"/>
    </row>
    <row r="190">
      <c r="B190" s="14"/>
      <c r="C190" s="14"/>
      <c r="D190" s="14"/>
      <c r="E190" s="14"/>
      <c r="F190" s="14"/>
      <c r="G190" s="119"/>
    </row>
    <row r="191">
      <c r="B191" s="14"/>
      <c r="C191" s="14"/>
      <c r="D191" s="14"/>
      <c r="E191" s="14"/>
      <c r="F191" s="14"/>
      <c r="G191" s="119"/>
    </row>
    <row r="192">
      <c r="B192" s="14"/>
      <c r="C192" s="14"/>
      <c r="D192" s="14"/>
      <c r="E192" s="14"/>
      <c r="F192" s="14"/>
      <c r="G192" s="119"/>
    </row>
    <row r="193">
      <c r="B193" s="14"/>
      <c r="C193" s="14"/>
      <c r="D193" s="14"/>
      <c r="E193" s="14"/>
      <c r="F193" s="14"/>
      <c r="G193" s="119"/>
    </row>
    <row r="194">
      <c r="B194" s="14"/>
      <c r="C194" s="14"/>
      <c r="D194" s="14"/>
      <c r="E194" s="14"/>
      <c r="F194" s="14"/>
      <c r="G194" s="119"/>
    </row>
    <row r="195">
      <c r="B195" s="14"/>
      <c r="C195" s="14"/>
      <c r="D195" s="14"/>
      <c r="E195" s="14"/>
      <c r="F195" s="14"/>
      <c r="G195" s="119"/>
    </row>
    <row r="196">
      <c r="B196" s="14"/>
      <c r="C196" s="14"/>
      <c r="D196" s="14"/>
      <c r="E196" s="14"/>
      <c r="F196" s="14"/>
      <c r="G196" s="119"/>
    </row>
    <row r="197">
      <c r="B197" s="14"/>
      <c r="C197" s="14"/>
      <c r="D197" s="14"/>
      <c r="E197" s="14"/>
      <c r="F197" s="14"/>
      <c r="G197" s="119"/>
    </row>
    <row r="198">
      <c r="B198" s="14"/>
      <c r="C198" s="14"/>
      <c r="D198" s="14"/>
      <c r="E198" s="14"/>
      <c r="F198" s="14"/>
      <c r="G198" s="119"/>
    </row>
    <row r="199">
      <c r="B199" s="14"/>
      <c r="C199" s="14"/>
      <c r="D199" s="14"/>
      <c r="E199" s="14"/>
      <c r="F199" s="14"/>
      <c r="G199" s="119"/>
    </row>
    <row r="200">
      <c r="B200" s="14"/>
      <c r="C200" s="14"/>
      <c r="D200" s="14"/>
      <c r="E200" s="14"/>
      <c r="F200" s="14"/>
      <c r="G200" s="119"/>
    </row>
    <row r="201">
      <c r="B201" s="14"/>
      <c r="C201" s="14"/>
      <c r="D201" s="14"/>
      <c r="E201" s="14"/>
      <c r="F201" s="14"/>
      <c r="G201" s="119"/>
    </row>
    <row r="202">
      <c r="B202" s="14"/>
      <c r="C202" s="14"/>
      <c r="D202" s="14"/>
      <c r="E202" s="14"/>
      <c r="F202" s="14"/>
      <c r="G202" s="119"/>
    </row>
    <row r="203">
      <c r="B203" s="14"/>
      <c r="C203" s="14"/>
      <c r="D203" s="14"/>
      <c r="E203" s="14"/>
      <c r="F203" s="14"/>
      <c r="G203" s="119"/>
    </row>
    <row r="204">
      <c r="B204" s="14"/>
      <c r="C204" s="14"/>
      <c r="D204" s="14"/>
      <c r="E204" s="14"/>
      <c r="F204" s="14"/>
      <c r="G204" s="119"/>
    </row>
    <row r="205">
      <c r="B205" s="14"/>
      <c r="C205" s="14"/>
      <c r="D205" s="14"/>
      <c r="E205" s="14"/>
      <c r="F205" s="14"/>
      <c r="G205" s="119"/>
    </row>
    <row r="206">
      <c r="B206" s="14"/>
      <c r="C206" s="14"/>
      <c r="D206" s="14"/>
      <c r="E206" s="14"/>
      <c r="F206" s="14"/>
      <c r="G206" s="119"/>
    </row>
    <row r="207">
      <c r="B207" s="14"/>
      <c r="C207" s="14"/>
      <c r="D207" s="14"/>
      <c r="E207" s="14"/>
      <c r="F207" s="14"/>
      <c r="G207" s="119"/>
    </row>
    <row r="208">
      <c r="B208" s="14"/>
      <c r="C208" s="14"/>
      <c r="D208" s="14"/>
      <c r="E208" s="14"/>
      <c r="F208" s="14"/>
      <c r="G208" s="119"/>
    </row>
    <row r="209">
      <c r="B209" s="14"/>
      <c r="C209" s="14"/>
      <c r="D209" s="14"/>
      <c r="E209" s="14"/>
      <c r="F209" s="14"/>
      <c r="G209" s="119"/>
    </row>
    <row r="210">
      <c r="B210" s="14"/>
      <c r="C210" s="14"/>
      <c r="D210" s="14"/>
      <c r="E210" s="14"/>
      <c r="F210" s="14"/>
      <c r="G210" s="119"/>
    </row>
    <row r="211">
      <c r="B211" s="14"/>
      <c r="C211" s="14"/>
      <c r="D211" s="14"/>
      <c r="E211" s="14"/>
      <c r="F211" s="14"/>
      <c r="G211" s="119"/>
    </row>
    <row r="212">
      <c r="B212" s="14"/>
      <c r="C212" s="14"/>
      <c r="D212" s="14"/>
      <c r="E212" s="14"/>
      <c r="F212" s="14"/>
      <c r="G212" s="119"/>
    </row>
    <row r="213">
      <c r="B213" s="14"/>
      <c r="C213" s="14"/>
      <c r="D213" s="14"/>
      <c r="E213" s="14"/>
      <c r="F213" s="14"/>
      <c r="G213" s="119"/>
    </row>
    <row r="214">
      <c r="B214" s="14"/>
      <c r="C214" s="14"/>
      <c r="D214" s="14"/>
      <c r="E214" s="14"/>
      <c r="F214" s="14"/>
      <c r="G214" s="119"/>
    </row>
    <row r="215">
      <c r="B215" s="14"/>
      <c r="C215" s="14"/>
      <c r="D215" s="14"/>
      <c r="E215" s="14"/>
      <c r="F215" s="14"/>
      <c r="G215" s="119"/>
    </row>
    <row r="216">
      <c r="B216" s="14"/>
      <c r="C216" s="14"/>
      <c r="D216" s="14"/>
      <c r="E216" s="14"/>
      <c r="F216" s="14"/>
      <c r="G216" s="119"/>
    </row>
    <row r="217">
      <c r="B217" s="14"/>
      <c r="C217" s="14"/>
      <c r="D217" s="14"/>
      <c r="E217" s="14"/>
      <c r="F217" s="14"/>
      <c r="G217" s="119"/>
    </row>
    <row r="218">
      <c r="B218" s="14"/>
      <c r="C218" s="14"/>
      <c r="D218" s="14"/>
      <c r="E218" s="14"/>
      <c r="F218" s="14"/>
      <c r="G218" s="119"/>
    </row>
    <row r="219">
      <c r="B219" s="14"/>
      <c r="C219" s="14"/>
      <c r="D219" s="14"/>
      <c r="E219" s="14"/>
      <c r="F219" s="14"/>
      <c r="G219" s="119"/>
    </row>
    <row r="220">
      <c r="B220" s="14"/>
      <c r="C220" s="14"/>
      <c r="D220" s="14"/>
      <c r="E220" s="14"/>
      <c r="F220" s="14"/>
      <c r="G220" s="119"/>
    </row>
    <row r="221">
      <c r="B221" s="14"/>
      <c r="C221" s="14"/>
      <c r="D221" s="14"/>
      <c r="E221" s="14"/>
      <c r="F221" s="14"/>
      <c r="G221" s="119"/>
    </row>
    <row r="222">
      <c r="B222" s="14"/>
      <c r="C222" s="14"/>
      <c r="D222" s="14"/>
      <c r="E222" s="14"/>
      <c r="F222" s="14"/>
      <c r="G222" s="119"/>
    </row>
    <row r="223">
      <c r="B223" s="14"/>
      <c r="C223" s="14"/>
      <c r="D223" s="14"/>
      <c r="E223" s="14"/>
      <c r="F223" s="14"/>
      <c r="G223" s="119"/>
    </row>
    <row r="224">
      <c r="B224" s="14"/>
      <c r="C224" s="14"/>
      <c r="D224" s="14"/>
      <c r="E224" s="14"/>
      <c r="F224" s="14"/>
      <c r="G224" s="119"/>
    </row>
    <row r="225">
      <c r="B225" s="14"/>
      <c r="C225" s="14"/>
      <c r="D225" s="14"/>
      <c r="E225" s="14"/>
      <c r="F225" s="14"/>
      <c r="G225" s="119"/>
    </row>
    <row r="226">
      <c r="B226" s="14"/>
      <c r="C226" s="14"/>
      <c r="D226" s="14"/>
      <c r="E226" s="14"/>
      <c r="F226" s="14"/>
      <c r="G226" s="119"/>
    </row>
    <row r="227">
      <c r="B227" s="14"/>
      <c r="C227" s="14"/>
      <c r="D227" s="14"/>
      <c r="E227" s="14"/>
      <c r="F227" s="14"/>
      <c r="G227" s="119"/>
    </row>
    <row r="228">
      <c r="B228" s="14"/>
      <c r="C228" s="14"/>
      <c r="D228" s="14"/>
      <c r="E228" s="14"/>
      <c r="F228" s="14"/>
      <c r="G228" s="119"/>
    </row>
    <row r="229">
      <c r="B229" s="14"/>
      <c r="C229" s="14"/>
      <c r="D229" s="14"/>
      <c r="E229" s="14"/>
      <c r="F229" s="14"/>
      <c r="G229" s="119"/>
    </row>
    <row r="230">
      <c r="B230" s="14"/>
      <c r="C230" s="14"/>
      <c r="D230" s="14"/>
      <c r="E230" s="14"/>
      <c r="F230" s="14"/>
      <c r="G230" s="119"/>
    </row>
    <row r="231">
      <c r="B231" s="14"/>
      <c r="C231" s="14"/>
      <c r="D231" s="14"/>
      <c r="E231" s="14"/>
      <c r="F231" s="14"/>
      <c r="G231" s="119"/>
    </row>
    <row r="232">
      <c r="B232" s="14"/>
      <c r="C232" s="14"/>
      <c r="D232" s="14"/>
      <c r="E232" s="14"/>
      <c r="F232" s="14"/>
      <c r="G232" s="119"/>
    </row>
    <row r="233">
      <c r="B233" s="14"/>
      <c r="C233" s="14"/>
      <c r="D233" s="14"/>
      <c r="E233" s="14"/>
      <c r="F233" s="14"/>
      <c r="G233" s="119"/>
    </row>
    <row r="234">
      <c r="B234" s="14"/>
      <c r="C234" s="14"/>
      <c r="D234" s="14"/>
      <c r="E234" s="14"/>
      <c r="F234" s="14"/>
      <c r="G234" s="119"/>
    </row>
    <row r="235">
      <c r="B235" s="14"/>
      <c r="C235" s="14"/>
      <c r="D235" s="14"/>
      <c r="E235" s="14"/>
      <c r="F235" s="14"/>
      <c r="G235" s="119"/>
    </row>
    <row r="236">
      <c r="B236" s="14"/>
      <c r="C236" s="14"/>
      <c r="D236" s="14"/>
      <c r="E236" s="14"/>
      <c r="F236" s="14"/>
      <c r="G236" s="119"/>
    </row>
    <row r="237">
      <c r="B237" s="14"/>
      <c r="C237" s="14"/>
      <c r="D237" s="14"/>
      <c r="E237" s="14"/>
      <c r="F237" s="14"/>
      <c r="G237" s="119"/>
    </row>
    <row r="238">
      <c r="B238" s="14"/>
      <c r="C238" s="14"/>
      <c r="D238" s="14"/>
      <c r="E238" s="14"/>
      <c r="F238" s="14"/>
      <c r="G238" s="119"/>
    </row>
    <row r="239">
      <c r="B239" s="14"/>
      <c r="C239" s="14"/>
      <c r="D239" s="14"/>
      <c r="E239" s="14"/>
      <c r="F239" s="14"/>
      <c r="G239" s="119"/>
    </row>
    <row r="240">
      <c r="B240" s="14"/>
      <c r="C240" s="14"/>
      <c r="D240" s="14"/>
      <c r="E240" s="14"/>
      <c r="F240" s="14"/>
      <c r="G240" s="119"/>
    </row>
    <row r="241">
      <c r="B241" s="14"/>
      <c r="C241" s="14"/>
      <c r="D241" s="14"/>
      <c r="E241" s="14"/>
      <c r="F241" s="14"/>
      <c r="G241" s="119"/>
    </row>
    <row r="242">
      <c r="B242" s="14"/>
      <c r="C242" s="14"/>
      <c r="D242" s="14"/>
      <c r="E242" s="14"/>
      <c r="F242" s="14"/>
      <c r="G242" s="119"/>
    </row>
    <row r="243">
      <c r="B243" s="14"/>
      <c r="C243" s="14"/>
      <c r="D243" s="14"/>
      <c r="E243" s="14"/>
      <c r="F243" s="14"/>
      <c r="G243" s="119"/>
    </row>
    <row r="244">
      <c r="B244" s="14"/>
      <c r="C244" s="14"/>
      <c r="D244" s="14"/>
      <c r="E244" s="14"/>
      <c r="F244" s="14"/>
      <c r="G244" s="119"/>
    </row>
    <row r="245">
      <c r="B245" s="14"/>
      <c r="C245" s="14"/>
      <c r="D245" s="14"/>
      <c r="E245" s="14"/>
      <c r="F245" s="14"/>
      <c r="G245" s="119"/>
    </row>
    <row r="246">
      <c r="B246" s="14"/>
      <c r="C246" s="14"/>
      <c r="D246" s="14"/>
      <c r="E246" s="14"/>
      <c r="F246" s="14"/>
      <c r="G246" s="119"/>
    </row>
    <row r="247">
      <c r="B247" s="14"/>
      <c r="C247" s="14"/>
      <c r="D247" s="14"/>
      <c r="E247" s="14"/>
      <c r="F247" s="14"/>
      <c r="G247" s="119"/>
    </row>
    <row r="248">
      <c r="B248" s="14"/>
      <c r="C248" s="14"/>
      <c r="D248" s="14"/>
      <c r="E248" s="14"/>
      <c r="F248" s="14"/>
      <c r="G248" s="119"/>
    </row>
    <row r="249">
      <c r="B249" s="14"/>
      <c r="C249" s="14"/>
      <c r="D249" s="14"/>
      <c r="E249" s="14"/>
      <c r="F249" s="14"/>
      <c r="G249" s="119"/>
    </row>
    <row r="250">
      <c r="B250" s="14"/>
      <c r="C250" s="14"/>
      <c r="D250" s="14"/>
      <c r="E250" s="14"/>
      <c r="F250" s="14"/>
      <c r="G250" s="119"/>
    </row>
    <row r="251">
      <c r="B251" s="14"/>
      <c r="C251" s="14"/>
      <c r="D251" s="14"/>
      <c r="E251" s="14"/>
      <c r="F251" s="14"/>
      <c r="G251" s="119"/>
    </row>
    <row r="252">
      <c r="B252" s="14"/>
      <c r="C252" s="14"/>
      <c r="D252" s="14"/>
      <c r="E252" s="14"/>
      <c r="F252" s="14"/>
      <c r="G252" s="119"/>
    </row>
    <row r="253">
      <c r="B253" s="14"/>
      <c r="C253" s="14"/>
      <c r="D253" s="14"/>
      <c r="E253" s="14"/>
      <c r="F253" s="14"/>
      <c r="G253" s="119"/>
    </row>
    <row r="254">
      <c r="B254" s="14"/>
      <c r="C254" s="14"/>
      <c r="D254" s="14"/>
      <c r="E254" s="14"/>
      <c r="F254" s="14"/>
      <c r="G254" s="119"/>
    </row>
    <row r="255">
      <c r="B255" s="14"/>
      <c r="C255" s="14"/>
      <c r="D255" s="14"/>
      <c r="E255" s="14"/>
      <c r="F255" s="14"/>
      <c r="G255" s="119"/>
    </row>
    <row r="256">
      <c r="B256" s="14"/>
      <c r="C256" s="14"/>
      <c r="D256" s="14"/>
      <c r="E256" s="14"/>
      <c r="F256" s="14"/>
      <c r="G256" s="119"/>
    </row>
    <row r="257">
      <c r="B257" s="14"/>
      <c r="C257" s="14"/>
      <c r="D257" s="14"/>
      <c r="E257" s="14"/>
      <c r="F257" s="14"/>
      <c r="G257" s="119"/>
    </row>
    <row r="258">
      <c r="B258" s="14"/>
      <c r="C258" s="14"/>
      <c r="D258" s="14"/>
      <c r="E258" s="14"/>
      <c r="F258" s="14"/>
      <c r="G258" s="119"/>
    </row>
    <row r="259">
      <c r="B259" s="14"/>
      <c r="C259" s="14"/>
      <c r="D259" s="14"/>
      <c r="E259" s="14"/>
      <c r="F259" s="14"/>
      <c r="G259" s="119"/>
    </row>
    <row r="260">
      <c r="B260" s="14"/>
      <c r="C260" s="14"/>
      <c r="D260" s="14"/>
      <c r="E260" s="14"/>
      <c r="F260" s="14"/>
      <c r="G260" s="119"/>
    </row>
    <row r="261">
      <c r="B261" s="14"/>
      <c r="C261" s="14"/>
      <c r="D261" s="14"/>
      <c r="E261" s="14"/>
      <c r="F261" s="14"/>
      <c r="G261" s="119"/>
    </row>
    <row r="262">
      <c r="B262" s="14"/>
      <c r="C262" s="14"/>
      <c r="D262" s="14"/>
      <c r="E262" s="14"/>
      <c r="F262" s="14"/>
      <c r="G262" s="119"/>
    </row>
    <row r="263">
      <c r="B263" s="14"/>
      <c r="C263" s="14"/>
      <c r="D263" s="14"/>
      <c r="E263" s="14"/>
      <c r="F263" s="14"/>
      <c r="G263" s="119"/>
    </row>
    <row r="264">
      <c r="B264" s="14"/>
      <c r="C264" s="14"/>
      <c r="D264" s="14"/>
      <c r="E264" s="14"/>
      <c r="F264" s="14"/>
      <c r="G264" s="119"/>
    </row>
    <row r="265">
      <c r="B265" s="14"/>
      <c r="C265" s="14"/>
      <c r="D265" s="14"/>
      <c r="E265" s="14"/>
      <c r="F265" s="14"/>
      <c r="G265" s="119"/>
    </row>
    <row r="266">
      <c r="B266" s="14"/>
      <c r="C266" s="14"/>
      <c r="D266" s="14"/>
      <c r="E266" s="14"/>
      <c r="F266" s="14"/>
      <c r="G266" s="119"/>
    </row>
    <row r="267">
      <c r="B267" s="14"/>
      <c r="C267" s="14"/>
      <c r="D267" s="14"/>
      <c r="E267" s="14"/>
      <c r="F267" s="14"/>
      <c r="G267" s="119"/>
    </row>
    <row r="268">
      <c r="B268" s="14"/>
      <c r="C268" s="14"/>
      <c r="D268" s="14"/>
      <c r="E268" s="14"/>
      <c r="F268" s="14"/>
      <c r="G268" s="119"/>
    </row>
    <row r="269">
      <c r="B269" s="14"/>
      <c r="C269" s="14"/>
      <c r="D269" s="14"/>
      <c r="E269" s="14"/>
      <c r="F269" s="14"/>
      <c r="G269" s="119"/>
    </row>
    <row r="270">
      <c r="B270" s="14"/>
      <c r="C270" s="14"/>
      <c r="D270" s="14"/>
      <c r="E270" s="14"/>
      <c r="F270" s="14"/>
      <c r="G270" s="119"/>
    </row>
    <row r="271">
      <c r="B271" s="14"/>
      <c r="C271" s="14"/>
      <c r="D271" s="14"/>
      <c r="E271" s="14"/>
      <c r="F271" s="14"/>
      <c r="G271" s="119"/>
    </row>
    <row r="272">
      <c r="B272" s="14"/>
      <c r="C272" s="14"/>
      <c r="D272" s="14"/>
      <c r="E272" s="14"/>
      <c r="F272" s="14"/>
      <c r="G272" s="119"/>
    </row>
    <row r="273">
      <c r="B273" s="14"/>
      <c r="C273" s="14"/>
      <c r="D273" s="14"/>
      <c r="E273" s="14"/>
      <c r="F273" s="14"/>
      <c r="G273" s="119"/>
    </row>
    <row r="274">
      <c r="B274" s="14"/>
      <c r="C274" s="14"/>
      <c r="D274" s="14"/>
      <c r="E274" s="14"/>
      <c r="F274" s="14"/>
      <c r="G274" s="119"/>
    </row>
    <row r="275">
      <c r="B275" s="14"/>
      <c r="C275" s="14"/>
      <c r="D275" s="14"/>
      <c r="E275" s="14"/>
      <c r="F275" s="14"/>
      <c r="G275" s="119"/>
    </row>
    <row r="276">
      <c r="B276" s="14"/>
      <c r="C276" s="14"/>
      <c r="D276" s="14"/>
      <c r="E276" s="14"/>
      <c r="F276" s="14"/>
      <c r="G276" s="119"/>
    </row>
    <row r="277">
      <c r="B277" s="14"/>
      <c r="C277" s="14"/>
      <c r="D277" s="14"/>
      <c r="E277" s="14"/>
      <c r="F277" s="14"/>
      <c r="G277" s="119"/>
    </row>
    <row r="278">
      <c r="B278" s="14"/>
      <c r="C278" s="14"/>
      <c r="D278" s="14"/>
      <c r="E278" s="14"/>
      <c r="F278" s="14"/>
      <c r="G278" s="119"/>
    </row>
    <row r="279">
      <c r="B279" s="14"/>
      <c r="C279" s="14"/>
      <c r="D279" s="14"/>
      <c r="E279" s="14"/>
      <c r="F279" s="14"/>
      <c r="G279" s="119"/>
    </row>
    <row r="280">
      <c r="B280" s="14"/>
      <c r="C280" s="14"/>
      <c r="D280" s="14"/>
      <c r="E280" s="14"/>
      <c r="F280" s="14"/>
      <c r="G280" s="119"/>
    </row>
    <row r="281">
      <c r="B281" s="14"/>
      <c r="C281" s="14"/>
      <c r="D281" s="14"/>
      <c r="E281" s="14"/>
      <c r="F281" s="14"/>
      <c r="G281" s="119"/>
    </row>
    <row r="282">
      <c r="B282" s="14"/>
      <c r="C282" s="14"/>
      <c r="D282" s="14"/>
      <c r="E282" s="14"/>
      <c r="F282" s="14"/>
      <c r="G282" s="119"/>
    </row>
    <row r="283">
      <c r="B283" s="14"/>
      <c r="C283" s="14"/>
      <c r="D283" s="14"/>
      <c r="E283" s="14"/>
      <c r="F283" s="14"/>
      <c r="G283" s="119"/>
    </row>
    <row r="284">
      <c r="B284" s="14"/>
      <c r="C284" s="14"/>
      <c r="D284" s="14"/>
      <c r="E284" s="14"/>
      <c r="F284" s="14"/>
      <c r="G284" s="119"/>
    </row>
    <row r="285">
      <c r="B285" s="14"/>
      <c r="C285" s="14"/>
      <c r="D285" s="14"/>
      <c r="E285" s="14"/>
      <c r="F285" s="14"/>
      <c r="G285" s="119"/>
    </row>
    <row r="286">
      <c r="B286" s="14"/>
      <c r="C286" s="14"/>
      <c r="D286" s="14"/>
      <c r="E286" s="14"/>
      <c r="F286" s="14"/>
      <c r="G286" s="119"/>
    </row>
    <row r="287">
      <c r="B287" s="14"/>
      <c r="C287" s="14"/>
      <c r="D287" s="14"/>
      <c r="E287" s="14"/>
      <c r="F287" s="14"/>
      <c r="G287" s="119"/>
    </row>
    <row r="288">
      <c r="B288" s="14"/>
      <c r="C288" s="14"/>
      <c r="D288" s="14"/>
      <c r="E288" s="14"/>
      <c r="F288" s="14"/>
      <c r="G288" s="119"/>
    </row>
    <row r="289">
      <c r="B289" s="14"/>
      <c r="C289" s="14"/>
      <c r="D289" s="14"/>
      <c r="E289" s="14"/>
      <c r="F289" s="14"/>
      <c r="G289" s="119"/>
    </row>
    <row r="290">
      <c r="B290" s="14"/>
      <c r="C290" s="14"/>
      <c r="D290" s="14"/>
      <c r="E290" s="14"/>
      <c r="F290" s="14"/>
      <c r="G290" s="119"/>
    </row>
    <row r="291">
      <c r="B291" s="14"/>
      <c r="C291" s="14"/>
      <c r="D291" s="14"/>
      <c r="E291" s="14"/>
      <c r="F291" s="14"/>
      <c r="G291" s="119"/>
    </row>
    <row r="292">
      <c r="B292" s="14"/>
      <c r="C292" s="14"/>
      <c r="D292" s="14"/>
      <c r="E292" s="14"/>
      <c r="F292" s="14"/>
      <c r="G292" s="119"/>
    </row>
    <row r="293">
      <c r="B293" s="14"/>
      <c r="C293" s="14"/>
      <c r="D293" s="14"/>
      <c r="E293" s="14"/>
      <c r="F293" s="14"/>
      <c r="G293" s="119"/>
    </row>
    <row r="294">
      <c r="B294" s="14"/>
      <c r="C294" s="14"/>
      <c r="D294" s="14"/>
      <c r="E294" s="14"/>
      <c r="F294" s="14"/>
      <c r="G294" s="119"/>
    </row>
    <row r="295">
      <c r="B295" s="14"/>
      <c r="C295" s="14"/>
      <c r="D295" s="14"/>
      <c r="E295" s="14"/>
      <c r="F295" s="14"/>
      <c r="G295" s="119"/>
    </row>
    <row r="296">
      <c r="B296" s="14"/>
      <c r="C296" s="14"/>
      <c r="D296" s="14"/>
      <c r="E296" s="14"/>
      <c r="F296" s="14"/>
      <c r="G296" s="119"/>
    </row>
    <row r="297">
      <c r="B297" s="14"/>
      <c r="C297" s="14"/>
      <c r="D297" s="14"/>
      <c r="E297" s="14"/>
      <c r="F297" s="14"/>
      <c r="G297" s="119"/>
    </row>
    <row r="298">
      <c r="B298" s="14"/>
      <c r="C298" s="14"/>
      <c r="D298" s="14"/>
      <c r="E298" s="14"/>
      <c r="F298" s="14"/>
      <c r="G298" s="119"/>
    </row>
    <row r="299">
      <c r="B299" s="14"/>
      <c r="C299" s="14"/>
      <c r="D299" s="14"/>
      <c r="E299" s="14"/>
      <c r="F299" s="14"/>
      <c r="G299" s="119"/>
    </row>
    <row r="300">
      <c r="B300" s="14"/>
      <c r="C300" s="14"/>
      <c r="D300" s="14"/>
      <c r="E300" s="14"/>
      <c r="F300" s="14"/>
      <c r="G300" s="119"/>
    </row>
    <row r="301">
      <c r="B301" s="14"/>
      <c r="C301" s="14"/>
      <c r="D301" s="14"/>
      <c r="E301" s="14"/>
      <c r="F301" s="14"/>
      <c r="G301" s="119"/>
    </row>
    <row r="302">
      <c r="B302" s="14"/>
      <c r="C302" s="14"/>
      <c r="D302" s="14"/>
      <c r="E302" s="14"/>
      <c r="F302" s="14"/>
      <c r="G302" s="119"/>
    </row>
    <row r="303">
      <c r="B303" s="14"/>
      <c r="C303" s="14"/>
      <c r="D303" s="14"/>
      <c r="E303" s="14"/>
      <c r="F303" s="14"/>
      <c r="G303" s="119"/>
    </row>
    <row r="304">
      <c r="B304" s="14"/>
      <c r="C304" s="14"/>
      <c r="D304" s="14"/>
      <c r="E304" s="14"/>
      <c r="F304" s="14"/>
      <c r="G304" s="119"/>
    </row>
    <row r="305">
      <c r="B305" s="14"/>
      <c r="C305" s="14"/>
      <c r="D305" s="14"/>
      <c r="E305" s="14"/>
      <c r="F305" s="14"/>
      <c r="G305" s="119"/>
    </row>
    <row r="306">
      <c r="B306" s="14"/>
      <c r="C306" s="14"/>
      <c r="D306" s="14"/>
      <c r="E306" s="14"/>
      <c r="F306" s="14"/>
      <c r="G306" s="119"/>
    </row>
    <row r="307">
      <c r="B307" s="14"/>
      <c r="C307" s="14"/>
      <c r="D307" s="14"/>
      <c r="E307" s="14"/>
      <c r="F307" s="14"/>
      <c r="G307" s="119"/>
    </row>
    <row r="308">
      <c r="B308" s="14"/>
      <c r="C308" s="14"/>
      <c r="D308" s="14"/>
      <c r="E308" s="14"/>
      <c r="F308" s="14"/>
      <c r="G308" s="119"/>
    </row>
    <row r="309">
      <c r="B309" s="14"/>
      <c r="C309" s="14"/>
      <c r="D309" s="14"/>
      <c r="E309" s="14"/>
      <c r="F309" s="14"/>
      <c r="G309" s="119"/>
    </row>
    <row r="310">
      <c r="B310" s="14"/>
      <c r="C310" s="14"/>
      <c r="D310" s="14"/>
      <c r="E310" s="14"/>
      <c r="F310" s="14"/>
      <c r="G310" s="119"/>
    </row>
    <row r="311">
      <c r="B311" s="14"/>
      <c r="C311" s="14"/>
      <c r="D311" s="14"/>
      <c r="E311" s="14"/>
      <c r="F311" s="14"/>
      <c r="G311" s="119"/>
    </row>
    <row r="312">
      <c r="B312" s="14"/>
      <c r="C312" s="14"/>
      <c r="D312" s="14"/>
      <c r="E312" s="14"/>
      <c r="F312" s="14"/>
      <c r="G312" s="119"/>
    </row>
    <row r="313">
      <c r="B313" s="14"/>
      <c r="C313" s="14"/>
      <c r="D313" s="14"/>
      <c r="E313" s="14"/>
      <c r="F313" s="14"/>
      <c r="G313" s="119"/>
    </row>
    <row r="314">
      <c r="B314" s="14"/>
      <c r="C314" s="14"/>
      <c r="D314" s="14"/>
      <c r="E314" s="14"/>
      <c r="F314" s="14"/>
      <c r="G314" s="119"/>
    </row>
    <row r="315">
      <c r="B315" s="14"/>
      <c r="C315" s="14"/>
      <c r="D315" s="14"/>
      <c r="E315" s="14"/>
      <c r="F315" s="14"/>
      <c r="G315" s="119"/>
    </row>
    <row r="316">
      <c r="B316" s="14"/>
      <c r="C316" s="14"/>
      <c r="D316" s="14"/>
      <c r="E316" s="14"/>
      <c r="F316" s="14"/>
      <c r="G316" s="119"/>
    </row>
    <row r="317">
      <c r="B317" s="14"/>
      <c r="C317" s="14"/>
      <c r="D317" s="14"/>
      <c r="E317" s="14"/>
      <c r="F317" s="14"/>
      <c r="G317" s="119"/>
    </row>
    <row r="318">
      <c r="B318" s="14"/>
      <c r="C318" s="14"/>
      <c r="D318" s="14"/>
      <c r="E318" s="14"/>
      <c r="F318" s="14"/>
      <c r="G318" s="119"/>
    </row>
    <row r="319">
      <c r="B319" s="14"/>
      <c r="C319" s="14"/>
      <c r="D319" s="14"/>
      <c r="E319" s="14"/>
      <c r="F319" s="14"/>
      <c r="G319" s="119"/>
    </row>
    <row r="320">
      <c r="B320" s="14"/>
      <c r="C320" s="14"/>
      <c r="D320" s="14"/>
      <c r="E320" s="14"/>
      <c r="F320" s="14"/>
      <c r="G320" s="119"/>
    </row>
    <row r="321">
      <c r="B321" s="14"/>
      <c r="C321" s="14"/>
      <c r="D321" s="14"/>
      <c r="E321" s="14"/>
      <c r="F321" s="14"/>
      <c r="G321" s="119"/>
    </row>
    <row r="322">
      <c r="B322" s="14"/>
      <c r="C322" s="14"/>
      <c r="D322" s="14"/>
      <c r="E322" s="14"/>
      <c r="F322" s="14"/>
      <c r="G322" s="119"/>
    </row>
    <row r="323">
      <c r="B323" s="14"/>
      <c r="C323" s="14"/>
      <c r="D323" s="14"/>
      <c r="E323" s="14"/>
      <c r="F323" s="14"/>
      <c r="G323" s="119"/>
    </row>
    <row r="324">
      <c r="B324" s="14"/>
      <c r="C324" s="14"/>
      <c r="D324" s="14"/>
      <c r="E324" s="14"/>
      <c r="F324" s="14"/>
      <c r="G324" s="119"/>
    </row>
    <row r="325">
      <c r="B325" s="14"/>
      <c r="C325" s="14"/>
      <c r="D325" s="14"/>
      <c r="E325" s="14"/>
      <c r="F325" s="14"/>
      <c r="G325" s="119"/>
    </row>
    <row r="326">
      <c r="B326" s="14"/>
      <c r="C326" s="14"/>
      <c r="D326" s="14"/>
      <c r="E326" s="14"/>
      <c r="F326" s="14"/>
      <c r="G326" s="119"/>
    </row>
    <row r="327">
      <c r="B327" s="14"/>
      <c r="C327" s="14"/>
      <c r="D327" s="14"/>
      <c r="E327" s="14"/>
      <c r="F327" s="14"/>
      <c r="G327" s="119"/>
    </row>
    <row r="328">
      <c r="B328" s="14"/>
      <c r="C328" s="14"/>
      <c r="D328" s="14"/>
      <c r="E328" s="14"/>
      <c r="F328" s="14"/>
      <c r="G328" s="119"/>
    </row>
    <row r="329">
      <c r="B329" s="14"/>
      <c r="C329" s="14"/>
      <c r="D329" s="14"/>
      <c r="E329" s="14"/>
      <c r="F329" s="14"/>
      <c r="G329" s="119"/>
    </row>
    <row r="330">
      <c r="B330" s="14"/>
      <c r="C330" s="14"/>
      <c r="D330" s="14"/>
      <c r="E330" s="14"/>
      <c r="F330" s="14"/>
      <c r="G330" s="119"/>
    </row>
    <row r="331">
      <c r="B331" s="14"/>
      <c r="C331" s="14"/>
      <c r="D331" s="14"/>
      <c r="E331" s="14"/>
      <c r="F331" s="14"/>
      <c r="G331" s="119"/>
    </row>
    <row r="332">
      <c r="B332" s="14"/>
      <c r="C332" s="14"/>
      <c r="D332" s="14"/>
      <c r="E332" s="14"/>
      <c r="F332" s="14"/>
      <c r="G332" s="119"/>
    </row>
    <row r="333">
      <c r="B333" s="14"/>
      <c r="C333" s="14"/>
      <c r="D333" s="14"/>
      <c r="E333" s="14"/>
      <c r="F333" s="14"/>
      <c r="G333" s="119"/>
    </row>
    <row r="334">
      <c r="B334" s="14"/>
      <c r="C334" s="14"/>
      <c r="D334" s="14"/>
      <c r="E334" s="14"/>
      <c r="F334" s="14"/>
      <c r="G334" s="119"/>
    </row>
    <row r="335">
      <c r="B335" s="14"/>
      <c r="C335" s="14"/>
      <c r="D335" s="14"/>
      <c r="E335" s="14"/>
      <c r="F335" s="14"/>
      <c r="G335" s="119"/>
    </row>
    <row r="336">
      <c r="B336" s="14"/>
      <c r="C336" s="14"/>
      <c r="D336" s="14"/>
      <c r="E336" s="14"/>
      <c r="F336" s="14"/>
      <c r="G336" s="119"/>
    </row>
    <row r="337">
      <c r="B337" s="14"/>
      <c r="C337" s="14"/>
      <c r="D337" s="14"/>
      <c r="E337" s="14"/>
      <c r="F337" s="14"/>
      <c r="G337" s="119"/>
    </row>
    <row r="338">
      <c r="B338" s="14"/>
      <c r="C338" s="14"/>
      <c r="D338" s="14"/>
      <c r="E338" s="14"/>
      <c r="F338" s="14"/>
      <c r="G338" s="119"/>
    </row>
    <row r="339">
      <c r="B339" s="14"/>
      <c r="C339" s="14"/>
      <c r="D339" s="14"/>
      <c r="E339" s="14"/>
      <c r="F339" s="14"/>
      <c r="G339" s="119"/>
    </row>
    <row r="340">
      <c r="B340" s="14"/>
      <c r="C340" s="14"/>
      <c r="D340" s="14"/>
      <c r="E340" s="14"/>
      <c r="F340" s="14"/>
      <c r="G340" s="119"/>
    </row>
    <row r="341">
      <c r="B341" s="14"/>
      <c r="C341" s="14"/>
      <c r="D341" s="14"/>
      <c r="E341" s="14"/>
      <c r="F341" s="14"/>
      <c r="G341" s="119"/>
    </row>
    <row r="342">
      <c r="B342" s="14"/>
      <c r="C342" s="14"/>
      <c r="D342" s="14"/>
      <c r="E342" s="14"/>
      <c r="F342" s="14"/>
      <c r="G342" s="119"/>
    </row>
    <row r="343">
      <c r="B343" s="14"/>
      <c r="C343" s="14"/>
      <c r="D343" s="14"/>
      <c r="E343" s="14"/>
      <c r="F343" s="14"/>
      <c r="G343" s="119"/>
    </row>
    <row r="344">
      <c r="B344" s="14"/>
      <c r="C344" s="14"/>
      <c r="D344" s="14"/>
      <c r="E344" s="14"/>
      <c r="F344" s="14"/>
      <c r="G344" s="119"/>
    </row>
    <row r="345">
      <c r="B345" s="14"/>
      <c r="C345" s="14"/>
      <c r="D345" s="14"/>
      <c r="E345" s="14"/>
      <c r="F345" s="14"/>
      <c r="G345" s="119"/>
    </row>
    <row r="346">
      <c r="B346" s="14"/>
      <c r="C346" s="14"/>
      <c r="D346" s="14"/>
      <c r="E346" s="14"/>
      <c r="F346" s="14"/>
      <c r="G346" s="119"/>
    </row>
    <row r="347">
      <c r="B347" s="14"/>
      <c r="C347" s="14"/>
      <c r="D347" s="14"/>
      <c r="E347" s="14"/>
      <c r="F347" s="14"/>
      <c r="G347" s="119"/>
    </row>
    <row r="348">
      <c r="B348" s="14"/>
      <c r="C348" s="14"/>
      <c r="D348" s="14"/>
      <c r="E348" s="14"/>
      <c r="F348" s="14"/>
      <c r="G348" s="119"/>
    </row>
    <row r="349">
      <c r="B349" s="14"/>
      <c r="C349" s="14"/>
      <c r="D349" s="14"/>
      <c r="E349" s="14"/>
      <c r="F349" s="14"/>
      <c r="G349" s="119"/>
    </row>
    <row r="350">
      <c r="B350" s="14"/>
      <c r="C350" s="14"/>
      <c r="D350" s="14"/>
      <c r="E350" s="14"/>
      <c r="F350" s="14"/>
      <c r="G350" s="119"/>
    </row>
    <row r="351">
      <c r="B351" s="14"/>
      <c r="C351" s="14"/>
      <c r="D351" s="14"/>
      <c r="E351" s="14"/>
      <c r="F351" s="14"/>
      <c r="G351" s="119"/>
    </row>
    <row r="352">
      <c r="B352" s="14"/>
      <c r="C352" s="14"/>
      <c r="D352" s="14"/>
      <c r="E352" s="14"/>
      <c r="F352" s="14"/>
      <c r="G352" s="119"/>
    </row>
    <row r="353">
      <c r="B353" s="14"/>
      <c r="C353" s="14"/>
      <c r="D353" s="14"/>
      <c r="E353" s="14"/>
      <c r="F353" s="14"/>
      <c r="G353" s="119"/>
    </row>
    <row r="354">
      <c r="B354" s="14"/>
      <c r="C354" s="14"/>
      <c r="D354" s="14"/>
      <c r="E354" s="14"/>
      <c r="F354" s="14"/>
      <c r="G354" s="119"/>
    </row>
    <row r="355">
      <c r="B355" s="14"/>
      <c r="C355" s="14"/>
      <c r="D355" s="14"/>
      <c r="E355" s="14"/>
      <c r="F355" s="14"/>
      <c r="G355" s="119"/>
    </row>
    <row r="356">
      <c r="B356" s="14"/>
      <c r="C356" s="14"/>
      <c r="D356" s="14"/>
      <c r="E356" s="14"/>
      <c r="F356" s="14"/>
      <c r="G356" s="119"/>
    </row>
    <row r="357">
      <c r="B357" s="14"/>
      <c r="C357" s="14"/>
      <c r="D357" s="14"/>
      <c r="E357" s="14"/>
      <c r="F357" s="14"/>
      <c r="G357" s="119"/>
    </row>
    <row r="358">
      <c r="B358" s="14"/>
      <c r="C358" s="14"/>
      <c r="D358" s="14"/>
      <c r="E358" s="14"/>
      <c r="F358" s="14"/>
      <c r="G358" s="119"/>
    </row>
    <row r="359">
      <c r="B359" s="14"/>
      <c r="C359" s="14"/>
      <c r="D359" s="14"/>
      <c r="E359" s="14"/>
      <c r="F359" s="14"/>
      <c r="G359" s="119"/>
    </row>
    <row r="360">
      <c r="B360" s="14"/>
      <c r="C360" s="14"/>
      <c r="D360" s="14"/>
      <c r="E360" s="14"/>
      <c r="F360" s="14"/>
      <c r="G360" s="119"/>
    </row>
    <row r="361">
      <c r="B361" s="14"/>
      <c r="C361" s="14"/>
      <c r="D361" s="14"/>
      <c r="E361" s="14"/>
      <c r="F361" s="14"/>
      <c r="G361" s="119"/>
    </row>
    <row r="362">
      <c r="B362" s="14"/>
      <c r="C362" s="14"/>
      <c r="D362" s="14"/>
      <c r="E362" s="14"/>
      <c r="F362" s="14"/>
      <c r="G362" s="119"/>
    </row>
    <row r="363">
      <c r="B363" s="14"/>
      <c r="C363" s="14"/>
      <c r="D363" s="14"/>
      <c r="E363" s="14"/>
      <c r="F363" s="14"/>
      <c r="G363" s="119"/>
    </row>
    <row r="364">
      <c r="B364" s="14"/>
      <c r="C364" s="14"/>
      <c r="D364" s="14"/>
      <c r="E364" s="14"/>
      <c r="F364" s="14"/>
      <c r="G364" s="119"/>
    </row>
    <row r="365">
      <c r="B365" s="14"/>
      <c r="C365" s="14"/>
      <c r="D365" s="14"/>
      <c r="E365" s="14"/>
      <c r="F365" s="14"/>
      <c r="G365" s="119"/>
    </row>
    <row r="366">
      <c r="B366" s="14"/>
      <c r="C366" s="14"/>
      <c r="D366" s="14"/>
      <c r="E366" s="14"/>
      <c r="F366" s="14"/>
      <c r="G366" s="119"/>
    </row>
    <row r="367">
      <c r="B367" s="14"/>
      <c r="C367" s="14"/>
      <c r="D367" s="14"/>
      <c r="E367" s="14"/>
      <c r="F367" s="14"/>
      <c r="G367" s="119"/>
    </row>
    <row r="368">
      <c r="B368" s="14"/>
      <c r="C368" s="14"/>
      <c r="D368" s="14"/>
      <c r="E368" s="14"/>
      <c r="F368" s="14"/>
      <c r="G368" s="119"/>
    </row>
    <row r="369">
      <c r="B369" s="14"/>
      <c r="C369" s="14"/>
      <c r="D369" s="14"/>
      <c r="E369" s="14"/>
      <c r="F369" s="14"/>
      <c r="G369" s="119"/>
    </row>
    <row r="370">
      <c r="B370" s="14"/>
      <c r="C370" s="14"/>
      <c r="D370" s="14"/>
      <c r="E370" s="14"/>
      <c r="F370" s="14"/>
      <c r="G370" s="119"/>
    </row>
    <row r="371">
      <c r="B371" s="14"/>
      <c r="C371" s="14"/>
      <c r="D371" s="14"/>
      <c r="E371" s="14"/>
      <c r="F371" s="14"/>
      <c r="G371" s="119"/>
    </row>
    <row r="372">
      <c r="B372" s="14"/>
      <c r="C372" s="14"/>
      <c r="D372" s="14"/>
      <c r="E372" s="14"/>
      <c r="F372" s="14"/>
      <c r="G372" s="119"/>
    </row>
    <row r="373">
      <c r="B373" s="14"/>
      <c r="C373" s="14"/>
      <c r="D373" s="14"/>
      <c r="E373" s="14"/>
      <c r="F373" s="14"/>
      <c r="G373" s="119"/>
    </row>
    <row r="374">
      <c r="B374" s="14"/>
      <c r="C374" s="14"/>
      <c r="D374" s="14"/>
      <c r="E374" s="14"/>
      <c r="F374" s="14"/>
      <c r="G374" s="119"/>
    </row>
    <row r="375">
      <c r="B375" s="14"/>
      <c r="C375" s="14"/>
      <c r="D375" s="14"/>
      <c r="E375" s="14"/>
      <c r="F375" s="14"/>
      <c r="G375" s="119"/>
    </row>
    <row r="376">
      <c r="B376" s="14"/>
      <c r="C376" s="14"/>
      <c r="D376" s="14"/>
      <c r="E376" s="14"/>
      <c r="F376" s="14"/>
      <c r="G376" s="119"/>
    </row>
    <row r="377">
      <c r="B377" s="14"/>
      <c r="C377" s="14"/>
      <c r="D377" s="14"/>
      <c r="E377" s="14"/>
      <c r="F377" s="14"/>
      <c r="G377" s="119"/>
    </row>
    <row r="378">
      <c r="B378" s="14"/>
      <c r="C378" s="14"/>
      <c r="D378" s="14"/>
      <c r="E378" s="14"/>
      <c r="F378" s="14"/>
      <c r="G378" s="119"/>
    </row>
    <row r="379">
      <c r="B379" s="14"/>
      <c r="C379" s="14"/>
      <c r="D379" s="14"/>
      <c r="E379" s="14"/>
      <c r="F379" s="14"/>
      <c r="G379" s="119"/>
    </row>
    <row r="380">
      <c r="B380" s="14"/>
      <c r="C380" s="14"/>
      <c r="D380" s="14"/>
      <c r="E380" s="14"/>
      <c r="F380" s="14"/>
      <c r="G380" s="119"/>
    </row>
    <row r="381">
      <c r="B381" s="14"/>
      <c r="C381" s="14"/>
      <c r="D381" s="14"/>
      <c r="E381" s="14"/>
      <c r="F381" s="14"/>
      <c r="G381" s="119"/>
    </row>
    <row r="382">
      <c r="B382" s="14"/>
      <c r="C382" s="14"/>
      <c r="D382" s="14"/>
      <c r="E382" s="14"/>
      <c r="F382" s="14"/>
      <c r="G382" s="119"/>
    </row>
    <row r="383">
      <c r="B383" s="14"/>
      <c r="C383" s="14"/>
      <c r="D383" s="14"/>
      <c r="E383" s="14"/>
      <c r="F383" s="14"/>
      <c r="G383" s="119"/>
    </row>
    <row r="384">
      <c r="B384" s="14"/>
      <c r="C384" s="14"/>
      <c r="D384" s="14"/>
      <c r="E384" s="14"/>
      <c r="F384" s="14"/>
      <c r="G384" s="119"/>
    </row>
    <row r="385">
      <c r="B385" s="14"/>
      <c r="C385" s="14"/>
      <c r="D385" s="14"/>
      <c r="E385" s="14"/>
      <c r="F385" s="14"/>
      <c r="G385" s="119"/>
    </row>
    <row r="386">
      <c r="B386" s="14"/>
      <c r="C386" s="14"/>
      <c r="D386" s="14"/>
      <c r="E386" s="14"/>
      <c r="F386" s="14"/>
      <c r="G386" s="119"/>
    </row>
    <row r="387">
      <c r="B387" s="14"/>
      <c r="C387" s="14"/>
      <c r="D387" s="14"/>
      <c r="E387" s="14"/>
      <c r="F387" s="14"/>
      <c r="G387" s="119"/>
    </row>
    <row r="388">
      <c r="B388" s="14"/>
      <c r="C388" s="14"/>
      <c r="D388" s="14"/>
      <c r="E388" s="14"/>
      <c r="F388" s="14"/>
      <c r="G388" s="119"/>
    </row>
    <row r="389">
      <c r="B389" s="14"/>
      <c r="C389" s="14"/>
      <c r="D389" s="14"/>
      <c r="E389" s="14"/>
      <c r="F389" s="14"/>
      <c r="G389" s="119"/>
    </row>
    <row r="390">
      <c r="B390" s="14"/>
      <c r="C390" s="14"/>
      <c r="D390" s="14"/>
      <c r="E390" s="14"/>
      <c r="F390" s="14"/>
      <c r="G390" s="119"/>
    </row>
    <row r="391">
      <c r="B391" s="14"/>
      <c r="C391" s="14"/>
      <c r="D391" s="14"/>
      <c r="E391" s="14"/>
      <c r="F391" s="14"/>
      <c r="G391" s="119"/>
    </row>
    <row r="392">
      <c r="B392" s="14"/>
      <c r="C392" s="14"/>
      <c r="D392" s="14"/>
      <c r="E392" s="14"/>
      <c r="F392" s="14"/>
      <c r="G392" s="119"/>
    </row>
    <row r="393">
      <c r="B393" s="14"/>
      <c r="C393" s="14"/>
      <c r="D393" s="14"/>
      <c r="E393" s="14"/>
      <c r="F393" s="14"/>
      <c r="G393" s="119"/>
    </row>
    <row r="394">
      <c r="B394" s="14"/>
      <c r="C394" s="14"/>
      <c r="D394" s="14"/>
      <c r="E394" s="14"/>
      <c r="F394" s="14"/>
      <c r="G394" s="119"/>
    </row>
    <row r="395">
      <c r="B395" s="14"/>
      <c r="C395" s="14"/>
      <c r="D395" s="14"/>
      <c r="E395" s="14"/>
      <c r="F395" s="14"/>
      <c r="G395" s="119"/>
    </row>
    <row r="396">
      <c r="B396" s="14"/>
      <c r="C396" s="14"/>
      <c r="D396" s="14"/>
      <c r="E396" s="14"/>
      <c r="F396" s="14"/>
      <c r="G396" s="119"/>
    </row>
    <row r="397">
      <c r="B397" s="14"/>
      <c r="C397" s="14"/>
      <c r="D397" s="14"/>
      <c r="E397" s="14"/>
      <c r="F397" s="14"/>
      <c r="G397" s="119"/>
    </row>
    <row r="398">
      <c r="B398" s="14"/>
      <c r="C398" s="14"/>
      <c r="D398" s="14"/>
      <c r="E398" s="14"/>
      <c r="F398" s="14"/>
      <c r="G398" s="119"/>
    </row>
    <row r="399">
      <c r="B399" s="14"/>
      <c r="C399" s="14"/>
      <c r="D399" s="14"/>
      <c r="E399" s="14"/>
      <c r="F399" s="14"/>
      <c r="G399" s="119"/>
    </row>
    <row r="400">
      <c r="B400" s="14"/>
      <c r="C400" s="14"/>
      <c r="D400" s="14"/>
      <c r="E400" s="14"/>
      <c r="F400" s="14"/>
      <c r="G400" s="119"/>
    </row>
    <row r="401">
      <c r="B401" s="14"/>
      <c r="C401" s="14"/>
      <c r="D401" s="14"/>
      <c r="E401" s="14"/>
      <c r="F401" s="14"/>
      <c r="G401" s="119"/>
    </row>
    <row r="402">
      <c r="B402" s="14"/>
      <c r="C402" s="14"/>
      <c r="D402" s="14"/>
      <c r="E402" s="14"/>
      <c r="F402" s="14"/>
      <c r="G402" s="119"/>
    </row>
    <row r="403">
      <c r="B403" s="14"/>
      <c r="C403" s="14"/>
      <c r="D403" s="14"/>
      <c r="E403" s="14"/>
      <c r="F403" s="14"/>
      <c r="G403" s="119"/>
    </row>
    <row r="404">
      <c r="B404" s="14"/>
      <c r="C404" s="14"/>
      <c r="D404" s="14"/>
      <c r="E404" s="14"/>
      <c r="F404" s="14"/>
      <c r="G404" s="119"/>
    </row>
    <row r="405">
      <c r="B405" s="14"/>
      <c r="C405" s="14"/>
      <c r="D405" s="14"/>
      <c r="E405" s="14"/>
      <c r="F405" s="14"/>
      <c r="G405" s="119"/>
    </row>
    <row r="406">
      <c r="B406" s="14"/>
      <c r="C406" s="14"/>
      <c r="D406" s="14"/>
      <c r="E406" s="14"/>
      <c r="F406" s="14"/>
      <c r="G406" s="119"/>
    </row>
    <row r="407">
      <c r="B407" s="14"/>
      <c r="C407" s="14"/>
      <c r="D407" s="14"/>
      <c r="E407" s="14"/>
      <c r="F407" s="14"/>
      <c r="G407" s="119"/>
    </row>
    <row r="408">
      <c r="B408" s="14"/>
      <c r="C408" s="14"/>
      <c r="D408" s="14"/>
      <c r="E408" s="14"/>
      <c r="F408" s="14"/>
      <c r="G408" s="119"/>
    </row>
    <row r="409">
      <c r="B409" s="14"/>
      <c r="C409" s="14"/>
      <c r="D409" s="14"/>
      <c r="E409" s="14"/>
      <c r="F409" s="14"/>
      <c r="G409" s="119"/>
    </row>
    <row r="410">
      <c r="B410" s="14"/>
      <c r="C410" s="14"/>
      <c r="D410" s="14"/>
      <c r="E410" s="14"/>
      <c r="F410" s="14"/>
      <c r="G410" s="119"/>
    </row>
    <row r="411">
      <c r="B411" s="14"/>
      <c r="C411" s="14"/>
      <c r="D411" s="14"/>
      <c r="E411" s="14"/>
      <c r="F411" s="14"/>
      <c r="G411" s="119"/>
    </row>
    <row r="412">
      <c r="B412" s="14"/>
      <c r="C412" s="14"/>
      <c r="D412" s="14"/>
      <c r="E412" s="14"/>
      <c r="F412" s="14"/>
      <c r="G412" s="119"/>
    </row>
    <row r="413">
      <c r="B413" s="14"/>
      <c r="C413" s="14"/>
      <c r="D413" s="14"/>
      <c r="E413" s="14"/>
      <c r="F413" s="14"/>
      <c r="G413" s="119"/>
    </row>
    <row r="414">
      <c r="B414" s="14"/>
      <c r="C414" s="14"/>
      <c r="D414" s="14"/>
      <c r="E414" s="14"/>
      <c r="F414" s="14"/>
      <c r="G414" s="119"/>
    </row>
    <row r="415">
      <c r="B415" s="14"/>
      <c r="C415" s="14"/>
      <c r="D415" s="14"/>
      <c r="E415" s="14"/>
      <c r="F415" s="14"/>
      <c r="G415" s="119"/>
    </row>
    <row r="416">
      <c r="B416" s="14"/>
      <c r="C416" s="14"/>
      <c r="D416" s="14"/>
      <c r="E416" s="14"/>
      <c r="F416" s="14"/>
      <c r="G416" s="119"/>
    </row>
    <row r="417">
      <c r="B417" s="14"/>
      <c r="C417" s="14"/>
      <c r="D417" s="14"/>
      <c r="E417" s="14"/>
      <c r="F417" s="14"/>
      <c r="G417" s="119"/>
    </row>
    <row r="418">
      <c r="B418" s="14"/>
      <c r="C418" s="14"/>
      <c r="D418" s="14"/>
      <c r="E418" s="14"/>
      <c r="F418" s="14"/>
      <c r="G418" s="119"/>
    </row>
    <row r="419">
      <c r="B419" s="14"/>
      <c r="C419" s="14"/>
      <c r="D419" s="14"/>
      <c r="E419" s="14"/>
      <c r="F419" s="14"/>
      <c r="G419" s="119"/>
    </row>
    <row r="420">
      <c r="B420" s="14"/>
      <c r="C420" s="14"/>
      <c r="D420" s="14"/>
      <c r="E420" s="14"/>
      <c r="F420" s="14"/>
      <c r="G420" s="119"/>
    </row>
    <row r="421">
      <c r="B421" s="14"/>
      <c r="C421" s="14"/>
      <c r="D421" s="14"/>
      <c r="E421" s="14"/>
      <c r="F421" s="14"/>
      <c r="G421" s="119"/>
    </row>
    <row r="422">
      <c r="B422" s="14"/>
      <c r="C422" s="14"/>
      <c r="D422" s="14"/>
      <c r="E422" s="14"/>
      <c r="F422" s="14"/>
      <c r="G422" s="119"/>
    </row>
    <row r="423">
      <c r="B423" s="14"/>
      <c r="C423" s="14"/>
      <c r="D423" s="14"/>
      <c r="E423" s="14"/>
      <c r="F423" s="14"/>
      <c r="G423" s="119"/>
    </row>
    <row r="424">
      <c r="B424" s="14"/>
      <c r="C424" s="14"/>
      <c r="D424" s="14"/>
      <c r="E424" s="14"/>
      <c r="F424" s="14"/>
      <c r="G424" s="119"/>
    </row>
    <row r="425">
      <c r="B425" s="14"/>
      <c r="C425" s="14"/>
      <c r="D425" s="14"/>
      <c r="E425" s="14"/>
      <c r="F425" s="14"/>
      <c r="G425" s="119"/>
    </row>
    <row r="426">
      <c r="B426" s="14"/>
      <c r="C426" s="14"/>
      <c r="D426" s="14"/>
      <c r="E426" s="14"/>
      <c r="F426" s="14"/>
      <c r="G426" s="119"/>
    </row>
    <row r="427">
      <c r="B427" s="14"/>
      <c r="C427" s="14"/>
      <c r="D427" s="14"/>
      <c r="E427" s="14"/>
      <c r="F427" s="14"/>
      <c r="G427" s="119"/>
    </row>
    <row r="428">
      <c r="B428" s="14"/>
      <c r="C428" s="14"/>
      <c r="D428" s="14"/>
      <c r="E428" s="14"/>
      <c r="F428" s="14"/>
      <c r="G428" s="119"/>
    </row>
    <row r="429">
      <c r="B429" s="14"/>
      <c r="C429" s="14"/>
      <c r="D429" s="14"/>
      <c r="E429" s="14"/>
      <c r="F429" s="14"/>
      <c r="G429" s="119"/>
    </row>
    <row r="430">
      <c r="B430" s="14"/>
      <c r="C430" s="14"/>
      <c r="D430" s="14"/>
      <c r="E430" s="14"/>
      <c r="F430" s="14"/>
      <c r="G430" s="119"/>
    </row>
    <row r="431">
      <c r="B431" s="14"/>
      <c r="C431" s="14"/>
      <c r="D431" s="14"/>
      <c r="E431" s="14"/>
      <c r="F431" s="14"/>
      <c r="G431" s="119"/>
    </row>
    <row r="432">
      <c r="B432" s="14"/>
      <c r="C432" s="14"/>
      <c r="D432" s="14"/>
      <c r="E432" s="14"/>
      <c r="F432" s="14"/>
      <c r="G432" s="119"/>
    </row>
    <row r="433">
      <c r="B433" s="14"/>
      <c r="C433" s="14"/>
      <c r="D433" s="14"/>
      <c r="E433" s="14"/>
      <c r="F433" s="14"/>
      <c r="G433" s="119"/>
    </row>
    <row r="434">
      <c r="B434" s="14"/>
      <c r="C434" s="14"/>
      <c r="D434" s="14"/>
      <c r="E434" s="14"/>
      <c r="F434" s="14"/>
      <c r="G434" s="119"/>
    </row>
    <row r="435">
      <c r="B435" s="14"/>
      <c r="C435" s="14"/>
      <c r="D435" s="14"/>
      <c r="E435" s="14"/>
      <c r="F435" s="14"/>
      <c r="G435" s="119"/>
    </row>
    <row r="436">
      <c r="B436" s="14"/>
      <c r="C436" s="14"/>
      <c r="D436" s="14"/>
      <c r="E436" s="14"/>
      <c r="F436" s="14"/>
      <c r="G436" s="119"/>
    </row>
    <row r="437">
      <c r="B437" s="14"/>
      <c r="C437" s="14"/>
      <c r="D437" s="14"/>
      <c r="E437" s="14"/>
      <c r="F437" s="14"/>
      <c r="G437" s="119"/>
    </row>
    <row r="438">
      <c r="B438" s="14"/>
      <c r="C438" s="14"/>
      <c r="D438" s="14"/>
      <c r="E438" s="14"/>
      <c r="F438" s="14"/>
      <c r="G438" s="119"/>
    </row>
    <row r="439">
      <c r="B439" s="14"/>
      <c r="C439" s="14"/>
      <c r="D439" s="14"/>
      <c r="E439" s="14"/>
      <c r="F439" s="14"/>
      <c r="G439" s="119"/>
    </row>
    <row r="440">
      <c r="B440" s="14"/>
      <c r="C440" s="14"/>
      <c r="D440" s="14"/>
      <c r="E440" s="14"/>
      <c r="F440" s="14"/>
      <c r="G440" s="119"/>
    </row>
    <row r="441">
      <c r="B441" s="14"/>
      <c r="C441" s="14"/>
      <c r="D441" s="14"/>
      <c r="E441" s="14"/>
      <c r="F441" s="14"/>
      <c r="G441" s="119"/>
    </row>
    <row r="442">
      <c r="B442" s="14"/>
      <c r="C442" s="14"/>
      <c r="D442" s="14"/>
      <c r="E442" s="14"/>
      <c r="F442" s="14"/>
      <c r="G442" s="119"/>
    </row>
    <row r="443">
      <c r="B443" s="14"/>
      <c r="C443" s="14"/>
      <c r="D443" s="14"/>
      <c r="E443" s="14"/>
      <c r="F443" s="14"/>
      <c r="G443" s="119"/>
    </row>
    <row r="444">
      <c r="B444" s="14"/>
      <c r="C444" s="14"/>
      <c r="D444" s="14"/>
      <c r="E444" s="14"/>
      <c r="F444" s="14"/>
      <c r="G444" s="119"/>
    </row>
    <row r="445">
      <c r="B445" s="14"/>
      <c r="C445" s="14"/>
      <c r="D445" s="14"/>
      <c r="E445" s="14"/>
      <c r="F445" s="14"/>
      <c r="G445" s="119"/>
    </row>
    <row r="446">
      <c r="B446" s="14"/>
      <c r="C446" s="14"/>
      <c r="D446" s="14"/>
      <c r="E446" s="14"/>
      <c r="F446" s="14"/>
      <c r="G446" s="119"/>
    </row>
    <row r="447">
      <c r="B447" s="14"/>
      <c r="C447" s="14"/>
      <c r="D447" s="14"/>
      <c r="E447" s="14"/>
      <c r="F447" s="14"/>
      <c r="G447" s="119"/>
    </row>
    <row r="448">
      <c r="B448" s="14"/>
      <c r="C448" s="14"/>
      <c r="D448" s="14"/>
      <c r="E448" s="14"/>
      <c r="F448" s="14"/>
      <c r="G448" s="119"/>
    </row>
    <row r="449">
      <c r="B449" s="14"/>
      <c r="C449" s="14"/>
      <c r="D449" s="14"/>
      <c r="E449" s="14"/>
      <c r="F449" s="14"/>
      <c r="G449" s="119"/>
    </row>
    <row r="450">
      <c r="B450" s="14"/>
      <c r="C450" s="14"/>
      <c r="D450" s="14"/>
      <c r="E450" s="14"/>
      <c r="F450" s="14"/>
      <c r="G450" s="119"/>
    </row>
    <row r="451">
      <c r="B451" s="14"/>
      <c r="C451" s="14"/>
      <c r="D451" s="14"/>
      <c r="E451" s="14"/>
      <c r="F451" s="14"/>
      <c r="G451" s="119"/>
    </row>
    <row r="452">
      <c r="B452" s="14"/>
      <c r="C452" s="14"/>
      <c r="D452" s="14"/>
      <c r="E452" s="14"/>
      <c r="F452" s="14"/>
      <c r="G452" s="119"/>
    </row>
    <row r="453">
      <c r="B453" s="14"/>
      <c r="C453" s="14"/>
      <c r="D453" s="14"/>
      <c r="E453" s="14"/>
      <c r="F453" s="14"/>
      <c r="G453" s="119"/>
    </row>
    <row r="454">
      <c r="B454" s="14"/>
      <c r="C454" s="14"/>
      <c r="D454" s="14"/>
      <c r="E454" s="14"/>
      <c r="F454" s="14"/>
      <c r="G454" s="119"/>
    </row>
    <row r="455">
      <c r="B455" s="14"/>
      <c r="C455" s="14"/>
      <c r="D455" s="14"/>
      <c r="E455" s="14"/>
      <c r="F455" s="14"/>
      <c r="G455" s="119"/>
    </row>
    <row r="456">
      <c r="B456" s="14"/>
      <c r="C456" s="14"/>
      <c r="D456" s="14"/>
      <c r="E456" s="14"/>
      <c r="F456" s="14"/>
      <c r="G456" s="119"/>
    </row>
    <row r="457">
      <c r="B457" s="14"/>
      <c r="C457" s="14"/>
      <c r="D457" s="14"/>
      <c r="E457" s="14"/>
      <c r="F457" s="14"/>
      <c r="G457" s="119"/>
    </row>
    <row r="458">
      <c r="B458" s="14"/>
      <c r="C458" s="14"/>
      <c r="D458" s="14"/>
      <c r="E458" s="14"/>
      <c r="F458" s="14"/>
      <c r="G458" s="119"/>
    </row>
    <row r="459">
      <c r="B459" s="14"/>
      <c r="C459" s="14"/>
      <c r="D459" s="14"/>
      <c r="E459" s="14"/>
      <c r="F459" s="14"/>
      <c r="G459" s="119"/>
    </row>
    <row r="460">
      <c r="B460" s="14"/>
      <c r="C460" s="14"/>
      <c r="D460" s="14"/>
      <c r="E460" s="14"/>
      <c r="F460" s="14"/>
      <c r="G460" s="119"/>
    </row>
    <row r="461">
      <c r="B461" s="14"/>
      <c r="C461" s="14"/>
      <c r="D461" s="14"/>
      <c r="E461" s="14"/>
      <c r="F461" s="14"/>
      <c r="G461" s="119"/>
    </row>
    <row r="462">
      <c r="B462" s="14"/>
      <c r="C462" s="14"/>
      <c r="D462" s="14"/>
      <c r="E462" s="14"/>
      <c r="F462" s="14"/>
      <c r="G462" s="119"/>
    </row>
    <row r="463">
      <c r="B463" s="14"/>
      <c r="C463" s="14"/>
      <c r="D463" s="14"/>
      <c r="E463" s="14"/>
      <c r="F463" s="14"/>
      <c r="G463" s="119"/>
    </row>
    <row r="464">
      <c r="B464" s="14"/>
      <c r="C464" s="14"/>
      <c r="D464" s="14"/>
      <c r="E464" s="14"/>
      <c r="F464" s="14"/>
      <c r="G464" s="119"/>
    </row>
    <row r="465">
      <c r="B465" s="14"/>
      <c r="C465" s="14"/>
      <c r="D465" s="14"/>
      <c r="E465" s="14"/>
      <c r="F465" s="14"/>
      <c r="G465" s="119"/>
    </row>
    <row r="466">
      <c r="B466" s="14"/>
      <c r="C466" s="14"/>
      <c r="D466" s="14"/>
      <c r="E466" s="14"/>
      <c r="F466" s="14"/>
      <c r="G466" s="119"/>
    </row>
    <row r="467">
      <c r="B467" s="14"/>
      <c r="C467" s="14"/>
      <c r="D467" s="14"/>
      <c r="E467" s="14"/>
      <c r="F467" s="14"/>
      <c r="G467" s="119"/>
    </row>
    <row r="468">
      <c r="B468" s="14"/>
      <c r="C468" s="14"/>
      <c r="D468" s="14"/>
      <c r="E468" s="14"/>
      <c r="F468" s="14"/>
      <c r="G468" s="119"/>
    </row>
    <row r="469">
      <c r="B469" s="14"/>
      <c r="C469" s="14"/>
      <c r="D469" s="14"/>
      <c r="E469" s="14"/>
      <c r="F469" s="14"/>
      <c r="G469" s="119"/>
    </row>
    <row r="470">
      <c r="B470" s="14"/>
      <c r="C470" s="14"/>
      <c r="D470" s="14"/>
      <c r="E470" s="14"/>
      <c r="F470" s="14"/>
      <c r="G470" s="119"/>
    </row>
    <row r="471">
      <c r="B471" s="14"/>
      <c r="C471" s="14"/>
      <c r="D471" s="14"/>
      <c r="E471" s="14"/>
      <c r="F471" s="14"/>
      <c r="G471" s="119"/>
    </row>
    <row r="472">
      <c r="B472" s="14"/>
      <c r="C472" s="14"/>
      <c r="D472" s="14"/>
      <c r="E472" s="14"/>
      <c r="F472" s="14"/>
      <c r="G472" s="119"/>
    </row>
    <row r="473">
      <c r="B473" s="14"/>
      <c r="C473" s="14"/>
      <c r="D473" s="14"/>
      <c r="E473" s="14"/>
      <c r="F473" s="14"/>
      <c r="G473" s="119"/>
    </row>
    <row r="474">
      <c r="B474" s="14"/>
      <c r="C474" s="14"/>
      <c r="D474" s="14"/>
      <c r="E474" s="14"/>
      <c r="F474" s="14"/>
      <c r="G474" s="119"/>
    </row>
    <row r="475">
      <c r="B475" s="14"/>
      <c r="C475" s="14"/>
      <c r="D475" s="14"/>
      <c r="E475" s="14"/>
      <c r="F475" s="14"/>
      <c r="G475" s="119"/>
    </row>
    <row r="476">
      <c r="B476" s="14"/>
      <c r="C476" s="14"/>
      <c r="D476" s="14"/>
      <c r="E476" s="14"/>
      <c r="F476" s="14"/>
      <c r="G476" s="119"/>
    </row>
    <row r="477">
      <c r="B477" s="14"/>
      <c r="C477" s="14"/>
      <c r="D477" s="14"/>
      <c r="E477" s="14"/>
      <c r="F477" s="14"/>
      <c r="G477" s="119"/>
    </row>
    <row r="478">
      <c r="B478" s="14"/>
      <c r="C478" s="14"/>
      <c r="D478" s="14"/>
      <c r="E478" s="14"/>
      <c r="F478" s="14"/>
      <c r="G478" s="119"/>
    </row>
    <row r="479">
      <c r="B479" s="14"/>
      <c r="C479" s="14"/>
      <c r="D479" s="14"/>
      <c r="E479" s="14"/>
      <c r="F479" s="14"/>
      <c r="G479" s="119"/>
    </row>
    <row r="480">
      <c r="B480" s="14"/>
      <c r="C480" s="14"/>
      <c r="D480" s="14"/>
      <c r="E480" s="14"/>
      <c r="F480" s="14"/>
      <c r="G480" s="119"/>
    </row>
    <row r="481">
      <c r="B481" s="14"/>
      <c r="C481" s="14"/>
      <c r="D481" s="14"/>
      <c r="E481" s="14"/>
      <c r="F481" s="14"/>
      <c r="G481" s="119"/>
    </row>
    <row r="482">
      <c r="B482" s="14"/>
      <c r="C482" s="14"/>
      <c r="D482" s="14"/>
      <c r="E482" s="14"/>
      <c r="F482" s="14"/>
      <c r="G482" s="119"/>
    </row>
    <row r="483">
      <c r="B483" s="14"/>
      <c r="C483" s="14"/>
      <c r="D483" s="14"/>
      <c r="E483" s="14"/>
      <c r="F483" s="14"/>
      <c r="G483" s="119"/>
    </row>
    <row r="484">
      <c r="B484" s="14"/>
      <c r="C484" s="14"/>
      <c r="D484" s="14"/>
      <c r="E484" s="14"/>
      <c r="F484" s="14"/>
      <c r="G484" s="119"/>
    </row>
    <row r="485">
      <c r="B485" s="14"/>
      <c r="C485" s="14"/>
      <c r="D485" s="14"/>
      <c r="E485" s="14"/>
      <c r="F485" s="14"/>
      <c r="G485" s="119"/>
    </row>
    <row r="486">
      <c r="B486" s="14"/>
      <c r="C486" s="14"/>
      <c r="D486" s="14"/>
      <c r="E486" s="14"/>
      <c r="F486" s="14"/>
      <c r="G486" s="119"/>
    </row>
    <row r="487">
      <c r="B487" s="14"/>
      <c r="C487" s="14"/>
      <c r="D487" s="14"/>
      <c r="E487" s="14"/>
      <c r="F487" s="14"/>
      <c r="G487" s="119"/>
    </row>
    <row r="488">
      <c r="B488" s="14"/>
      <c r="C488" s="14"/>
      <c r="D488" s="14"/>
      <c r="E488" s="14"/>
      <c r="F488" s="14"/>
      <c r="G488" s="119"/>
    </row>
    <row r="489">
      <c r="B489" s="14"/>
      <c r="C489" s="14"/>
      <c r="D489" s="14"/>
      <c r="E489" s="14"/>
      <c r="F489" s="14"/>
      <c r="G489" s="119"/>
    </row>
    <row r="490">
      <c r="B490" s="14"/>
      <c r="C490" s="14"/>
      <c r="D490" s="14"/>
      <c r="E490" s="14"/>
      <c r="F490" s="14"/>
      <c r="G490" s="119"/>
    </row>
    <row r="491">
      <c r="B491" s="14"/>
      <c r="C491" s="14"/>
      <c r="D491" s="14"/>
      <c r="E491" s="14"/>
      <c r="F491" s="14"/>
      <c r="G491" s="119"/>
    </row>
    <row r="492">
      <c r="B492" s="14"/>
      <c r="C492" s="14"/>
      <c r="D492" s="14"/>
      <c r="E492" s="14"/>
      <c r="F492" s="14"/>
      <c r="G492" s="119"/>
    </row>
    <row r="493">
      <c r="B493" s="14"/>
      <c r="C493" s="14"/>
      <c r="D493" s="14"/>
      <c r="E493" s="14"/>
      <c r="F493" s="14"/>
      <c r="G493" s="119"/>
    </row>
    <row r="494">
      <c r="B494" s="14"/>
      <c r="C494" s="14"/>
      <c r="D494" s="14"/>
      <c r="E494" s="14"/>
      <c r="F494" s="14"/>
      <c r="G494" s="119"/>
    </row>
    <row r="495">
      <c r="B495" s="14"/>
      <c r="C495" s="14"/>
      <c r="D495" s="14"/>
      <c r="E495" s="14"/>
      <c r="F495" s="14"/>
      <c r="G495" s="119"/>
    </row>
    <row r="496">
      <c r="B496" s="14"/>
      <c r="C496" s="14"/>
      <c r="D496" s="14"/>
      <c r="E496" s="14"/>
      <c r="F496" s="14"/>
      <c r="G496" s="119"/>
    </row>
    <row r="497">
      <c r="B497" s="14"/>
      <c r="C497" s="14"/>
      <c r="D497" s="14"/>
      <c r="E497" s="14"/>
      <c r="F497" s="14"/>
      <c r="G497" s="119"/>
    </row>
    <row r="498">
      <c r="B498" s="14"/>
      <c r="C498" s="14"/>
      <c r="D498" s="14"/>
      <c r="E498" s="14"/>
      <c r="F498" s="14"/>
      <c r="G498" s="119"/>
    </row>
    <row r="499">
      <c r="B499" s="14"/>
      <c r="C499" s="14"/>
      <c r="D499" s="14"/>
      <c r="E499" s="14"/>
      <c r="F499" s="14"/>
      <c r="G499" s="119"/>
    </row>
    <row r="500">
      <c r="B500" s="14"/>
      <c r="C500" s="14"/>
      <c r="D500" s="14"/>
      <c r="E500" s="14"/>
      <c r="F500" s="14"/>
      <c r="G500" s="119"/>
    </row>
    <row r="501">
      <c r="B501" s="14"/>
      <c r="C501" s="14"/>
      <c r="D501" s="14"/>
      <c r="E501" s="14"/>
      <c r="F501" s="14"/>
      <c r="G501" s="119"/>
    </row>
    <row r="502">
      <c r="B502" s="14"/>
      <c r="C502" s="14"/>
      <c r="D502" s="14"/>
      <c r="E502" s="14"/>
      <c r="F502" s="14"/>
      <c r="G502" s="119"/>
    </row>
    <row r="503">
      <c r="B503" s="14"/>
      <c r="C503" s="14"/>
      <c r="D503" s="14"/>
      <c r="E503" s="14"/>
      <c r="F503" s="14"/>
      <c r="G503" s="119"/>
    </row>
    <row r="504">
      <c r="B504" s="14"/>
      <c r="C504" s="14"/>
      <c r="D504" s="14"/>
      <c r="E504" s="14"/>
      <c r="F504" s="14"/>
      <c r="G504" s="119"/>
    </row>
    <row r="505">
      <c r="B505" s="14"/>
      <c r="C505" s="14"/>
      <c r="D505" s="14"/>
      <c r="E505" s="14"/>
      <c r="F505" s="14"/>
      <c r="G505" s="119"/>
    </row>
    <row r="506">
      <c r="B506" s="14"/>
      <c r="C506" s="14"/>
      <c r="D506" s="14"/>
      <c r="E506" s="14"/>
      <c r="F506" s="14"/>
      <c r="G506" s="119"/>
    </row>
    <row r="507">
      <c r="B507" s="14"/>
      <c r="C507" s="14"/>
      <c r="D507" s="14"/>
      <c r="E507" s="14"/>
      <c r="F507" s="14"/>
      <c r="G507" s="119"/>
    </row>
    <row r="508">
      <c r="B508" s="14"/>
      <c r="C508" s="14"/>
      <c r="D508" s="14"/>
      <c r="E508" s="14"/>
      <c r="F508" s="14"/>
      <c r="G508" s="119"/>
    </row>
    <row r="509">
      <c r="B509" s="14"/>
      <c r="C509" s="14"/>
      <c r="D509" s="14"/>
      <c r="E509" s="14"/>
      <c r="F509" s="14"/>
      <c r="G509" s="119"/>
    </row>
    <row r="510">
      <c r="B510" s="14"/>
      <c r="C510" s="14"/>
      <c r="D510" s="14"/>
      <c r="E510" s="14"/>
      <c r="F510" s="14"/>
      <c r="G510" s="119"/>
    </row>
    <row r="511">
      <c r="B511" s="14"/>
      <c r="C511" s="14"/>
      <c r="D511" s="14"/>
      <c r="E511" s="14"/>
      <c r="F511" s="14"/>
      <c r="G511" s="119"/>
    </row>
    <row r="512">
      <c r="B512" s="14"/>
      <c r="C512" s="14"/>
      <c r="D512" s="14"/>
      <c r="E512" s="14"/>
      <c r="F512" s="14"/>
      <c r="G512" s="119"/>
    </row>
    <row r="513">
      <c r="B513" s="14"/>
      <c r="C513" s="14"/>
      <c r="D513" s="14"/>
      <c r="E513" s="14"/>
      <c r="F513" s="14"/>
      <c r="G513" s="119"/>
    </row>
    <row r="514">
      <c r="B514" s="14"/>
      <c r="C514" s="14"/>
      <c r="D514" s="14"/>
      <c r="E514" s="14"/>
      <c r="F514" s="14"/>
      <c r="G514" s="119"/>
    </row>
    <row r="515">
      <c r="B515" s="14"/>
      <c r="C515" s="14"/>
      <c r="D515" s="14"/>
      <c r="E515" s="14"/>
      <c r="F515" s="14"/>
      <c r="G515" s="119"/>
    </row>
    <row r="516">
      <c r="B516" s="14"/>
      <c r="C516" s="14"/>
      <c r="D516" s="14"/>
      <c r="E516" s="14"/>
      <c r="F516" s="14"/>
      <c r="G516" s="119"/>
    </row>
    <row r="517">
      <c r="B517" s="14"/>
      <c r="C517" s="14"/>
      <c r="D517" s="14"/>
      <c r="E517" s="14"/>
      <c r="F517" s="14"/>
      <c r="G517" s="119"/>
    </row>
    <row r="518">
      <c r="B518" s="14"/>
      <c r="C518" s="14"/>
      <c r="D518" s="14"/>
      <c r="E518" s="14"/>
      <c r="F518" s="14"/>
      <c r="G518" s="119"/>
    </row>
    <row r="519">
      <c r="B519" s="14"/>
      <c r="C519" s="14"/>
      <c r="D519" s="14"/>
      <c r="E519" s="14"/>
      <c r="F519" s="14"/>
      <c r="G519" s="119"/>
    </row>
    <row r="520">
      <c r="B520" s="14"/>
      <c r="C520" s="14"/>
      <c r="D520" s="14"/>
      <c r="E520" s="14"/>
      <c r="F520" s="14"/>
      <c r="G520" s="119"/>
    </row>
    <row r="521">
      <c r="B521" s="14"/>
      <c r="C521" s="14"/>
      <c r="D521" s="14"/>
      <c r="E521" s="14"/>
      <c r="F521" s="14"/>
      <c r="G521" s="119"/>
    </row>
    <row r="522">
      <c r="B522" s="14"/>
      <c r="C522" s="14"/>
      <c r="D522" s="14"/>
      <c r="E522" s="14"/>
      <c r="F522" s="14"/>
      <c r="G522" s="119"/>
    </row>
    <row r="523">
      <c r="B523" s="14"/>
      <c r="C523" s="14"/>
      <c r="D523" s="14"/>
      <c r="E523" s="14"/>
      <c r="F523" s="14"/>
      <c r="G523" s="119"/>
    </row>
    <row r="524">
      <c r="B524" s="14"/>
      <c r="C524" s="14"/>
      <c r="D524" s="14"/>
      <c r="E524" s="14"/>
      <c r="F524" s="14"/>
      <c r="G524" s="119"/>
    </row>
    <row r="525">
      <c r="B525" s="14"/>
      <c r="C525" s="14"/>
      <c r="D525" s="14"/>
      <c r="E525" s="14"/>
      <c r="F525" s="14"/>
      <c r="G525" s="119"/>
    </row>
    <row r="526">
      <c r="B526" s="14"/>
      <c r="C526" s="14"/>
      <c r="D526" s="14"/>
      <c r="E526" s="14"/>
      <c r="F526" s="14"/>
      <c r="G526" s="119"/>
    </row>
    <row r="527">
      <c r="B527" s="14"/>
      <c r="C527" s="14"/>
      <c r="D527" s="14"/>
      <c r="E527" s="14"/>
      <c r="F527" s="14"/>
      <c r="G527" s="119"/>
    </row>
    <row r="528">
      <c r="B528" s="14"/>
      <c r="C528" s="14"/>
      <c r="D528" s="14"/>
      <c r="E528" s="14"/>
      <c r="F528" s="14"/>
      <c r="G528" s="119"/>
    </row>
    <row r="529">
      <c r="B529" s="14"/>
      <c r="C529" s="14"/>
      <c r="D529" s="14"/>
      <c r="E529" s="14"/>
      <c r="F529" s="14"/>
      <c r="G529" s="119"/>
    </row>
    <row r="530">
      <c r="B530" s="14"/>
      <c r="C530" s="14"/>
      <c r="D530" s="14"/>
      <c r="E530" s="14"/>
      <c r="F530" s="14"/>
      <c r="G530" s="119"/>
    </row>
    <row r="531">
      <c r="B531" s="14"/>
      <c r="C531" s="14"/>
      <c r="D531" s="14"/>
      <c r="E531" s="14"/>
      <c r="F531" s="14"/>
      <c r="G531" s="119"/>
    </row>
    <row r="532">
      <c r="B532" s="14"/>
      <c r="C532" s="14"/>
      <c r="D532" s="14"/>
      <c r="E532" s="14"/>
      <c r="F532" s="14"/>
      <c r="G532" s="119"/>
    </row>
    <row r="533">
      <c r="B533" s="14"/>
      <c r="C533" s="14"/>
      <c r="D533" s="14"/>
      <c r="E533" s="14"/>
      <c r="F533" s="14"/>
      <c r="G533" s="119"/>
    </row>
    <row r="534">
      <c r="B534" s="14"/>
      <c r="C534" s="14"/>
      <c r="D534" s="14"/>
      <c r="E534" s="14"/>
      <c r="F534" s="14"/>
      <c r="G534" s="119"/>
    </row>
    <row r="535">
      <c r="B535" s="14"/>
      <c r="C535" s="14"/>
      <c r="D535" s="14"/>
      <c r="E535" s="14"/>
      <c r="F535" s="14"/>
      <c r="G535" s="119"/>
    </row>
    <row r="536">
      <c r="B536" s="14"/>
      <c r="C536" s="14"/>
      <c r="D536" s="14"/>
      <c r="E536" s="14"/>
      <c r="F536" s="14"/>
      <c r="G536" s="119"/>
    </row>
    <row r="537">
      <c r="B537" s="14"/>
      <c r="C537" s="14"/>
      <c r="D537" s="14"/>
      <c r="E537" s="14"/>
      <c r="F537" s="14"/>
      <c r="G537" s="119"/>
    </row>
    <row r="538">
      <c r="B538" s="14"/>
      <c r="C538" s="14"/>
      <c r="D538" s="14"/>
      <c r="E538" s="14"/>
      <c r="F538" s="14"/>
      <c r="G538" s="119"/>
    </row>
    <row r="539">
      <c r="B539" s="14"/>
      <c r="C539" s="14"/>
      <c r="D539" s="14"/>
      <c r="E539" s="14"/>
      <c r="F539" s="14"/>
      <c r="G539" s="119"/>
    </row>
    <row r="540">
      <c r="B540" s="14"/>
      <c r="C540" s="14"/>
      <c r="D540" s="14"/>
      <c r="E540" s="14"/>
      <c r="F540" s="14"/>
      <c r="G540" s="119"/>
    </row>
    <row r="541">
      <c r="B541" s="14"/>
      <c r="C541" s="14"/>
      <c r="D541" s="14"/>
      <c r="E541" s="14"/>
      <c r="F541" s="14"/>
      <c r="G541" s="119"/>
    </row>
    <row r="542">
      <c r="B542" s="14"/>
      <c r="C542" s="14"/>
      <c r="D542" s="14"/>
      <c r="E542" s="14"/>
      <c r="F542" s="14"/>
      <c r="G542" s="119"/>
    </row>
    <row r="543">
      <c r="B543" s="14"/>
      <c r="C543" s="14"/>
      <c r="D543" s="14"/>
      <c r="E543" s="14"/>
      <c r="F543" s="14"/>
      <c r="G543" s="119"/>
    </row>
    <row r="544">
      <c r="B544" s="14"/>
      <c r="C544" s="14"/>
      <c r="D544" s="14"/>
      <c r="E544" s="14"/>
      <c r="F544" s="14"/>
      <c r="G544" s="119"/>
    </row>
    <row r="545">
      <c r="B545" s="14"/>
      <c r="C545" s="14"/>
      <c r="D545" s="14"/>
      <c r="E545" s="14"/>
      <c r="F545" s="14"/>
      <c r="G545" s="119"/>
    </row>
    <row r="546">
      <c r="B546" s="14"/>
      <c r="C546" s="14"/>
      <c r="D546" s="14"/>
      <c r="E546" s="14"/>
      <c r="F546" s="14"/>
      <c r="G546" s="119"/>
    </row>
    <row r="547">
      <c r="B547" s="14"/>
      <c r="C547" s="14"/>
      <c r="D547" s="14"/>
      <c r="E547" s="14"/>
      <c r="F547" s="14"/>
      <c r="G547" s="119"/>
    </row>
    <row r="548">
      <c r="B548" s="14"/>
      <c r="C548" s="14"/>
      <c r="D548" s="14"/>
      <c r="E548" s="14"/>
      <c r="F548" s="14"/>
      <c r="G548" s="119"/>
    </row>
    <row r="549">
      <c r="B549" s="14"/>
      <c r="C549" s="14"/>
      <c r="D549" s="14"/>
      <c r="E549" s="14"/>
      <c r="F549" s="14"/>
      <c r="G549" s="119"/>
    </row>
    <row r="550">
      <c r="B550" s="14"/>
      <c r="C550" s="14"/>
      <c r="D550" s="14"/>
      <c r="E550" s="14"/>
      <c r="F550" s="14"/>
      <c r="G550" s="119"/>
    </row>
    <row r="551">
      <c r="B551" s="14"/>
      <c r="C551" s="14"/>
      <c r="D551" s="14"/>
      <c r="E551" s="14"/>
      <c r="F551" s="14"/>
      <c r="G551" s="119"/>
    </row>
    <row r="552">
      <c r="B552" s="14"/>
      <c r="C552" s="14"/>
      <c r="D552" s="14"/>
      <c r="E552" s="14"/>
      <c r="F552" s="14"/>
      <c r="G552" s="119"/>
    </row>
    <row r="553">
      <c r="B553" s="14"/>
      <c r="C553" s="14"/>
      <c r="D553" s="14"/>
      <c r="E553" s="14"/>
      <c r="F553" s="14"/>
      <c r="G553" s="119"/>
    </row>
    <row r="554">
      <c r="B554" s="14"/>
      <c r="C554" s="14"/>
      <c r="D554" s="14"/>
      <c r="E554" s="14"/>
      <c r="F554" s="14"/>
      <c r="G554" s="119"/>
    </row>
    <row r="555">
      <c r="B555" s="14"/>
      <c r="C555" s="14"/>
      <c r="D555" s="14"/>
      <c r="E555" s="14"/>
      <c r="F555" s="14"/>
      <c r="G555" s="119"/>
    </row>
    <row r="556">
      <c r="B556" s="14"/>
      <c r="C556" s="14"/>
      <c r="D556" s="14"/>
      <c r="E556" s="14"/>
      <c r="F556" s="14"/>
      <c r="G556" s="119"/>
    </row>
    <row r="557">
      <c r="B557" s="14"/>
      <c r="C557" s="14"/>
      <c r="D557" s="14"/>
      <c r="E557" s="14"/>
      <c r="F557" s="14"/>
      <c r="G557" s="119"/>
    </row>
    <row r="558">
      <c r="B558" s="14"/>
      <c r="C558" s="14"/>
      <c r="D558" s="14"/>
      <c r="E558" s="14"/>
      <c r="F558" s="14"/>
      <c r="G558" s="119"/>
    </row>
    <row r="559">
      <c r="B559" s="14"/>
      <c r="C559" s="14"/>
      <c r="D559" s="14"/>
      <c r="E559" s="14"/>
      <c r="F559" s="14"/>
      <c r="G559" s="119"/>
    </row>
    <row r="560">
      <c r="B560" s="14"/>
      <c r="C560" s="14"/>
      <c r="D560" s="14"/>
      <c r="E560" s="14"/>
      <c r="F560" s="14"/>
      <c r="G560" s="119"/>
    </row>
    <row r="561">
      <c r="B561" s="14"/>
      <c r="C561" s="14"/>
      <c r="D561" s="14"/>
      <c r="E561" s="14"/>
      <c r="F561" s="14"/>
      <c r="G561" s="119"/>
    </row>
    <row r="562">
      <c r="B562" s="14"/>
      <c r="C562" s="14"/>
      <c r="D562" s="14"/>
      <c r="E562" s="14"/>
      <c r="F562" s="14"/>
      <c r="G562" s="119"/>
    </row>
    <row r="563">
      <c r="B563" s="14"/>
      <c r="C563" s="14"/>
      <c r="D563" s="14"/>
      <c r="E563" s="14"/>
      <c r="F563" s="14"/>
      <c r="G563" s="119"/>
    </row>
    <row r="564">
      <c r="B564" s="14"/>
      <c r="C564" s="14"/>
      <c r="D564" s="14"/>
      <c r="E564" s="14"/>
      <c r="F564" s="14"/>
      <c r="G564" s="119"/>
    </row>
    <row r="565">
      <c r="B565" s="14"/>
      <c r="C565" s="14"/>
      <c r="D565" s="14"/>
      <c r="E565" s="14"/>
      <c r="F565" s="14"/>
      <c r="G565" s="119"/>
    </row>
    <row r="566">
      <c r="B566" s="14"/>
      <c r="C566" s="14"/>
      <c r="D566" s="14"/>
      <c r="E566" s="14"/>
      <c r="F566" s="14"/>
      <c r="G566" s="119"/>
    </row>
    <row r="567">
      <c r="B567" s="14"/>
      <c r="C567" s="14"/>
      <c r="D567" s="14"/>
      <c r="E567" s="14"/>
      <c r="F567" s="14"/>
      <c r="G567" s="119"/>
    </row>
    <row r="568">
      <c r="B568" s="14"/>
      <c r="C568" s="14"/>
      <c r="D568" s="14"/>
      <c r="E568" s="14"/>
      <c r="F568" s="14"/>
      <c r="G568" s="119"/>
    </row>
    <row r="569">
      <c r="B569" s="14"/>
      <c r="C569" s="14"/>
      <c r="D569" s="14"/>
      <c r="E569" s="14"/>
      <c r="F569" s="14"/>
      <c r="G569" s="119"/>
    </row>
    <row r="570">
      <c r="B570" s="14"/>
      <c r="C570" s="14"/>
      <c r="D570" s="14"/>
      <c r="E570" s="14"/>
      <c r="F570" s="14"/>
      <c r="G570" s="119"/>
    </row>
    <row r="571">
      <c r="B571" s="14"/>
      <c r="C571" s="14"/>
      <c r="D571" s="14"/>
      <c r="E571" s="14"/>
      <c r="F571" s="14"/>
      <c r="G571" s="119"/>
    </row>
    <row r="572">
      <c r="B572" s="14"/>
      <c r="C572" s="14"/>
      <c r="D572" s="14"/>
      <c r="E572" s="14"/>
      <c r="F572" s="14"/>
      <c r="G572" s="119"/>
    </row>
    <row r="573">
      <c r="B573" s="14"/>
      <c r="C573" s="14"/>
      <c r="D573" s="14"/>
      <c r="E573" s="14"/>
      <c r="F573" s="14"/>
      <c r="G573" s="119"/>
    </row>
    <row r="574">
      <c r="B574" s="14"/>
      <c r="C574" s="14"/>
      <c r="D574" s="14"/>
      <c r="E574" s="14"/>
      <c r="F574" s="14"/>
      <c r="G574" s="119"/>
    </row>
    <row r="575">
      <c r="B575" s="14"/>
      <c r="C575" s="14"/>
      <c r="D575" s="14"/>
      <c r="E575" s="14"/>
      <c r="F575" s="14"/>
      <c r="G575" s="119"/>
    </row>
    <row r="576">
      <c r="B576" s="14"/>
      <c r="C576" s="14"/>
      <c r="D576" s="14"/>
      <c r="E576" s="14"/>
      <c r="F576" s="14"/>
      <c r="G576" s="119"/>
    </row>
    <row r="577">
      <c r="B577" s="14"/>
      <c r="C577" s="14"/>
      <c r="D577" s="14"/>
      <c r="E577" s="14"/>
      <c r="F577" s="14"/>
      <c r="G577" s="119"/>
    </row>
    <row r="578">
      <c r="B578" s="14"/>
      <c r="C578" s="14"/>
      <c r="D578" s="14"/>
      <c r="E578" s="14"/>
      <c r="F578" s="14"/>
      <c r="G578" s="119"/>
    </row>
    <row r="579">
      <c r="B579" s="14"/>
      <c r="C579" s="14"/>
      <c r="D579" s="14"/>
      <c r="E579" s="14"/>
      <c r="F579" s="14"/>
      <c r="G579" s="119"/>
    </row>
    <row r="580">
      <c r="B580" s="14"/>
      <c r="C580" s="14"/>
      <c r="D580" s="14"/>
      <c r="E580" s="14"/>
      <c r="F580" s="14"/>
      <c r="G580" s="119"/>
    </row>
    <row r="581">
      <c r="B581" s="14"/>
      <c r="C581" s="14"/>
      <c r="D581" s="14"/>
      <c r="E581" s="14"/>
      <c r="F581" s="14"/>
      <c r="G581" s="119"/>
    </row>
    <row r="582">
      <c r="B582" s="14"/>
      <c r="C582" s="14"/>
      <c r="D582" s="14"/>
      <c r="E582" s="14"/>
      <c r="F582" s="14"/>
      <c r="G582" s="119"/>
    </row>
    <row r="583">
      <c r="B583" s="14"/>
      <c r="C583" s="14"/>
      <c r="D583" s="14"/>
      <c r="E583" s="14"/>
      <c r="F583" s="14"/>
      <c r="G583" s="119"/>
    </row>
    <row r="584">
      <c r="B584" s="14"/>
      <c r="C584" s="14"/>
      <c r="D584" s="14"/>
      <c r="E584" s="14"/>
      <c r="F584" s="14"/>
      <c r="G584" s="119"/>
    </row>
    <row r="585">
      <c r="B585" s="14"/>
      <c r="C585" s="14"/>
      <c r="D585" s="14"/>
      <c r="E585" s="14"/>
      <c r="F585" s="14"/>
      <c r="G585" s="119"/>
    </row>
    <row r="586">
      <c r="B586" s="14"/>
      <c r="C586" s="14"/>
      <c r="D586" s="14"/>
      <c r="E586" s="14"/>
      <c r="F586" s="14"/>
      <c r="G586" s="119"/>
    </row>
    <row r="587">
      <c r="B587" s="14"/>
      <c r="C587" s="14"/>
      <c r="D587" s="14"/>
      <c r="E587" s="14"/>
      <c r="F587" s="14"/>
      <c r="G587" s="119"/>
    </row>
    <row r="588">
      <c r="B588" s="14"/>
      <c r="C588" s="14"/>
      <c r="D588" s="14"/>
      <c r="E588" s="14"/>
      <c r="F588" s="14"/>
      <c r="G588" s="119"/>
    </row>
    <row r="589">
      <c r="B589" s="14"/>
      <c r="C589" s="14"/>
      <c r="D589" s="14"/>
      <c r="E589" s="14"/>
      <c r="F589" s="14"/>
      <c r="G589" s="119"/>
    </row>
    <row r="590">
      <c r="B590" s="14"/>
      <c r="C590" s="14"/>
      <c r="D590" s="14"/>
      <c r="E590" s="14"/>
      <c r="F590" s="14"/>
      <c r="G590" s="119"/>
    </row>
    <row r="591">
      <c r="B591" s="14"/>
      <c r="C591" s="14"/>
      <c r="D591" s="14"/>
      <c r="E591" s="14"/>
      <c r="F591" s="14"/>
      <c r="G591" s="119"/>
    </row>
    <row r="592">
      <c r="B592" s="14"/>
      <c r="C592" s="14"/>
      <c r="D592" s="14"/>
      <c r="E592" s="14"/>
      <c r="F592" s="14"/>
      <c r="G592" s="119"/>
    </row>
    <row r="593">
      <c r="B593" s="14"/>
      <c r="C593" s="14"/>
      <c r="D593" s="14"/>
      <c r="E593" s="14"/>
      <c r="F593" s="14"/>
      <c r="G593" s="119"/>
    </row>
    <row r="594">
      <c r="B594" s="14"/>
      <c r="C594" s="14"/>
      <c r="D594" s="14"/>
      <c r="E594" s="14"/>
      <c r="F594" s="14"/>
      <c r="G594" s="119"/>
    </row>
    <row r="595">
      <c r="B595" s="14"/>
      <c r="C595" s="14"/>
      <c r="D595" s="14"/>
      <c r="E595" s="14"/>
      <c r="F595" s="14"/>
      <c r="G595" s="119"/>
    </row>
    <row r="596">
      <c r="B596" s="14"/>
      <c r="C596" s="14"/>
      <c r="D596" s="14"/>
      <c r="E596" s="14"/>
      <c r="F596" s="14"/>
      <c r="G596" s="119"/>
    </row>
    <row r="597">
      <c r="B597" s="14"/>
      <c r="C597" s="14"/>
      <c r="D597" s="14"/>
      <c r="E597" s="14"/>
      <c r="F597" s="14"/>
      <c r="G597" s="119"/>
    </row>
    <row r="598">
      <c r="B598" s="14"/>
      <c r="C598" s="14"/>
      <c r="D598" s="14"/>
      <c r="E598" s="14"/>
      <c r="F598" s="14"/>
      <c r="G598" s="119"/>
    </row>
    <row r="599">
      <c r="B599" s="14"/>
      <c r="C599" s="14"/>
      <c r="D599" s="14"/>
      <c r="E599" s="14"/>
      <c r="F599" s="14"/>
      <c r="G599" s="119"/>
    </row>
    <row r="600">
      <c r="B600" s="14"/>
      <c r="C600" s="14"/>
      <c r="D600" s="14"/>
      <c r="E600" s="14"/>
      <c r="F600" s="14"/>
      <c r="G600" s="119"/>
    </row>
    <row r="601">
      <c r="B601" s="14"/>
      <c r="C601" s="14"/>
      <c r="D601" s="14"/>
      <c r="E601" s="14"/>
      <c r="F601" s="14"/>
      <c r="G601" s="119"/>
    </row>
    <row r="602">
      <c r="B602" s="14"/>
      <c r="C602" s="14"/>
      <c r="D602" s="14"/>
      <c r="E602" s="14"/>
      <c r="F602" s="14"/>
      <c r="G602" s="119"/>
    </row>
    <row r="603">
      <c r="B603" s="14"/>
      <c r="C603" s="14"/>
      <c r="D603" s="14"/>
      <c r="E603" s="14"/>
      <c r="F603" s="14"/>
      <c r="G603" s="119"/>
    </row>
    <row r="604">
      <c r="B604" s="14"/>
      <c r="C604" s="14"/>
      <c r="D604" s="14"/>
      <c r="E604" s="14"/>
      <c r="F604" s="14"/>
      <c r="G604" s="119"/>
    </row>
    <row r="605">
      <c r="B605" s="14"/>
      <c r="C605" s="14"/>
      <c r="D605" s="14"/>
      <c r="E605" s="14"/>
      <c r="F605" s="14"/>
      <c r="G605" s="119"/>
    </row>
    <row r="606">
      <c r="B606" s="14"/>
      <c r="C606" s="14"/>
      <c r="D606" s="14"/>
      <c r="E606" s="14"/>
      <c r="F606" s="14"/>
      <c r="G606" s="119"/>
    </row>
    <row r="607">
      <c r="B607" s="14"/>
      <c r="C607" s="14"/>
      <c r="D607" s="14"/>
      <c r="E607" s="14"/>
      <c r="F607" s="14"/>
      <c r="G607" s="119"/>
    </row>
    <row r="608">
      <c r="B608" s="14"/>
      <c r="C608" s="14"/>
      <c r="D608" s="14"/>
      <c r="E608" s="14"/>
      <c r="F608" s="14"/>
      <c r="G608" s="119"/>
    </row>
    <row r="609">
      <c r="B609" s="14"/>
      <c r="C609" s="14"/>
      <c r="D609" s="14"/>
      <c r="E609" s="14"/>
      <c r="F609" s="14"/>
      <c r="G609" s="119"/>
    </row>
    <row r="610">
      <c r="B610" s="14"/>
      <c r="C610" s="14"/>
      <c r="D610" s="14"/>
      <c r="E610" s="14"/>
      <c r="F610" s="14"/>
      <c r="G610" s="119"/>
    </row>
    <row r="611">
      <c r="B611" s="14"/>
      <c r="C611" s="14"/>
      <c r="D611" s="14"/>
      <c r="E611" s="14"/>
      <c r="F611" s="14"/>
      <c r="G611" s="119"/>
    </row>
    <row r="612">
      <c r="B612" s="14"/>
      <c r="C612" s="14"/>
      <c r="D612" s="14"/>
      <c r="E612" s="14"/>
      <c r="F612" s="14"/>
      <c r="G612" s="119"/>
    </row>
    <row r="613">
      <c r="B613" s="14"/>
      <c r="C613" s="14"/>
      <c r="D613" s="14"/>
      <c r="E613" s="14"/>
      <c r="F613" s="14"/>
      <c r="G613" s="119"/>
    </row>
    <row r="614">
      <c r="B614" s="14"/>
      <c r="C614" s="14"/>
      <c r="D614" s="14"/>
      <c r="E614" s="14"/>
      <c r="F614" s="14"/>
      <c r="G614" s="119"/>
    </row>
    <row r="615">
      <c r="B615" s="14"/>
      <c r="C615" s="14"/>
      <c r="D615" s="14"/>
      <c r="E615" s="14"/>
      <c r="F615" s="14"/>
      <c r="G615" s="119"/>
    </row>
    <row r="616">
      <c r="B616" s="14"/>
      <c r="C616" s="14"/>
      <c r="D616" s="14"/>
      <c r="E616" s="14"/>
      <c r="F616" s="14"/>
      <c r="G616" s="119"/>
    </row>
    <row r="617">
      <c r="B617" s="14"/>
      <c r="C617" s="14"/>
      <c r="D617" s="14"/>
      <c r="E617" s="14"/>
      <c r="F617" s="14"/>
      <c r="G617" s="119"/>
    </row>
    <row r="618">
      <c r="B618" s="14"/>
      <c r="C618" s="14"/>
      <c r="D618" s="14"/>
      <c r="E618" s="14"/>
      <c r="F618" s="14"/>
      <c r="G618" s="119"/>
    </row>
    <row r="619">
      <c r="B619" s="14"/>
      <c r="C619" s="14"/>
      <c r="D619" s="14"/>
      <c r="E619" s="14"/>
      <c r="F619" s="14"/>
      <c r="G619" s="119"/>
    </row>
    <row r="620">
      <c r="B620" s="14"/>
      <c r="C620" s="14"/>
      <c r="D620" s="14"/>
      <c r="E620" s="14"/>
      <c r="F620" s="14"/>
      <c r="G620" s="119"/>
    </row>
    <row r="621">
      <c r="B621" s="14"/>
      <c r="C621" s="14"/>
      <c r="D621" s="14"/>
      <c r="E621" s="14"/>
      <c r="F621" s="14"/>
      <c r="G621" s="119"/>
    </row>
    <row r="622">
      <c r="B622" s="14"/>
      <c r="C622" s="14"/>
      <c r="D622" s="14"/>
      <c r="E622" s="14"/>
      <c r="F622" s="14"/>
      <c r="G622" s="119"/>
    </row>
    <row r="623">
      <c r="B623" s="14"/>
      <c r="C623" s="14"/>
      <c r="D623" s="14"/>
      <c r="E623" s="14"/>
      <c r="F623" s="14"/>
      <c r="G623" s="119"/>
    </row>
    <row r="624">
      <c r="B624" s="14"/>
      <c r="C624" s="14"/>
      <c r="D624" s="14"/>
      <c r="E624" s="14"/>
      <c r="F624" s="14"/>
      <c r="G624" s="119"/>
    </row>
    <row r="625">
      <c r="B625" s="14"/>
      <c r="C625" s="14"/>
      <c r="D625" s="14"/>
      <c r="E625" s="14"/>
      <c r="F625" s="14"/>
      <c r="G625" s="119"/>
    </row>
    <row r="626">
      <c r="B626" s="14"/>
      <c r="C626" s="14"/>
      <c r="D626" s="14"/>
      <c r="E626" s="14"/>
      <c r="F626" s="14"/>
      <c r="G626" s="119"/>
    </row>
    <row r="627">
      <c r="B627" s="14"/>
      <c r="C627" s="14"/>
      <c r="D627" s="14"/>
      <c r="E627" s="14"/>
      <c r="F627" s="14"/>
      <c r="G627" s="119"/>
    </row>
    <row r="628">
      <c r="B628" s="14"/>
      <c r="C628" s="14"/>
      <c r="D628" s="14"/>
      <c r="E628" s="14"/>
      <c r="F628" s="14"/>
      <c r="G628" s="119"/>
    </row>
    <row r="629">
      <c r="B629" s="14"/>
      <c r="C629" s="14"/>
      <c r="D629" s="14"/>
      <c r="E629" s="14"/>
      <c r="F629" s="14"/>
      <c r="G629" s="119"/>
    </row>
    <row r="630">
      <c r="B630" s="14"/>
      <c r="C630" s="14"/>
      <c r="D630" s="14"/>
      <c r="E630" s="14"/>
      <c r="F630" s="14"/>
      <c r="G630" s="119"/>
    </row>
    <row r="631">
      <c r="B631" s="14"/>
      <c r="C631" s="14"/>
      <c r="D631" s="14"/>
      <c r="E631" s="14"/>
      <c r="F631" s="14"/>
      <c r="G631" s="119"/>
    </row>
    <row r="632">
      <c r="B632" s="14"/>
      <c r="C632" s="14"/>
      <c r="D632" s="14"/>
      <c r="E632" s="14"/>
      <c r="F632" s="14"/>
      <c r="G632" s="119"/>
    </row>
    <row r="633">
      <c r="B633" s="14"/>
      <c r="C633" s="14"/>
      <c r="D633" s="14"/>
      <c r="E633" s="14"/>
      <c r="F633" s="14"/>
      <c r="G633" s="119"/>
    </row>
    <row r="634">
      <c r="B634" s="14"/>
      <c r="C634" s="14"/>
      <c r="D634" s="14"/>
      <c r="E634" s="14"/>
      <c r="F634" s="14"/>
      <c r="G634" s="119"/>
    </row>
    <row r="635">
      <c r="B635" s="14"/>
      <c r="C635" s="14"/>
      <c r="D635" s="14"/>
      <c r="E635" s="14"/>
      <c r="F635" s="14"/>
      <c r="G635" s="119"/>
    </row>
    <row r="636">
      <c r="B636" s="14"/>
      <c r="C636" s="14"/>
      <c r="D636" s="14"/>
      <c r="E636" s="14"/>
      <c r="F636" s="14"/>
      <c r="G636" s="119"/>
    </row>
    <row r="637">
      <c r="B637" s="14"/>
      <c r="C637" s="14"/>
      <c r="D637" s="14"/>
      <c r="E637" s="14"/>
      <c r="F637" s="14"/>
      <c r="G637" s="119"/>
    </row>
    <row r="638">
      <c r="B638" s="14"/>
      <c r="C638" s="14"/>
      <c r="D638" s="14"/>
      <c r="E638" s="14"/>
      <c r="F638" s="14"/>
      <c r="G638" s="119"/>
    </row>
    <row r="639">
      <c r="B639" s="14"/>
      <c r="C639" s="14"/>
      <c r="D639" s="14"/>
      <c r="E639" s="14"/>
      <c r="F639" s="14"/>
      <c r="G639" s="119"/>
    </row>
    <row r="640">
      <c r="B640" s="14"/>
      <c r="C640" s="14"/>
      <c r="D640" s="14"/>
      <c r="E640" s="14"/>
      <c r="F640" s="14"/>
      <c r="G640" s="119"/>
    </row>
    <row r="641">
      <c r="B641" s="14"/>
      <c r="C641" s="14"/>
      <c r="D641" s="14"/>
      <c r="E641" s="14"/>
      <c r="F641" s="14"/>
      <c r="G641" s="119"/>
    </row>
    <row r="642">
      <c r="B642" s="14"/>
      <c r="C642" s="14"/>
      <c r="D642" s="14"/>
      <c r="E642" s="14"/>
      <c r="F642" s="14"/>
      <c r="G642" s="119"/>
    </row>
    <row r="643">
      <c r="B643" s="14"/>
      <c r="C643" s="14"/>
      <c r="D643" s="14"/>
      <c r="E643" s="14"/>
      <c r="F643" s="14"/>
      <c r="G643" s="119"/>
    </row>
    <row r="644">
      <c r="B644" s="14"/>
      <c r="C644" s="14"/>
      <c r="D644" s="14"/>
      <c r="E644" s="14"/>
      <c r="F644" s="14"/>
      <c r="G644" s="119"/>
    </row>
    <row r="645">
      <c r="B645" s="14"/>
      <c r="C645" s="14"/>
      <c r="D645" s="14"/>
      <c r="E645" s="14"/>
      <c r="F645" s="14"/>
      <c r="G645" s="119"/>
    </row>
    <row r="646">
      <c r="B646" s="14"/>
      <c r="C646" s="14"/>
      <c r="D646" s="14"/>
      <c r="E646" s="14"/>
      <c r="F646" s="14"/>
      <c r="G646" s="119"/>
    </row>
    <row r="647">
      <c r="B647" s="14"/>
      <c r="C647" s="14"/>
      <c r="D647" s="14"/>
      <c r="E647" s="14"/>
      <c r="F647" s="14"/>
      <c r="G647" s="119"/>
    </row>
    <row r="648">
      <c r="B648" s="14"/>
      <c r="C648" s="14"/>
      <c r="D648" s="14"/>
      <c r="E648" s="14"/>
      <c r="F648" s="14"/>
      <c r="G648" s="119"/>
    </row>
    <row r="649">
      <c r="B649" s="14"/>
      <c r="C649" s="14"/>
      <c r="D649" s="14"/>
      <c r="E649" s="14"/>
      <c r="F649" s="14"/>
      <c r="G649" s="119"/>
    </row>
    <row r="650">
      <c r="B650" s="14"/>
      <c r="C650" s="14"/>
      <c r="D650" s="14"/>
      <c r="E650" s="14"/>
      <c r="F650" s="14"/>
      <c r="G650" s="119"/>
    </row>
    <row r="651">
      <c r="B651" s="14"/>
      <c r="C651" s="14"/>
      <c r="D651" s="14"/>
      <c r="E651" s="14"/>
      <c r="F651" s="14"/>
      <c r="G651" s="119"/>
    </row>
    <row r="652">
      <c r="B652" s="14"/>
      <c r="C652" s="14"/>
      <c r="D652" s="14"/>
      <c r="E652" s="14"/>
      <c r="F652" s="14"/>
      <c r="G652" s="119"/>
    </row>
    <row r="653">
      <c r="B653" s="14"/>
      <c r="C653" s="14"/>
      <c r="D653" s="14"/>
      <c r="E653" s="14"/>
      <c r="F653" s="14"/>
      <c r="G653" s="119"/>
    </row>
    <row r="654">
      <c r="B654" s="14"/>
      <c r="C654" s="14"/>
      <c r="D654" s="14"/>
      <c r="E654" s="14"/>
      <c r="F654" s="14"/>
      <c r="G654" s="119"/>
    </row>
    <row r="655">
      <c r="B655" s="14"/>
      <c r="C655" s="14"/>
      <c r="D655" s="14"/>
      <c r="E655" s="14"/>
      <c r="F655" s="14"/>
      <c r="G655" s="119"/>
    </row>
    <row r="656">
      <c r="B656" s="14"/>
      <c r="C656" s="14"/>
      <c r="D656" s="14"/>
      <c r="E656" s="14"/>
      <c r="F656" s="14"/>
      <c r="G656" s="119"/>
    </row>
    <row r="657">
      <c r="B657" s="14"/>
      <c r="C657" s="14"/>
      <c r="D657" s="14"/>
      <c r="E657" s="14"/>
      <c r="F657" s="14"/>
      <c r="G657" s="119"/>
    </row>
    <row r="658">
      <c r="B658" s="14"/>
      <c r="C658" s="14"/>
      <c r="D658" s="14"/>
      <c r="E658" s="14"/>
      <c r="F658" s="14"/>
      <c r="G658" s="119"/>
    </row>
    <row r="659">
      <c r="B659" s="14"/>
      <c r="C659" s="14"/>
      <c r="D659" s="14"/>
      <c r="E659" s="14"/>
      <c r="F659" s="14"/>
      <c r="G659" s="119"/>
    </row>
    <row r="660">
      <c r="B660" s="14"/>
      <c r="C660" s="14"/>
      <c r="D660" s="14"/>
      <c r="E660" s="14"/>
      <c r="F660" s="14"/>
      <c r="G660" s="119"/>
    </row>
    <row r="661">
      <c r="B661" s="14"/>
      <c r="C661" s="14"/>
      <c r="D661" s="14"/>
      <c r="E661" s="14"/>
      <c r="F661" s="14"/>
      <c r="G661" s="119"/>
    </row>
    <row r="662">
      <c r="B662" s="14"/>
      <c r="C662" s="14"/>
      <c r="D662" s="14"/>
      <c r="E662" s="14"/>
      <c r="F662" s="14"/>
      <c r="G662" s="119"/>
    </row>
    <row r="663">
      <c r="B663" s="14"/>
      <c r="C663" s="14"/>
      <c r="D663" s="14"/>
      <c r="E663" s="14"/>
      <c r="F663" s="14"/>
      <c r="G663" s="119"/>
    </row>
    <row r="664">
      <c r="B664" s="14"/>
      <c r="C664" s="14"/>
      <c r="D664" s="14"/>
      <c r="E664" s="14"/>
      <c r="F664" s="14"/>
      <c r="G664" s="119"/>
    </row>
    <row r="665">
      <c r="B665" s="14"/>
      <c r="C665" s="14"/>
      <c r="D665" s="14"/>
      <c r="E665" s="14"/>
      <c r="F665" s="14"/>
      <c r="G665" s="119"/>
    </row>
    <row r="666">
      <c r="B666" s="14"/>
      <c r="C666" s="14"/>
      <c r="D666" s="14"/>
      <c r="E666" s="14"/>
      <c r="F666" s="14"/>
      <c r="G666" s="119"/>
    </row>
    <row r="667">
      <c r="B667" s="14"/>
      <c r="C667" s="14"/>
      <c r="D667" s="14"/>
      <c r="E667" s="14"/>
      <c r="F667" s="14"/>
      <c r="G667" s="119"/>
    </row>
    <row r="668">
      <c r="B668" s="14"/>
      <c r="C668" s="14"/>
      <c r="D668" s="14"/>
      <c r="E668" s="14"/>
      <c r="F668" s="14"/>
      <c r="G668" s="119"/>
    </row>
    <row r="669">
      <c r="B669" s="14"/>
      <c r="C669" s="14"/>
      <c r="D669" s="14"/>
      <c r="E669" s="14"/>
      <c r="F669" s="14"/>
      <c r="G669" s="119"/>
    </row>
    <row r="670">
      <c r="B670" s="14"/>
      <c r="C670" s="14"/>
      <c r="D670" s="14"/>
      <c r="E670" s="14"/>
      <c r="F670" s="14"/>
      <c r="G670" s="119"/>
    </row>
    <row r="671">
      <c r="B671" s="14"/>
      <c r="C671" s="14"/>
      <c r="D671" s="14"/>
      <c r="E671" s="14"/>
      <c r="F671" s="14"/>
      <c r="G671" s="119"/>
    </row>
    <row r="672">
      <c r="B672" s="14"/>
      <c r="C672" s="14"/>
      <c r="D672" s="14"/>
      <c r="E672" s="14"/>
      <c r="F672" s="14"/>
      <c r="G672" s="119"/>
    </row>
    <row r="673">
      <c r="B673" s="14"/>
      <c r="C673" s="14"/>
      <c r="D673" s="14"/>
      <c r="E673" s="14"/>
      <c r="F673" s="14"/>
      <c r="G673" s="119"/>
    </row>
    <row r="674">
      <c r="B674" s="14"/>
      <c r="C674" s="14"/>
      <c r="D674" s="14"/>
      <c r="E674" s="14"/>
      <c r="F674" s="14"/>
      <c r="G674" s="119"/>
    </row>
    <row r="675">
      <c r="B675" s="14"/>
      <c r="C675" s="14"/>
      <c r="D675" s="14"/>
      <c r="E675" s="14"/>
      <c r="F675" s="14"/>
      <c r="G675" s="119"/>
    </row>
    <row r="676">
      <c r="B676" s="14"/>
      <c r="C676" s="14"/>
      <c r="D676" s="14"/>
      <c r="E676" s="14"/>
      <c r="F676" s="14"/>
      <c r="G676" s="119"/>
    </row>
    <row r="677">
      <c r="B677" s="14"/>
      <c r="C677" s="14"/>
      <c r="D677" s="14"/>
      <c r="E677" s="14"/>
      <c r="F677" s="14"/>
      <c r="G677" s="119"/>
    </row>
    <row r="678">
      <c r="B678" s="14"/>
      <c r="C678" s="14"/>
      <c r="D678" s="14"/>
      <c r="E678" s="14"/>
      <c r="F678" s="14"/>
      <c r="G678" s="119"/>
    </row>
    <row r="679">
      <c r="B679" s="14"/>
      <c r="C679" s="14"/>
      <c r="D679" s="14"/>
      <c r="E679" s="14"/>
      <c r="F679" s="14"/>
      <c r="G679" s="119"/>
    </row>
    <row r="680">
      <c r="B680" s="14"/>
      <c r="C680" s="14"/>
      <c r="D680" s="14"/>
      <c r="E680" s="14"/>
      <c r="F680" s="14"/>
      <c r="G680" s="119"/>
    </row>
    <row r="681">
      <c r="B681" s="14"/>
      <c r="C681" s="14"/>
      <c r="D681" s="14"/>
      <c r="E681" s="14"/>
      <c r="F681" s="14"/>
      <c r="G681" s="119"/>
    </row>
    <row r="682">
      <c r="B682" s="14"/>
      <c r="C682" s="14"/>
      <c r="D682" s="14"/>
      <c r="E682" s="14"/>
      <c r="F682" s="14"/>
      <c r="G682" s="119"/>
    </row>
    <row r="683">
      <c r="B683" s="14"/>
      <c r="C683" s="14"/>
      <c r="D683" s="14"/>
      <c r="E683" s="14"/>
      <c r="F683" s="14"/>
      <c r="G683" s="119"/>
    </row>
    <row r="684">
      <c r="B684" s="14"/>
      <c r="C684" s="14"/>
      <c r="D684" s="14"/>
      <c r="E684" s="14"/>
      <c r="F684" s="14"/>
      <c r="G684" s="119"/>
    </row>
    <row r="685">
      <c r="B685" s="14"/>
      <c r="C685" s="14"/>
      <c r="D685" s="14"/>
      <c r="E685" s="14"/>
      <c r="F685" s="14"/>
      <c r="G685" s="119"/>
    </row>
    <row r="686">
      <c r="B686" s="14"/>
      <c r="C686" s="14"/>
      <c r="D686" s="14"/>
      <c r="E686" s="14"/>
      <c r="F686" s="14"/>
      <c r="G686" s="119"/>
    </row>
    <row r="687">
      <c r="B687" s="14"/>
      <c r="C687" s="14"/>
      <c r="D687" s="14"/>
      <c r="E687" s="14"/>
      <c r="F687" s="14"/>
      <c r="G687" s="119"/>
    </row>
    <row r="688">
      <c r="B688" s="14"/>
      <c r="C688" s="14"/>
      <c r="D688" s="14"/>
      <c r="E688" s="14"/>
      <c r="F688" s="14"/>
      <c r="G688" s="119"/>
    </row>
    <row r="689">
      <c r="B689" s="14"/>
      <c r="C689" s="14"/>
      <c r="D689" s="14"/>
      <c r="E689" s="14"/>
      <c r="F689" s="14"/>
      <c r="G689" s="119"/>
    </row>
    <row r="690">
      <c r="B690" s="14"/>
      <c r="C690" s="14"/>
      <c r="D690" s="14"/>
      <c r="E690" s="14"/>
      <c r="F690" s="14"/>
      <c r="G690" s="119"/>
    </row>
    <row r="691">
      <c r="B691" s="14"/>
      <c r="C691" s="14"/>
      <c r="D691" s="14"/>
      <c r="E691" s="14"/>
      <c r="F691" s="14"/>
      <c r="G691" s="119"/>
    </row>
    <row r="692">
      <c r="B692" s="14"/>
      <c r="C692" s="14"/>
      <c r="D692" s="14"/>
      <c r="E692" s="14"/>
      <c r="F692" s="14"/>
      <c r="G692" s="119"/>
    </row>
    <row r="693">
      <c r="B693" s="14"/>
      <c r="C693" s="14"/>
      <c r="D693" s="14"/>
      <c r="E693" s="14"/>
      <c r="F693" s="14"/>
      <c r="G693" s="119"/>
    </row>
    <row r="694">
      <c r="B694" s="14"/>
      <c r="C694" s="14"/>
      <c r="D694" s="14"/>
      <c r="E694" s="14"/>
      <c r="F694" s="14"/>
      <c r="G694" s="119"/>
    </row>
    <row r="695">
      <c r="B695" s="14"/>
      <c r="C695" s="14"/>
      <c r="D695" s="14"/>
      <c r="E695" s="14"/>
      <c r="F695" s="14"/>
      <c r="G695" s="119"/>
    </row>
    <row r="696">
      <c r="B696" s="14"/>
      <c r="C696" s="14"/>
      <c r="D696" s="14"/>
      <c r="E696" s="14"/>
      <c r="F696" s="14"/>
      <c r="G696" s="119"/>
    </row>
    <row r="697">
      <c r="B697" s="14"/>
      <c r="C697" s="14"/>
      <c r="D697" s="14"/>
      <c r="E697" s="14"/>
      <c r="F697" s="14"/>
      <c r="G697" s="119"/>
    </row>
    <row r="698">
      <c r="B698" s="14"/>
      <c r="C698" s="14"/>
      <c r="D698" s="14"/>
      <c r="E698" s="14"/>
      <c r="F698" s="14"/>
      <c r="G698" s="119"/>
    </row>
    <row r="699">
      <c r="B699" s="14"/>
      <c r="C699" s="14"/>
      <c r="D699" s="14"/>
      <c r="E699" s="14"/>
      <c r="F699" s="14"/>
      <c r="G699" s="119"/>
    </row>
    <row r="700">
      <c r="B700" s="14"/>
      <c r="C700" s="14"/>
      <c r="D700" s="14"/>
      <c r="E700" s="14"/>
      <c r="F700" s="14"/>
      <c r="G700" s="119"/>
    </row>
    <row r="701">
      <c r="B701" s="14"/>
      <c r="C701" s="14"/>
      <c r="D701" s="14"/>
      <c r="E701" s="14"/>
      <c r="F701" s="14"/>
      <c r="G701" s="119"/>
    </row>
    <row r="702">
      <c r="B702" s="14"/>
      <c r="C702" s="14"/>
      <c r="D702" s="14"/>
      <c r="E702" s="14"/>
      <c r="F702" s="14"/>
      <c r="G702" s="119"/>
    </row>
    <row r="703">
      <c r="B703" s="14"/>
      <c r="C703" s="14"/>
      <c r="D703" s="14"/>
      <c r="E703" s="14"/>
      <c r="F703" s="14"/>
      <c r="G703" s="119"/>
    </row>
    <row r="704">
      <c r="B704" s="14"/>
      <c r="C704" s="14"/>
      <c r="D704" s="14"/>
      <c r="E704" s="14"/>
      <c r="F704" s="14"/>
      <c r="G704" s="119"/>
    </row>
    <row r="705">
      <c r="B705" s="14"/>
      <c r="C705" s="14"/>
      <c r="D705" s="14"/>
      <c r="E705" s="14"/>
      <c r="F705" s="14"/>
      <c r="G705" s="119"/>
    </row>
    <row r="706">
      <c r="B706" s="14"/>
      <c r="C706" s="14"/>
      <c r="D706" s="14"/>
      <c r="E706" s="14"/>
      <c r="F706" s="14"/>
      <c r="G706" s="119"/>
    </row>
    <row r="707">
      <c r="B707" s="14"/>
      <c r="C707" s="14"/>
      <c r="D707" s="14"/>
      <c r="E707" s="14"/>
      <c r="F707" s="14"/>
      <c r="G707" s="119"/>
    </row>
    <row r="708">
      <c r="B708" s="14"/>
      <c r="C708" s="14"/>
      <c r="D708" s="14"/>
      <c r="E708" s="14"/>
      <c r="F708" s="14"/>
      <c r="G708" s="119"/>
    </row>
    <row r="709">
      <c r="B709" s="14"/>
      <c r="C709" s="14"/>
      <c r="D709" s="14"/>
      <c r="E709" s="14"/>
      <c r="F709" s="14"/>
      <c r="G709" s="119"/>
    </row>
    <row r="710">
      <c r="B710" s="14"/>
      <c r="C710" s="14"/>
      <c r="D710" s="14"/>
      <c r="E710" s="14"/>
      <c r="F710" s="14"/>
      <c r="G710" s="119"/>
    </row>
    <row r="711">
      <c r="B711" s="14"/>
      <c r="C711" s="14"/>
      <c r="D711" s="14"/>
      <c r="E711" s="14"/>
      <c r="F711" s="14"/>
      <c r="G711" s="119"/>
    </row>
    <row r="712">
      <c r="B712" s="14"/>
      <c r="C712" s="14"/>
      <c r="D712" s="14"/>
      <c r="E712" s="14"/>
      <c r="F712" s="14"/>
      <c r="G712" s="119"/>
    </row>
    <row r="713">
      <c r="B713" s="14"/>
      <c r="C713" s="14"/>
      <c r="D713" s="14"/>
      <c r="E713" s="14"/>
      <c r="F713" s="14"/>
      <c r="G713" s="119"/>
    </row>
    <row r="714">
      <c r="B714" s="14"/>
      <c r="C714" s="14"/>
      <c r="D714" s="14"/>
      <c r="E714" s="14"/>
      <c r="F714" s="14"/>
      <c r="G714" s="119"/>
    </row>
    <row r="715">
      <c r="B715" s="14"/>
      <c r="C715" s="14"/>
      <c r="D715" s="14"/>
      <c r="E715" s="14"/>
      <c r="F715" s="14"/>
      <c r="G715" s="119"/>
    </row>
    <row r="716">
      <c r="B716" s="14"/>
      <c r="C716" s="14"/>
      <c r="D716" s="14"/>
      <c r="E716" s="14"/>
      <c r="F716" s="14"/>
      <c r="G716" s="119"/>
    </row>
    <row r="717">
      <c r="B717" s="14"/>
      <c r="C717" s="14"/>
      <c r="D717" s="14"/>
      <c r="E717" s="14"/>
      <c r="F717" s="14"/>
      <c r="G717" s="119"/>
    </row>
    <row r="718">
      <c r="B718" s="14"/>
      <c r="C718" s="14"/>
      <c r="D718" s="14"/>
      <c r="E718" s="14"/>
      <c r="F718" s="14"/>
      <c r="G718" s="119"/>
    </row>
    <row r="719">
      <c r="B719" s="14"/>
      <c r="C719" s="14"/>
      <c r="D719" s="14"/>
      <c r="E719" s="14"/>
      <c r="F719" s="14"/>
      <c r="G719" s="119"/>
    </row>
    <row r="720">
      <c r="B720" s="14"/>
      <c r="C720" s="14"/>
      <c r="D720" s="14"/>
      <c r="E720" s="14"/>
      <c r="F720" s="14"/>
      <c r="G720" s="119"/>
    </row>
    <row r="721">
      <c r="B721" s="14"/>
      <c r="C721" s="14"/>
      <c r="D721" s="14"/>
      <c r="E721" s="14"/>
      <c r="F721" s="14"/>
      <c r="G721" s="119"/>
    </row>
    <row r="722">
      <c r="B722" s="14"/>
      <c r="C722" s="14"/>
      <c r="D722" s="14"/>
      <c r="E722" s="14"/>
      <c r="F722" s="14"/>
      <c r="G722" s="119"/>
    </row>
    <row r="723">
      <c r="B723" s="14"/>
      <c r="C723" s="14"/>
      <c r="D723" s="14"/>
      <c r="E723" s="14"/>
      <c r="F723" s="14"/>
      <c r="G723" s="119"/>
    </row>
    <row r="724">
      <c r="B724" s="14"/>
      <c r="C724" s="14"/>
      <c r="D724" s="14"/>
      <c r="E724" s="14"/>
      <c r="F724" s="14"/>
      <c r="G724" s="119"/>
    </row>
    <row r="725">
      <c r="B725" s="14"/>
      <c r="C725" s="14"/>
      <c r="D725" s="14"/>
      <c r="E725" s="14"/>
      <c r="F725" s="14"/>
      <c r="G725" s="119"/>
    </row>
    <row r="726">
      <c r="B726" s="14"/>
      <c r="C726" s="14"/>
      <c r="D726" s="14"/>
      <c r="E726" s="14"/>
      <c r="F726" s="14"/>
      <c r="G726" s="119"/>
    </row>
    <row r="727">
      <c r="B727" s="14"/>
      <c r="C727" s="14"/>
      <c r="D727" s="14"/>
      <c r="E727" s="14"/>
      <c r="F727" s="14"/>
      <c r="G727" s="119"/>
    </row>
    <row r="728">
      <c r="B728" s="14"/>
      <c r="C728" s="14"/>
      <c r="D728" s="14"/>
      <c r="E728" s="14"/>
      <c r="F728" s="14"/>
      <c r="G728" s="119"/>
    </row>
    <row r="729">
      <c r="B729" s="14"/>
      <c r="C729" s="14"/>
      <c r="D729" s="14"/>
      <c r="E729" s="14"/>
      <c r="F729" s="14"/>
      <c r="G729" s="119"/>
    </row>
    <row r="730">
      <c r="B730" s="14"/>
      <c r="C730" s="14"/>
      <c r="D730" s="14"/>
      <c r="E730" s="14"/>
      <c r="F730" s="14"/>
      <c r="G730" s="119"/>
    </row>
    <row r="731">
      <c r="B731" s="14"/>
      <c r="C731" s="14"/>
      <c r="D731" s="14"/>
      <c r="E731" s="14"/>
      <c r="F731" s="14"/>
      <c r="G731" s="119"/>
    </row>
    <row r="732">
      <c r="B732" s="14"/>
      <c r="C732" s="14"/>
      <c r="D732" s="14"/>
      <c r="E732" s="14"/>
      <c r="F732" s="14"/>
      <c r="G732" s="119"/>
    </row>
    <row r="733">
      <c r="B733" s="14"/>
      <c r="C733" s="14"/>
      <c r="D733" s="14"/>
      <c r="E733" s="14"/>
      <c r="F733" s="14"/>
      <c r="G733" s="119"/>
    </row>
    <row r="734">
      <c r="B734" s="14"/>
      <c r="C734" s="14"/>
      <c r="D734" s="14"/>
      <c r="E734" s="14"/>
      <c r="F734" s="14"/>
      <c r="G734" s="119"/>
    </row>
    <row r="735">
      <c r="B735" s="14"/>
      <c r="C735" s="14"/>
      <c r="D735" s="14"/>
      <c r="E735" s="14"/>
      <c r="F735" s="14"/>
      <c r="G735" s="119"/>
    </row>
    <row r="736">
      <c r="B736" s="14"/>
      <c r="C736" s="14"/>
      <c r="D736" s="14"/>
      <c r="E736" s="14"/>
      <c r="F736" s="14"/>
      <c r="G736" s="119"/>
    </row>
    <row r="737">
      <c r="B737" s="14"/>
      <c r="C737" s="14"/>
      <c r="D737" s="14"/>
      <c r="E737" s="14"/>
      <c r="F737" s="14"/>
      <c r="G737" s="119"/>
    </row>
    <row r="738">
      <c r="B738" s="14"/>
      <c r="C738" s="14"/>
      <c r="D738" s="14"/>
      <c r="E738" s="14"/>
      <c r="F738" s="14"/>
      <c r="G738" s="119"/>
    </row>
    <row r="739">
      <c r="B739" s="14"/>
      <c r="C739" s="14"/>
      <c r="D739" s="14"/>
      <c r="E739" s="14"/>
      <c r="F739" s="14"/>
      <c r="G739" s="119"/>
    </row>
    <row r="740">
      <c r="B740" s="14"/>
      <c r="C740" s="14"/>
      <c r="D740" s="14"/>
      <c r="E740" s="14"/>
      <c r="F740" s="14"/>
      <c r="G740" s="119"/>
    </row>
    <row r="741">
      <c r="B741" s="14"/>
      <c r="C741" s="14"/>
      <c r="D741" s="14"/>
      <c r="E741" s="14"/>
      <c r="F741" s="14"/>
      <c r="G741" s="119"/>
    </row>
    <row r="742">
      <c r="B742" s="14"/>
      <c r="C742" s="14"/>
      <c r="D742" s="14"/>
      <c r="E742" s="14"/>
      <c r="F742" s="14"/>
      <c r="G742" s="119"/>
    </row>
    <row r="743">
      <c r="B743" s="14"/>
      <c r="C743" s="14"/>
      <c r="D743" s="14"/>
      <c r="E743" s="14"/>
      <c r="F743" s="14"/>
      <c r="G743" s="119"/>
    </row>
    <row r="744">
      <c r="B744" s="14"/>
      <c r="C744" s="14"/>
      <c r="D744" s="14"/>
      <c r="E744" s="14"/>
      <c r="F744" s="14"/>
      <c r="G744" s="119"/>
    </row>
    <row r="745">
      <c r="B745" s="14"/>
      <c r="C745" s="14"/>
      <c r="D745" s="14"/>
      <c r="E745" s="14"/>
      <c r="F745" s="14"/>
      <c r="G745" s="119"/>
    </row>
    <row r="746">
      <c r="B746" s="14"/>
      <c r="C746" s="14"/>
      <c r="D746" s="14"/>
      <c r="E746" s="14"/>
      <c r="F746" s="14"/>
      <c r="G746" s="119"/>
    </row>
    <row r="747">
      <c r="B747" s="14"/>
      <c r="C747" s="14"/>
      <c r="D747" s="14"/>
      <c r="E747" s="14"/>
      <c r="F747" s="14"/>
      <c r="G747" s="119"/>
    </row>
    <row r="748">
      <c r="B748" s="14"/>
      <c r="C748" s="14"/>
      <c r="D748" s="14"/>
      <c r="E748" s="14"/>
      <c r="F748" s="14"/>
      <c r="G748" s="119"/>
    </row>
    <row r="749">
      <c r="B749" s="14"/>
      <c r="C749" s="14"/>
      <c r="D749" s="14"/>
      <c r="E749" s="14"/>
      <c r="F749" s="14"/>
      <c r="G749" s="119"/>
    </row>
    <row r="750">
      <c r="B750" s="14"/>
      <c r="C750" s="14"/>
      <c r="D750" s="14"/>
      <c r="E750" s="14"/>
      <c r="F750" s="14"/>
      <c r="G750" s="119"/>
    </row>
    <row r="751">
      <c r="B751" s="14"/>
      <c r="C751" s="14"/>
      <c r="D751" s="14"/>
      <c r="E751" s="14"/>
      <c r="F751" s="14"/>
      <c r="G751" s="119"/>
    </row>
    <row r="752">
      <c r="B752" s="14"/>
      <c r="C752" s="14"/>
      <c r="D752" s="14"/>
      <c r="E752" s="14"/>
      <c r="F752" s="14"/>
      <c r="G752" s="119"/>
    </row>
    <row r="753">
      <c r="B753" s="14"/>
      <c r="C753" s="14"/>
      <c r="D753" s="14"/>
      <c r="E753" s="14"/>
      <c r="F753" s="14"/>
      <c r="G753" s="119"/>
    </row>
    <row r="754">
      <c r="B754" s="14"/>
      <c r="C754" s="14"/>
      <c r="D754" s="14"/>
      <c r="E754" s="14"/>
      <c r="F754" s="14"/>
      <c r="G754" s="119"/>
    </row>
    <row r="755">
      <c r="B755" s="14"/>
      <c r="C755" s="14"/>
      <c r="D755" s="14"/>
      <c r="E755" s="14"/>
      <c r="F755" s="14"/>
      <c r="G755" s="119"/>
    </row>
    <row r="756">
      <c r="B756" s="14"/>
      <c r="C756" s="14"/>
      <c r="D756" s="14"/>
      <c r="E756" s="14"/>
      <c r="F756" s="14"/>
      <c r="G756" s="119"/>
    </row>
    <row r="757">
      <c r="B757" s="14"/>
      <c r="C757" s="14"/>
      <c r="D757" s="14"/>
      <c r="E757" s="14"/>
      <c r="F757" s="14"/>
      <c r="G757" s="119"/>
    </row>
    <row r="758">
      <c r="B758" s="14"/>
      <c r="C758" s="14"/>
      <c r="D758" s="14"/>
      <c r="E758" s="14"/>
      <c r="F758" s="14"/>
      <c r="G758" s="119"/>
    </row>
    <row r="759">
      <c r="B759" s="14"/>
      <c r="C759" s="14"/>
      <c r="D759" s="14"/>
      <c r="E759" s="14"/>
      <c r="F759" s="14"/>
      <c r="G759" s="119"/>
    </row>
    <row r="760">
      <c r="B760" s="14"/>
      <c r="C760" s="14"/>
      <c r="D760" s="14"/>
      <c r="E760" s="14"/>
      <c r="F760" s="14"/>
      <c r="G760" s="119"/>
    </row>
    <row r="761">
      <c r="B761" s="14"/>
      <c r="C761" s="14"/>
      <c r="D761" s="14"/>
      <c r="E761" s="14"/>
      <c r="F761" s="14"/>
      <c r="G761" s="119"/>
    </row>
    <row r="762">
      <c r="B762" s="14"/>
      <c r="C762" s="14"/>
      <c r="D762" s="14"/>
      <c r="E762" s="14"/>
      <c r="F762" s="14"/>
      <c r="G762" s="119"/>
    </row>
    <row r="763">
      <c r="B763" s="14"/>
      <c r="C763" s="14"/>
      <c r="D763" s="14"/>
      <c r="E763" s="14"/>
      <c r="F763" s="14"/>
      <c r="G763" s="119"/>
    </row>
    <row r="764">
      <c r="B764" s="14"/>
      <c r="C764" s="14"/>
      <c r="D764" s="14"/>
      <c r="E764" s="14"/>
      <c r="F764" s="14"/>
      <c r="G764" s="119"/>
    </row>
    <row r="765">
      <c r="B765" s="14"/>
      <c r="C765" s="14"/>
      <c r="D765" s="14"/>
      <c r="E765" s="14"/>
      <c r="F765" s="14"/>
      <c r="G765" s="119"/>
    </row>
    <row r="766">
      <c r="B766" s="14"/>
      <c r="C766" s="14"/>
      <c r="D766" s="14"/>
      <c r="E766" s="14"/>
      <c r="F766" s="14"/>
      <c r="G766" s="119"/>
    </row>
    <row r="767">
      <c r="B767" s="14"/>
      <c r="C767" s="14"/>
      <c r="D767" s="14"/>
      <c r="E767" s="14"/>
      <c r="F767" s="14"/>
      <c r="G767" s="119"/>
    </row>
    <row r="768">
      <c r="B768" s="14"/>
      <c r="C768" s="14"/>
      <c r="D768" s="14"/>
      <c r="E768" s="14"/>
      <c r="F768" s="14"/>
      <c r="G768" s="119"/>
    </row>
    <row r="769">
      <c r="B769" s="14"/>
      <c r="C769" s="14"/>
      <c r="D769" s="14"/>
      <c r="E769" s="14"/>
      <c r="F769" s="14"/>
      <c r="G769" s="119"/>
    </row>
    <row r="770">
      <c r="B770" s="14"/>
      <c r="C770" s="14"/>
      <c r="D770" s="14"/>
      <c r="E770" s="14"/>
      <c r="F770" s="14"/>
      <c r="G770" s="119"/>
    </row>
    <row r="771">
      <c r="B771" s="14"/>
      <c r="C771" s="14"/>
      <c r="D771" s="14"/>
      <c r="E771" s="14"/>
      <c r="F771" s="14"/>
      <c r="G771" s="119"/>
    </row>
    <row r="772">
      <c r="B772" s="14"/>
      <c r="C772" s="14"/>
      <c r="D772" s="14"/>
      <c r="E772" s="14"/>
      <c r="F772" s="14"/>
      <c r="G772" s="119"/>
    </row>
    <row r="773">
      <c r="B773" s="14"/>
      <c r="C773" s="14"/>
      <c r="D773" s="14"/>
      <c r="E773" s="14"/>
      <c r="F773" s="14"/>
      <c r="G773" s="119"/>
    </row>
    <row r="774">
      <c r="B774" s="14"/>
      <c r="C774" s="14"/>
      <c r="D774" s="14"/>
      <c r="E774" s="14"/>
      <c r="F774" s="14"/>
      <c r="G774" s="119"/>
    </row>
    <row r="775">
      <c r="B775" s="14"/>
      <c r="C775" s="14"/>
      <c r="D775" s="14"/>
      <c r="E775" s="14"/>
      <c r="F775" s="14"/>
      <c r="G775" s="119"/>
    </row>
    <row r="776">
      <c r="B776" s="14"/>
      <c r="C776" s="14"/>
      <c r="D776" s="14"/>
      <c r="E776" s="14"/>
      <c r="F776" s="14"/>
      <c r="G776" s="119"/>
    </row>
    <row r="777">
      <c r="B777" s="14"/>
      <c r="C777" s="14"/>
      <c r="D777" s="14"/>
      <c r="E777" s="14"/>
      <c r="F777" s="14"/>
      <c r="G777" s="119"/>
    </row>
    <row r="778">
      <c r="B778" s="14"/>
      <c r="C778" s="14"/>
      <c r="D778" s="14"/>
      <c r="E778" s="14"/>
      <c r="F778" s="14"/>
      <c r="G778" s="119"/>
    </row>
    <row r="779">
      <c r="B779" s="14"/>
      <c r="C779" s="14"/>
      <c r="D779" s="14"/>
      <c r="E779" s="14"/>
      <c r="F779" s="14"/>
      <c r="G779" s="119"/>
    </row>
    <row r="780">
      <c r="B780" s="14"/>
      <c r="C780" s="14"/>
      <c r="D780" s="14"/>
      <c r="E780" s="14"/>
      <c r="F780" s="14"/>
      <c r="G780" s="119"/>
    </row>
    <row r="781">
      <c r="B781" s="14"/>
      <c r="C781" s="14"/>
      <c r="D781" s="14"/>
      <c r="E781" s="14"/>
      <c r="F781" s="14"/>
      <c r="G781" s="119"/>
    </row>
    <row r="782">
      <c r="B782" s="14"/>
      <c r="C782" s="14"/>
      <c r="D782" s="14"/>
      <c r="E782" s="14"/>
      <c r="F782" s="14"/>
      <c r="G782" s="119"/>
    </row>
    <row r="783">
      <c r="B783" s="14"/>
      <c r="C783" s="14"/>
      <c r="D783" s="14"/>
      <c r="E783" s="14"/>
      <c r="F783" s="14"/>
      <c r="G783" s="119"/>
    </row>
    <row r="784">
      <c r="B784" s="14"/>
      <c r="C784" s="14"/>
      <c r="D784" s="14"/>
      <c r="E784" s="14"/>
      <c r="F784" s="14"/>
      <c r="G784" s="119"/>
    </row>
    <row r="785">
      <c r="B785" s="14"/>
      <c r="C785" s="14"/>
      <c r="D785" s="14"/>
      <c r="E785" s="14"/>
      <c r="F785" s="14"/>
      <c r="G785" s="119"/>
    </row>
    <row r="786">
      <c r="B786" s="14"/>
      <c r="C786" s="14"/>
      <c r="D786" s="14"/>
      <c r="E786" s="14"/>
      <c r="F786" s="14"/>
      <c r="G786" s="119"/>
    </row>
    <row r="787">
      <c r="B787" s="14"/>
      <c r="C787" s="14"/>
      <c r="D787" s="14"/>
      <c r="E787" s="14"/>
      <c r="F787" s="14"/>
      <c r="G787" s="119"/>
    </row>
    <row r="788">
      <c r="B788" s="14"/>
      <c r="C788" s="14"/>
      <c r="D788" s="14"/>
      <c r="E788" s="14"/>
      <c r="F788" s="14"/>
      <c r="G788" s="119"/>
    </row>
    <row r="789">
      <c r="B789" s="14"/>
      <c r="C789" s="14"/>
      <c r="D789" s="14"/>
      <c r="E789" s="14"/>
      <c r="F789" s="14"/>
      <c r="G789" s="119"/>
    </row>
    <row r="790">
      <c r="B790" s="14"/>
      <c r="C790" s="14"/>
      <c r="D790" s="14"/>
      <c r="E790" s="14"/>
      <c r="F790" s="14"/>
      <c r="G790" s="119"/>
    </row>
    <row r="791">
      <c r="B791" s="14"/>
      <c r="C791" s="14"/>
      <c r="D791" s="14"/>
      <c r="E791" s="14"/>
      <c r="F791" s="14"/>
      <c r="G791" s="119"/>
    </row>
    <row r="792">
      <c r="B792" s="14"/>
      <c r="C792" s="14"/>
      <c r="D792" s="14"/>
      <c r="E792" s="14"/>
      <c r="F792" s="14"/>
      <c r="G792" s="119"/>
    </row>
    <row r="793">
      <c r="B793" s="14"/>
      <c r="C793" s="14"/>
      <c r="D793" s="14"/>
      <c r="E793" s="14"/>
      <c r="F793" s="14"/>
      <c r="G793" s="119"/>
    </row>
    <row r="794">
      <c r="B794" s="14"/>
      <c r="C794" s="14"/>
      <c r="D794" s="14"/>
      <c r="E794" s="14"/>
      <c r="F794" s="14"/>
      <c r="G794" s="119"/>
    </row>
    <row r="795">
      <c r="B795" s="14"/>
      <c r="C795" s="14"/>
      <c r="D795" s="14"/>
      <c r="E795" s="14"/>
      <c r="F795" s="14"/>
      <c r="G795" s="119"/>
    </row>
    <row r="796">
      <c r="B796" s="14"/>
      <c r="C796" s="14"/>
      <c r="D796" s="14"/>
      <c r="E796" s="14"/>
      <c r="F796" s="14"/>
      <c r="G796" s="119"/>
    </row>
    <row r="797">
      <c r="B797" s="14"/>
      <c r="C797" s="14"/>
      <c r="D797" s="14"/>
      <c r="E797" s="14"/>
      <c r="F797" s="14"/>
      <c r="G797" s="119"/>
    </row>
    <row r="798">
      <c r="B798" s="14"/>
      <c r="C798" s="14"/>
      <c r="D798" s="14"/>
      <c r="E798" s="14"/>
      <c r="F798" s="14"/>
      <c r="G798" s="119"/>
    </row>
    <row r="799">
      <c r="B799" s="14"/>
      <c r="C799" s="14"/>
      <c r="D799" s="14"/>
      <c r="E799" s="14"/>
      <c r="F799" s="14"/>
      <c r="G799" s="119"/>
    </row>
    <row r="800">
      <c r="B800" s="14"/>
      <c r="C800" s="14"/>
      <c r="D800" s="14"/>
      <c r="E800" s="14"/>
      <c r="F800" s="14"/>
      <c r="G800" s="119"/>
    </row>
    <row r="801">
      <c r="B801" s="14"/>
      <c r="C801" s="14"/>
      <c r="D801" s="14"/>
      <c r="E801" s="14"/>
      <c r="F801" s="14"/>
      <c r="G801" s="119"/>
    </row>
    <row r="802">
      <c r="B802" s="14"/>
      <c r="C802" s="14"/>
      <c r="D802" s="14"/>
      <c r="E802" s="14"/>
      <c r="F802" s="14"/>
      <c r="G802" s="119"/>
    </row>
    <row r="803">
      <c r="B803" s="14"/>
      <c r="C803" s="14"/>
      <c r="D803" s="14"/>
      <c r="E803" s="14"/>
      <c r="F803" s="14"/>
      <c r="G803" s="119"/>
    </row>
    <row r="804">
      <c r="B804" s="14"/>
      <c r="C804" s="14"/>
      <c r="D804" s="14"/>
      <c r="E804" s="14"/>
      <c r="F804" s="14"/>
      <c r="G804" s="119"/>
    </row>
    <row r="805">
      <c r="B805" s="14"/>
      <c r="C805" s="14"/>
      <c r="D805" s="14"/>
      <c r="E805" s="14"/>
      <c r="F805" s="14"/>
      <c r="G805" s="119"/>
    </row>
    <row r="806">
      <c r="B806" s="14"/>
      <c r="C806" s="14"/>
      <c r="D806" s="14"/>
      <c r="E806" s="14"/>
      <c r="F806" s="14"/>
      <c r="G806" s="119"/>
    </row>
    <row r="807">
      <c r="B807" s="14"/>
      <c r="C807" s="14"/>
      <c r="D807" s="14"/>
      <c r="E807" s="14"/>
      <c r="F807" s="14"/>
      <c r="G807" s="119"/>
    </row>
    <row r="808">
      <c r="B808" s="14"/>
      <c r="C808" s="14"/>
      <c r="D808" s="14"/>
      <c r="E808" s="14"/>
      <c r="F808" s="14"/>
      <c r="G808" s="119"/>
    </row>
    <row r="809">
      <c r="B809" s="14"/>
      <c r="C809" s="14"/>
      <c r="D809" s="14"/>
      <c r="E809" s="14"/>
      <c r="F809" s="14"/>
      <c r="G809" s="119"/>
    </row>
    <row r="810">
      <c r="B810" s="14"/>
      <c r="C810" s="14"/>
      <c r="D810" s="14"/>
      <c r="E810" s="14"/>
      <c r="F810" s="14"/>
      <c r="G810" s="119"/>
    </row>
    <row r="811">
      <c r="B811" s="14"/>
      <c r="C811" s="14"/>
      <c r="D811" s="14"/>
      <c r="E811" s="14"/>
      <c r="F811" s="14"/>
      <c r="G811" s="119"/>
    </row>
    <row r="812">
      <c r="B812" s="14"/>
      <c r="C812" s="14"/>
      <c r="D812" s="14"/>
      <c r="E812" s="14"/>
      <c r="F812" s="14"/>
      <c r="G812" s="119"/>
    </row>
    <row r="813">
      <c r="B813" s="14"/>
      <c r="C813" s="14"/>
      <c r="D813" s="14"/>
      <c r="E813" s="14"/>
      <c r="F813" s="14"/>
      <c r="G813" s="119"/>
    </row>
    <row r="814">
      <c r="B814" s="14"/>
      <c r="C814" s="14"/>
      <c r="D814" s="14"/>
      <c r="E814" s="14"/>
      <c r="F814" s="14"/>
      <c r="G814" s="119"/>
    </row>
    <row r="815">
      <c r="B815" s="14"/>
      <c r="C815" s="14"/>
      <c r="D815" s="14"/>
      <c r="E815" s="14"/>
      <c r="F815" s="14"/>
      <c r="G815" s="119"/>
    </row>
    <row r="816">
      <c r="B816" s="14"/>
      <c r="C816" s="14"/>
      <c r="D816" s="14"/>
      <c r="E816" s="14"/>
      <c r="F816" s="14"/>
      <c r="G816" s="119"/>
    </row>
    <row r="817">
      <c r="B817" s="14"/>
      <c r="C817" s="14"/>
      <c r="D817" s="14"/>
      <c r="E817" s="14"/>
      <c r="F817" s="14"/>
      <c r="G817" s="119"/>
    </row>
    <row r="818">
      <c r="B818" s="14"/>
      <c r="C818" s="14"/>
      <c r="D818" s="14"/>
      <c r="E818" s="14"/>
      <c r="F818" s="14"/>
      <c r="G818" s="119"/>
    </row>
    <row r="819">
      <c r="B819" s="14"/>
      <c r="C819" s="14"/>
      <c r="D819" s="14"/>
      <c r="E819" s="14"/>
      <c r="F819" s="14"/>
      <c r="G819" s="119"/>
    </row>
    <row r="820">
      <c r="B820" s="14"/>
      <c r="C820" s="14"/>
      <c r="D820" s="14"/>
      <c r="E820" s="14"/>
      <c r="F820" s="14"/>
      <c r="G820" s="119"/>
    </row>
    <row r="821">
      <c r="B821" s="14"/>
      <c r="C821" s="14"/>
      <c r="D821" s="14"/>
      <c r="E821" s="14"/>
      <c r="F821" s="14"/>
      <c r="G821" s="119"/>
    </row>
    <row r="822">
      <c r="B822" s="14"/>
      <c r="C822" s="14"/>
      <c r="D822" s="14"/>
      <c r="E822" s="14"/>
      <c r="F822" s="14"/>
      <c r="G822" s="119"/>
    </row>
    <row r="823">
      <c r="B823" s="14"/>
      <c r="C823" s="14"/>
      <c r="D823" s="14"/>
      <c r="E823" s="14"/>
      <c r="F823" s="14"/>
      <c r="G823" s="119"/>
    </row>
    <row r="824">
      <c r="B824" s="14"/>
      <c r="C824" s="14"/>
      <c r="D824" s="14"/>
      <c r="E824" s="14"/>
      <c r="F824" s="14"/>
      <c r="G824" s="119"/>
    </row>
    <row r="825">
      <c r="B825" s="14"/>
      <c r="C825" s="14"/>
      <c r="D825" s="14"/>
      <c r="E825" s="14"/>
      <c r="F825" s="14"/>
      <c r="G825" s="119"/>
    </row>
    <row r="826">
      <c r="B826" s="14"/>
      <c r="C826" s="14"/>
      <c r="D826" s="14"/>
      <c r="E826" s="14"/>
      <c r="F826" s="14"/>
      <c r="G826" s="119"/>
    </row>
    <row r="827">
      <c r="B827" s="14"/>
      <c r="C827" s="14"/>
      <c r="D827" s="14"/>
      <c r="E827" s="14"/>
      <c r="F827" s="14"/>
      <c r="G827" s="119"/>
    </row>
    <row r="828">
      <c r="B828" s="14"/>
      <c r="C828" s="14"/>
      <c r="D828" s="14"/>
      <c r="E828" s="14"/>
      <c r="F828" s="14"/>
      <c r="G828" s="119"/>
    </row>
    <row r="829">
      <c r="B829" s="14"/>
      <c r="C829" s="14"/>
      <c r="D829" s="14"/>
      <c r="E829" s="14"/>
      <c r="F829" s="14"/>
      <c r="G829" s="119"/>
    </row>
    <row r="830">
      <c r="B830" s="14"/>
      <c r="C830" s="14"/>
      <c r="D830" s="14"/>
      <c r="E830" s="14"/>
      <c r="F830" s="14"/>
      <c r="G830" s="119"/>
    </row>
    <row r="831">
      <c r="B831" s="14"/>
      <c r="C831" s="14"/>
      <c r="D831" s="14"/>
      <c r="E831" s="14"/>
      <c r="F831" s="14"/>
      <c r="G831" s="119"/>
    </row>
    <row r="832">
      <c r="B832" s="14"/>
      <c r="C832" s="14"/>
      <c r="D832" s="14"/>
      <c r="E832" s="14"/>
      <c r="F832" s="14"/>
      <c r="G832" s="119"/>
    </row>
    <row r="833">
      <c r="B833" s="14"/>
      <c r="C833" s="14"/>
      <c r="D833" s="14"/>
      <c r="E833" s="14"/>
      <c r="F833" s="14"/>
      <c r="G833" s="119"/>
    </row>
    <row r="834">
      <c r="B834" s="14"/>
      <c r="C834" s="14"/>
      <c r="D834" s="14"/>
      <c r="E834" s="14"/>
      <c r="F834" s="14"/>
      <c r="G834" s="119"/>
    </row>
    <row r="835">
      <c r="B835" s="14"/>
      <c r="C835" s="14"/>
      <c r="D835" s="14"/>
      <c r="E835" s="14"/>
      <c r="F835" s="14"/>
      <c r="G835" s="119"/>
    </row>
    <row r="836">
      <c r="B836" s="14"/>
      <c r="C836" s="14"/>
      <c r="D836" s="14"/>
      <c r="E836" s="14"/>
      <c r="F836" s="14"/>
      <c r="G836" s="119"/>
    </row>
    <row r="837">
      <c r="B837" s="14"/>
      <c r="C837" s="14"/>
      <c r="D837" s="14"/>
      <c r="E837" s="14"/>
      <c r="F837" s="14"/>
      <c r="G837" s="119"/>
    </row>
    <row r="838">
      <c r="B838" s="14"/>
      <c r="C838" s="14"/>
      <c r="D838" s="14"/>
      <c r="E838" s="14"/>
      <c r="F838" s="14"/>
      <c r="G838" s="119"/>
    </row>
    <row r="839">
      <c r="B839" s="14"/>
      <c r="C839" s="14"/>
      <c r="D839" s="14"/>
      <c r="E839" s="14"/>
      <c r="F839" s="14"/>
      <c r="G839" s="119"/>
    </row>
    <row r="840">
      <c r="B840" s="14"/>
      <c r="C840" s="14"/>
      <c r="D840" s="14"/>
      <c r="E840" s="14"/>
      <c r="F840" s="14"/>
      <c r="G840" s="119"/>
    </row>
    <row r="841">
      <c r="B841" s="14"/>
      <c r="C841" s="14"/>
      <c r="D841" s="14"/>
      <c r="E841" s="14"/>
      <c r="F841" s="14"/>
      <c r="G841" s="119"/>
    </row>
    <row r="842">
      <c r="B842" s="14"/>
      <c r="C842" s="14"/>
      <c r="D842" s="14"/>
      <c r="E842" s="14"/>
      <c r="F842" s="14"/>
      <c r="G842" s="119"/>
    </row>
    <row r="843">
      <c r="B843" s="14"/>
      <c r="C843" s="14"/>
      <c r="D843" s="14"/>
      <c r="E843" s="14"/>
      <c r="F843" s="14"/>
      <c r="G843" s="119"/>
    </row>
    <row r="844">
      <c r="B844" s="14"/>
      <c r="C844" s="14"/>
      <c r="D844" s="14"/>
      <c r="E844" s="14"/>
      <c r="F844" s="14"/>
      <c r="G844" s="119"/>
    </row>
    <row r="845">
      <c r="B845" s="14"/>
      <c r="C845" s="14"/>
      <c r="D845" s="14"/>
      <c r="E845" s="14"/>
      <c r="F845" s="14"/>
      <c r="G845" s="119"/>
    </row>
    <row r="846">
      <c r="B846" s="14"/>
      <c r="C846" s="14"/>
      <c r="D846" s="14"/>
      <c r="E846" s="14"/>
      <c r="F846" s="14"/>
      <c r="G846" s="119"/>
    </row>
    <row r="847">
      <c r="B847" s="14"/>
      <c r="C847" s="14"/>
      <c r="D847" s="14"/>
      <c r="E847" s="14"/>
      <c r="F847" s="14"/>
      <c r="G847" s="119"/>
    </row>
    <row r="848">
      <c r="B848" s="14"/>
      <c r="C848" s="14"/>
      <c r="D848" s="14"/>
      <c r="E848" s="14"/>
      <c r="F848" s="14"/>
      <c r="G848" s="119"/>
    </row>
    <row r="849">
      <c r="B849" s="14"/>
      <c r="C849" s="14"/>
      <c r="D849" s="14"/>
      <c r="E849" s="14"/>
      <c r="F849" s="14"/>
      <c r="G849" s="119"/>
    </row>
    <row r="850">
      <c r="B850" s="14"/>
      <c r="C850" s="14"/>
      <c r="D850" s="14"/>
      <c r="E850" s="14"/>
      <c r="F850" s="14"/>
      <c r="G850" s="119"/>
    </row>
    <row r="851">
      <c r="B851" s="14"/>
      <c r="C851" s="14"/>
      <c r="D851" s="14"/>
      <c r="E851" s="14"/>
      <c r="F851" s="14"/>
      <c r="G851" s="119"/>
    </row>
    <row r="852">
      <c r="B852" s="14"/>
      <c r="C852" s="14"/>
      <c r="D852" s="14"/>
      <c r="E852" s="14"/>
      <c r="F852" s="14"/>
      <c r="G852" s="119"/>
    </row>
    <row r="853">
      <c r="B853" s="14"/>
      <c r="C853" s="14"/>
      <c r="D853" s="14"/>
      <c r="E853" s="14"/>
      <c r="F853" s="14"/>
      <c r="G853" s="119"/>
    </row>
    <row r="854">
      <c r="B854" s="14"/>
      <c r="C854" s="14"/>
      <c r="D854" s="14"/>
      <c r="E854" s="14"/>
      <c r="F854" s="14"/>
      <c r="G854" s="119"/>
    </row>
    <row r="855">
      <c r="B855" s="14"/>
      <c r="C855" s="14"/>
      <c r="D855" s="14"/>
      <c r="E855" s="14"/>
      <c r="F855" s="14"/>
      <c r="G855" s="119"/>
    </row>
    <row r="856">
      <c r="B856" s="14"/>
      <c r="C856" s="14"/>
      <c r="D856" s="14"/>
      <c r="E856" s="14"/>
      <c r="F856" s="14"/>
      <c r="G856" s="119"/>
    </row>
    <row r="857">
      <c r="B857" s="14"/>
      <c r="C857" s="14"/>
      <c r="D857" s="14"/>
      <c r="E857" s="14"/>
      <c r="F857" s="14"/>
      <c r="G857" s="119"/>
    </row>
    <row r="858">
      <c r="B858" s="14"/>
      <c r="C858" s="14"/>
      <c r="D858" s="14"/>
      <c r="E858" s="14"/>
      <c r="F858" s="14"/>
      <c r="G858" s="119"/>
    </row>
    <row r="859">
      <c r="B859" s="14"/>
      <c r="C859" s="14"/>
      <c r="D859" s="14"/>
      <c r="E859" s="14"/>
      <c r="F859" s="14"/>
      <c r="G859" s="119"/>
    </row>
    <row r="860">
      <c r="B860" s="14"/>
      <c r="C860" s="14"/>
      <c r="D860" s="14"/>
      <c r="E860" s="14"/>
      <c r="F860" s="14"/>
      <c r="G860" s="119"/>
    </row>
    <row r="861">
      <c r="B861" s="14"/>
      <c r="C861" s="14"/>
      <c r="D861" s="14"/>
      <c r="E861" s="14"/>
      <c r="F861" s="14"/>
      <c r="G861" s="119"/>
    </row>
    <row r="862">
      <c r="B862" s="14"/>
      <c r="C862" s="14"/>
      <c r="D862" s="14"/>
      <c r="E862" s="14"/>
      <c r="F862" s="14"/>
      <c r="G862" s="119"/>
    </row>
    <row r="863">
      <c r="B863" s="14"/>
      <c r="C863" s="14"/>
      <c r="D863" s="14"/>
      <c r="E863" s="14"/>
      <c r="F863" s="14"/>
      <c r="G863" s="119"/>
    </row>
    <row r="864">
      <c r="B864" s="14"/>
      <c r="C864" s="14"/>
      <c r="D864" s="14"/>
      <c r="E864" s="14"/>
      <c r="F864" s="14"/>
      <c r="G864" s="119"/>
    </row>
    <row r="865">
      <c r="B865" s="14"/>
      <c r="C865" s="14"/>
      <c r="D865" s="14"/>
      <c r="E865" s="14"/>
      <c r="F865" s="14"/>
      <c r="G865" s="119"/>
    </row>
    <row r="866">
      <c r="B866" s="14"/>
      <c r="C866" s="14"/>
      <c r="D866" s="14"/>
      <c r="E866" s="14"/>
      <c r="F866" s="14"/>
      <c r="G866" s="119"/>
    </row>
    <row r="867">
      <c r="B867" s="14"/>
      <c r="C867" s="14"/>
      <c r="D867" s="14"/>
      <c r="E867" s="14"/>
      <c r="F867" s="14"/>
      <c r="G867" s="119"/>
    </row>
    <row r="868">
      <c r="B868" s="14"/>
      <c r="C868" s="14"/>
      <c r="D868" s="14"/>
      <c r="E868" s="14"/>
      <c r="F868" s="14"/>
      <c r="G868" s="119"/>
    </row>
    <row r="869">
      <c r="B869" s="14"/>
      <c r="C869" s="14"/>
      <c r="D869" s="14"/>
      <c r="E869" s="14"/>
      <c r="F869" s="14"/>
      <c r="G869" s="119"/>
    </row>
    <row r="870">
      <c r="B870" s="14"/>
      <c r="C870" s="14"/>
      <c r="D870" s="14"/>
      <c r="E870" s="14"/>
      <c r="F870" s="14"/>
      <c r="G870" s="119"/>
    </row>
    <row r="871">
      <c r="B871" s="14"/>
      <c r="C871" s="14"/>
      <c r="D871" s="14"/>
      <c r="E871" s="14"/>
      <c r="F871" s="14"/>
      <c r="G871" s="119"/>
    </row>
    <row r="872">
      <c r="B872" s="14"/>
      <c r="C872" s="14"/>
      <c r="D872" s="14"/>
      <c r="E872" s="14"/>
      <c r="F872" s="14"/>
      <c r="G872" s="119"/>
    </row>
    <row r="873">
      <c r="B873" s="14"/>
      <c r="C873" s="14"/>
      <c r="D873" s="14"/>
      <c r="E873" s="14"/>
      <c r="F873" s="14"/>
      <c r="G873" s="119"/>
    </row>
    <row r="874">
      <c r="B874" s="14"/>
      <c r="C874" s="14"/>
      <c r="D874" s="14"/>
      <c r="E874" s="14"/>
      <c r="F874" s="14"/>
      <c r="G874" s="119"/>
    </row>
    <row r="875">
      <c r="B875" s="14"/>
      <c r="C875" s="14"/>
      <c r="D875" s="14"/>
      <c r="E875" s="14"/>
      <c r="F875" s="14"/>
      <c r="G875" s="119"/>
    </row>
    <row r="876">
      <c r="B876" s="14"/>
      <c r="C876" s="14"/>
      <c r="D876" s="14"/>
      <c r="E876" s="14"/>
      <c r="F876" s="14"/>
      <c r="G876" s="119"/>
    </row>
    <row r="877">
      <c r="B877" s="14"/>
      <c r="C877" s="14"/>
      <c r="D877" s="14"/>
      <c r="E877" s="14"/>
      <c r="F877" s="14"/>
      <c r="G877" s="119"/>
    </row>
    <row r="878">
      <c r="B878" s="14"/>
      <c r="C878" s="14"/>
      <c r="D878" s="14"/>
      <c r="E878" s="14"/>
      <c r="F878" s="14"/>
      <c r="G878" s="119"/>
    </row>
    <row r="879">
      <c r="B879" s="14"/>
      <c r="C879" s="14"/>
      <c r="D879" s="14"/>
      <c r="E879" s="14"/>
      <c r="F879" s="14"/>
      <c r="G879" s="119"/>
    </row>
    <row r="880">
      <c r="B880" s="14"/>
      <c r="C880" s="14"/>
      <c r="D880" s="14"/>
      <c r="E880" s="14"/>
      <c r="F880" s="14"/>
      <c r="G880" s="119"/>
    </row>
    <row r="881">
      <c r="B881" s="14"/>
      <c r="C881" s="14"/>
      <c r="D881" s="14"/>
      <c r="E881" s="14"/>
      <c r="F881" s="14"/>
      <c r="G881" s="119"/>
    </row>
    <row r="882">
      <c r="B882" s="14"/>
      <c r="C882" s="14"/>
      <c r="D882" s="14"/>
      <c r="E882" s="14"/>
      <c r="F882" s="14"/>
      <c r="G882" s="119"/>
    </row>
    <row r="883">
      <c r="B883" s="14"/>
      <c r="C883" s="14"/>
      <c r="D883" s="14"/>
      <c r="E883" s="14"/>
      <c r="F883" s="14"/>
      <c r="G883" s="119"/>
    </row>
    <row r="884">
      <c r="B884" s="14"/>
      <c r="C884" s="14"/>
      <c r="D884" s="14"/>
      <c r="E884" s="14"/>
      <c r="F884" s="14"/>
      <c r="G884" s="119"/>
    </row>
    <row r="885">
      <c r="B885" s="14"/>
      <c r="C885" s="14"/>
      <c r="D885" s="14"/>
      <c r="E885" s="14"/>
      <c r="F885" s="14"/>
      <c r="G885" s="119"/>
    </row>
    <row r="886">
      <c r="B886" s="14"/>
      <c r="C886" s="14"/>
      <c r="D886" s="14"/>
      <c r="E886" s="14"/>
      <c r="F886" s="14"/>
      <c r="G886" s="119"/>
    </row>
    <row r="887">
      <c r="B887" s="14"/>
      <c r="C887" s="14"/>
      <c r="D887" s="14"/>
      <c r="E887" s="14"/>
      <c r="F887" s="14"/>
      <c r="G887" s="119"/>
    </row>
    <row r="888">
      <c r="B888" s="14"/>
      <c r="C888" s="14"/>
      <c r="D888" s="14"/>
      <c r="E888" s="14"/>
      <c r="F888" s="14"/>
      <c r="G888" s="119"/>
    </row>
    <row r="889">
      <c r="B889" s="14"/>
      <c r="C889" s="14"/>
      <c r="D889" s="14"/>
      <c r="E889" s="14"/>
      <c r="F889" s="14"/>
      <c r="G889" s="119"/>
    </row>
    <row r="890">
      <c r="B890" s="14"/>
      <c r="C890" s="14"/>
      <c r="D890" s="14"/>
      <c r="E890" s="14"/>
      <c r="F890" s="14"/>
      <c r="G890" s="119"/>
    </row>
    <row r="891">
      <c r="B891" s="14"/>
      <c r="C891" s="14"/>
      <c r="D891" s="14"/>
      <c r="E891" s="14"/>
      <c r="F891" s="14"/>
      <c r="G891" s="119"/>
    </row>
    <row r="892">
      <c r="B892" s="14"/>
      <c r="C892" s="14"/>
      <c r="D892" s="14"/>
      <c r="E892" s="14"/>
      <c r="F892" s="14"/>
      <c r="G892" s="119"/>
    </row>
    <row r="893">
      <c r="B893" s="14"/>
      <c r="C893" s="14"/>
      <c r="D893" s="14"/>
      <c r="E893" s="14"/>
      <c r="F893" s="14"/>
      <c r="G893" s="119"/>
    </row>
    <row r="894">
      <c r="B894" s="14"/>
      <c r="C894" s="14"/>
      <c r="D894" s="14"/>
      <c r="E894" s="14"/>
      <c r="F894" s="14"/>
      <c r="G894" s="119"/>
    </row>
    <row r="895">
      <c r="B895" s="14"/>
      <c r="C895" s="14"/>
      <c r="D895" s="14"/>
      <c r="E895" s="14"/>
      <c r="F895" s="14"/>
      <c r="G895" s="119"/>
    </row>
    <row r="896">
      <c r="B896" s="14"/>
      <c r="C896" s="14"/>
      <c r="D896" s="14"/>
      <c r="E896" s="14"/>
      <c r="F896" s="14"/>
      <c r="G896" s="119"/>
    </row>
    <row r="897">
      <c r="B897" s="14"/>
      <c r="C897" s="14"/>
      <c r="D897" s="14"/>
      <c r="E897" s="14"/>
      <c r="F897" s="14"/>
      <c r="G897" s="119"/>
    </row>
    <row r="898">
      <c r="B898" s="14"/>
      <c r="C898" s="14"/>
      <c r="D898" s="14"/>
      <c r="E898" s="14"/>
      <c r="F898" s="14"/>
      <c r="G898" s="119"/>
    </row>
    <row r="899">
      <c r="B899" s="14"/>
      <c r="C899" s="14"/>
      <c r="D899" s="14"/>
      <c r="E899" s="14"/>
      <c r="F899" s="14"/>
      <c r="G899" s="119"/>
    </row>
    <row r="900">
      <c r="B900" s="14"/>
      <c r="C900" s="14"/>
      <c r="D900" s="14"/>
      <c r="E900" s="14"/>
      <c r="F900" s="14"/>
      <c r="G900" s="119"/>
    </row>
    <row r="901">
      <c r="B901" s="14"/>
      <c r="C901" s="14"/>
      <c r="D901" s="14"/>
      <c r="E901" s="14"/>
      <c r="F901" s="14"/>
      <c r="G901" s="119"/>
    </row>
    <row r="902">
      <c r="B902" s="14"/>
      <c r="C902" s="14"/>
      <c r="D902" s="14"/>
      <c r="E902" s="14"/>
      <c r="F902" s="14"/>
      <c r="G902" s="119"/>
    </row>
    <row r="903">
      <c r="B903" s="14"/>
      <c r="C903" s="14"/>
      <c r="D903" s="14"/>
      <c r="E903" s="14"/>
      <c r="F903" s="14"/>
      <c r="G903" s="119"/>
    </row>
    <row r="904">
      <c r="B904" s="14"/>
      <c r="C904" s="14"/>
      <c r="D904" s="14"/>
      <c r="E904" s="14"/>
      <c r="F904" s="14"/>
      <c r="G904" s="119"/>
    </row>
    <row r="905">
      <c r="B905" s="14"/>
      <c r="C905" s="14"/>
      <c r="D905" s="14"/>
      <c r="E905" s="14"/>
      <c r="F905" s="14"/>
      <c r="G905" s="119"/>
    </row>
    <row r="906">
      <c r="B906" s="14"/>
      <c r="C906" s="14"/>
      <c r="D906" s="14"/>
      <c r="E906" s="14"/>
      <c r="F906" s="14"/>
      <c r="G906" s="119"/>
    </row>
    <row r="907">
      <c r="B907" s="14"/>
      <c r="C907" s="14"/>
      <c r="D907" s="14"/>
      <c r="E907" s="14"/>
      <c r="F907" s="14"/>
      <c r="G907" s="119"/>
    </row>
    <row r="908">
      <c r="B908" s="14"/>
      <c r="C908" s="14"/>
      <c r="D908" s="14"/>
      <c r="E908" s="14"/>
      <c r="F908" s="14"/>
      <c r="G908" s="119"/>
    </row>
    <row r="909">
      <c r="B909" s="14"/>
      <c r="C909" s="14"/>
      <c r="D909" s="14"/>
      <c r="E909" s="14"/>
      <c r="F909" s="14"/>
      <c r="G909" s="119"/>
    </row>
    <row r="910">
      <c r="B910" s="14"/>
      <c r="C910" s="14"/>
      <c r="D910" s="14"/>
      <c r="E910" s="14"/>
      <c r="F910" s="14"/>
      <c r="G910" s="119"/>
    </row>
    <row r="911">
      <c r="B911" s="14"/>
      <c r="C911" s="14"/>
      <c r="D911" s="14"/>
      <c r="E911" s="14"/>
      <c r="F911" s="14"/>
      <c r="G911" s="119"/>
    </row>
    <row r="912">
      <c r="B912" s="14"/>
      <c r="C912" s="14"/>
      <c r="D912" s="14"/>
      <c r="E912" s="14"/>
      <c r="F912" s="14"/>
      <c r="G912" s="119"/>
    </row>
    <row r="913">
      <c r="B913" s="14"/>
      <c r="C913" s="14"/>
      <c r="D913" s="14"/>
      <c r="E913" s="14"/>
      <c r="F913" s="14"/>
      <c r="G913" s="119"/>
    </row>
    <row r="914">
      <c r="B914" s="14"/>
      <c r="C914" s="14"/>
      <c r="D914" s="14"/>
      <c r="E914" s="14"/>
      <c r="F914" s="14"/>
      <c r="G914" s="119"/>
    </row>
    <row r="915">
      <c r="B915" s="14"/>
      <c r="C915" s="14"/>
      <c r="D915" s="14"/>
      <c r="E915" s="14"/>
      <c r="F915" s="14"/>
      <c r="G915" s="119"/>
    </row>
    <row r="916">
      <c r="B916" s="14"/>
      <c r="C916" s="14"/>
      <c r="D916" s="14"/>
      <c r="E916" s="14"/>
      <c r="F916" s="14"/>
      <c r="G916" s="119"/>
    </row>
    <row r="917">
      <c r="B917" s="14"/>
      <c r="C917" s="14"/>
      <c r="D917" s="14"/>
      <c r="E917" s="14"/>
      <c r="F917" s="14"/>
      <c r="G917" s="119"/>
    </row>
    <row r="918">
      <c r="B918" s="14"/>
      <c r="C918" s="14"/>
      <c r="D918" s="14"/>
      <c r="E918" s="14"/>
      <c r="F918" s="14"/>
      <c r="G918" s="119"/>
    </row>
    <row r="919">
      <c r="B919" s="14"/>
      <c r="C919" s="14"/>
      <c r="D919" s="14"/>
      <c r="E919" s="14"/>
      <c r="F919" s="14"/>
      <c r="G919" s="119"/>
    </row>
    <row r="920">
      <c r="B920" s="14"/>
      <c r="C920" s="14"/>
      <c r="D920" s="14"/>
      <c r="E920" s="14"/>
      <c r="F920" s="14"/>
      <c r="G920" s="119"/>
    </row>
    <row r="921">
      <c r="B921" s="14"/>
      <c r="C921" s="14"/>
      <c r="D921" s="14"/>
      <c r="E921" s="14"/>
      <c r="F921" s="14"/>
      <c r="G921" s="119"/>
    </row>
    <row r="922">
      <c r="B922" s="14"/>
      <c r="C922" s="14"/>
      <c r="D922" s="14"/>
      <c r="E922" s="14"/>
      <c r="F922" s="14"/>
      <c r="G922" s="119"/>
    </row>
    <row r="923">
      <c r="B923" s="14"/>
      <c r="C923" s="14"/>
      <c r="D923" s="14"/>
      <c r="E923" s="14"/>
      <c r="F923" s="14"/>
      <c r="G923" s="119"/>
    </row>
    <row r="924">
      <c r="B924" s="14"/>
      <c r="C924" s="14"/>
      <c r="D924" s="14"/>
      <c r="E924" s="14"/>
      <c r="F924" s="14"/>
      <c r="G924" s="119"/>
    </row>
    <row r="925">
      <c r="B925" s="14"/>
      <c r="C925" s="14"/>
      <c r="D925" s="14"/>
      <c r="E925" s="14"/>
      <c r="F925" s="14"/>
      <c r="G925" s="119"/>
    </row>
    <row r="926">
      <c r="B926" s="14"/>
      <c r="C926" s="14"/>
      <c r="D926" s="14"/>
      <c r="E926" s="14"/>
      <c r="F926" s="14"/>
      <c r="G926" s="119"/>
    </row>
    <row r="927">
      <c r="B927" s="14"/>
      <c r="C927" s="14"/>
      <c r="D927" s="14"/>
      <c r="E927" s="14"/>
      <c r="F927" s="14"/>
      <c r="G927" s="119"/>
    </row>
    <row r="928">
      <c r="B928" s="14"/>
      <c r="C928" s="14"/>
      <c r="D928" s="14"/>
      <c r="E928" s="14"/>
      <c r="F928" s="14"/>
      <c r="G928" s="119"/>
    </row>
    <row r="929">
      <c r="B929" s="14"/>
      <c r="C929" s="14"/>
      <c r="D929" s="14"/>
      <c r="E929" s="14"/>
      <c r="F929" s="14"/>
      <c r="G929" s="119"/>
    </row>
    <row r="930">
      <c r="B930" s="14"/>
      <c r="C930" s="14"/>
      <c r="D930" s="14"/>
      <c r="E930" s="14"/>
      <c r="F930" s="14"/>
      <c r="G930" s="119"/>
    </row>
    <row r="931">
      <c r="B931" s="14"/>
      <c r="C931" s="14"/>
      <c r="D931" s="14"/>
      <c r="E931" s="14"/>
      <c r="F931" s="14"/>
      <c r="G931" s="119"/>
    </row>
    <row r="932">
      <c r="B932" s="14"/>
      <c r="C932" s="14"/>
      <c r="D932" s="14"/>
      <c r="E932" s="14"/>
      <c r="F932" s="14"/>
      <c r="G932" s="119"/>
    </row>
    <row r="933">
      <c r="B933" s="14"/>
      <c r="C933" s="14"/>
      <c r="D933" s="14"/>
      <c r="E933" s="14"/>
      <c r="F933" s="14"/>
      <c r="G933" s="119"/>
    </row>
    <row r="934">
      <c r="B934" s="14"/>
      <c r="C934" s="14"/>
      <c r="D934" s="14"/>
      <c r="E934" s="14"/>
      <c r="F934" s="14"/>
      <c r="G934" s="119"/>
    </row>
    <row r="935">
      <c r="B935" s="14"/>
      <c r="C935" s="14"/>
      <c r="D935" s="14"/>
      <c r="E935" s="14"/>
      <c r="F935" s="14"/>
      <c r="G935" s="119"/>
    </row>
    <row r="936">
      <c r="B936" s="14"/>
      <c r="C936" s="14"/>
      <c r="D936" s="14"/>
      <c r="E936" s="14"/>
      <c r="F936" s="14"/>
      <c r="G936" s="119"/>
    </row>
    <row r="937">
      <c r="B937" s="14"/>
      <c r="C937" s="14"/>
      <c r="D937" s="14"/>
      <c r="E937" s="14"/>
      <c r="F937" s="14"/>
      <c r="G937" s="119"/>
    </row>
    <row r="938">
      <c r="B938" s="14"/>
      <c r="C938" s="14"/>
      <c r="D938" s="14"/>
      <c r="E938" s="14"/>
      <c r="F938" s="14"/>
      <c r="G938" s="119"/>
    </row>
    <row r="939">
      <c r="B939" s="14"/>
      <c r="C939" s="14"/>
      <c r="D939" s="14"/>
      <c r="E939" s="14"/>
      <c r="F939" s="14"/>
      <c r="G939" s="119"/>
    </row>
    <row r="940">
      <c r="B940" s="14"/>
      <c r="C940" s="14"/>
      <c r="D940" s="14"/>
      <c r="E940" s="14"/>
      <c r="F940" s="14"/>
      <c r="G940" s="119"/>
    </row>
    <row r="941">
      <c r="B941" s="14"/>
      <c r="C941" s="14"/>
      <c r="D941" s="14"/>
      <c r="E941" s="14"/>
      <c r="F941" s="14"/>
      <c r="G941" s="119"/>
    </row>
    <row r="942">
      <c r="B942" s="14"/>
      <c r="C942" s="14"/>
      <c r="D942" s="14"/>
      <c r="E942" s="14"/>
      <c r="F942" s="14"/>
      <c r="G942" s="119"/>
    </row>
    <row r="943">
      <c r="B943" s="14"/>
      <c r="C943" s="14"/>
      <c r="D943" s="14"/>
      <c r="E943" s="14"/>
      <c r="F943" s="14"/>
      <c r="G943" s="119"/>
    </row>
    <row r="944">
      <c r="B944" s="14"/>
      <c r="C944" s="14"/>
      <c r="D944" s="14"/>
      <c r="E944" s="14"/>
      <c r="F944" s="14"/>
      <c r="G944" s="119"/>
    </row>
    <row r="945">
      <c r="B945" s="14"/>
      <c r="C945" s="14"/>
      <c r="D945" s="14"/>
      <c r="E945" s="14"/>
      <c r="F945" s="14"/>
      <c r="G945" s="119"/>
    </row>
    <row r="946">
      <c r="B946" s="14"/>
      <c r="C946" s="14"/>
      <c r="D946" s="14"/>
      <c r="E946" s="14"/>
      <c r="F946" s="14"/>
      <c r="G946" s="119"/>
    </row>
    <row r="947">
      <c r="B947" s="14"/>
      <c r="C947" s="14"/>
      <c r="D947" s="14"/>
      <c r="E947" s="14"/>
      <c r="F947" s="14"/>
      <c r="G947" s="119"/>
    </row>
    <row r="948">
      <c r="B948" s="14"/>
      <c r="C948" s="14"/>
      <c r="D948" s="14"/>
      <c r="E948" s="14"/>
      <c r="F948" s="14"/>
      <c r="G948" s="119"/>
    </row>
    <row r="949">
      <c r="B949" s="14"/>
      <c r="C949" s="14"/>
      <c r="D949" s="14"/>
      <c r="E949" s="14"/>
      <c r="F949" s="14"/>
      <c r="G949" s="119"/>
    </row>
    <row r="950">
      <c r="B950" s="14"/>
      <c r="C950" s="14"/>
      <c r="D950" s="14"/>
      <c r="E950" s="14"/>
      <c r="F950" s="14"/>
      <c r="G950" s="119"/>
    </row>
    <row r="951">
      <c r="B951" s="14"/>
      <c r="C951" s="14"/>
      <c r="D951" s="14"/>
      <c r="E951" s="14"/>
      <c r="F951" s="14"/>
      <c r="G951" s="119"/>
    </row>
    <row r="952">
      <c r="B952" s="14"/>
      <c r="C952" s="14"/>
      <c r="D952" s="14"/>
      <c r="E952" s="14"/>
      <c r="F952" s="14"/>
      <c r="G952" s="119"/>
    </row>
    <row r="953">
      <c r="B953" s="14"/>
      <c r="C953" s="14"/>
      <c r="D953" s="14"/>
      <c r="E953" s="14"/>
      <c r="F953" s="14"/>
      <c r="G953" s="119"/>
    </row>
    <row r="954">
      <c r="B954" s="14"/>
      <c r="C954" s="14"/>
      <c r="D954" s="14"/>
      <c r="E954" s="14"/>
      <c r="F954" s="14"/>
      <c r="G954" s="119"/>
    </row>
    <row r="955">
      <c r="B955" s="14"/>
      <c r="C955" s="14"/>
      <c r="D955" s="14"/>
      <c r="E955" s="14"/>
      <c r="F955" s="14"/>
      <c r="G955" s="119"/>
    </row>
    <row r="956">
      <c r="B956" s="14"/>
      <c r="C956" s="14"/>
      <c r="D956" s="14"/>
      <c r="E956" s="14"/>
      <c r="F956" s="14"/>
      <c r="G956" s="119"/>
    </row>
    <row r="957">
      <c r="B957" s="14"/>
      <c r="C957" s="14"/>
      <c r="D957" s="14"/>
      <c r="E957" s="14"/>
      <c r="F957" s="14"/>
      <c r="G957" s="119"/>
    </row>
    <row r="958">
      <c r="B958" s="14"/>
      <c r="C958" s="14"/>
      <c r="D958" s="14"/>
      <c r="E958" s="14"/>
      <c r="F958" s="14"/>
      <c r="G958" s="119"/>
    </row>
    <row r="959">
      <c r="B959" s="14"/>
      <c r="C959" s="14"/>
      <c r="D959" s="14"/>
      <c r="E959" s="14"/>
      <c r="F959" s="14"/>
      <c r="G959" s="119"/>
    </row>
    <row r="960">
      <c r="B960" s="14"/>
      <c r="C960" s="14"/>
      <c r="D960" s="14"/>
      <c r="E960" s="14"/>
      <c r="F960" s="14"/>
      <c r="G960" s="119"/>
    </row>
    <row r="961">
      <c r="B961" s="14"/>
      <c r="C961" s="14"/>
      <c r="D961" s="14"/>
      <c r="E961" s="14"/>
      <c r="F961" s="14"/>
      <c r="G961" s="119"/>
    </row>
    <row r="962">
      <c r="B962" s="14"/>
      <c r="C962" s="14"/>
      <c r="D962" s="14"/>
      <c r="E962" s="14"/>
      <c r="F962" s="14"/>
      <c r="G962" s="119"/>
    </row>
    <row r="963">
      <c r="B963" s="14"/>
      <c r="C963" s="14"/>
      <c r="D963" s="14"/>
      <c r="E963" s="14"/>
      <c r="F963" s="14"/>
      <c r="G963" s="119"/>
    </row>
    <row r="964">
      <c r="B964" s="14"/>
      <c r="C964" s="14"/>
      <c r="D964" s="14"/>
      <c r="E964" s="14"/>
      <c r="F964" s="14"/>
      <c r="G964" s="119"/>
    </row>
    <row r="965">
      <c r="B965" s="14"/>
      <c r="C965" s="14"/>
      <c r="D965" s="14"/>
      <c r="E965" s="14"/>
      <c r="F965" s="14"/>
      <c r="G965" s="119"/>
    </row>
    <row r="966">
      <c r="B966" s="14"/>
      <c r="C966" s="14"/>
      <c r="D966" s="14"/>
      <c r="E966" s="14"/>
      <c r="F966" s="14"/>
      <c r="G966" s="119"/>
    </row>
    <row r="967">
      <c r="B967" s="14"/>
      <c r="C967" s="14"/>
      <c r="D967" s="14"/>
      <c r="E967" s="14"/>
      <c r="F967" s="14"/>
      <c r="G967" s="119"/>
    </row>
    <row r="968">
      <c r="B968" s="14"/>
      <c r="C968" s="14"/>
      <c r="D968" s="14"/>
      <c r="E968" s="14"/>
      <c r="F968" s="14"/>
      <c r="G968" s="119"/>
    </row>
    <row r="969">
      <c r="B969" s="14"/>
      <c r="C969" s="14"/>
      <c r="D969" s="14"/>
      <c r="E969" s="14"/>
      <c r="F969" s="14"/>
      <c r="G969" s="119"/>
    </row>
    <row r="970">
      <c r="B970" s="14"/>
      <c r="C970" s="14"/>
      <c r="D970" s="14"/>
      <c r="E970" s="14"/>
      <c r="F970" s="14"/>
      <c r="G970" s="119"/>
    </row>
    <row r="971">
      <c r="B971" s="14"/>
      <c r="C971" s="14"/>
      <c r="D971" s="14"/>
      <c r="E971" s="14"/>
      <c r="F971" s="14"/>
      <c r="G971" s="119"/>
    </row>
    <row r="972">
      <c r="B972" s="14"/>
      <c r="C972" s="14"/>
      <c r="D972" s="14"/>
      <c r="E972" s="14"/>
      <c r="F972" s="14"/>
      <c r="G972" s="119"/>
    </row>
    <row r="973">
      <c r="B973" s="14"/>
      <c r="C973" s="14"/>
      <c r="D973" s="14"/>
      <c r="E973" s="14"/>
      <c r="F973" s="14"/>
      <c r="G973" s="119"/>
    </row>
    <row r="974">
      <c r="B974" s="14"/>
      <c r="C974" s="14"/>
      <c r="D974" s="14"/>
      <c r="E974" s="14"/>
      <c r="F974" s="14"/>
      <c r="G974" s="119"/>
    </row>
    <row r="975">
      <c r="B975" s="14"/>
      <c r="C975" s="14"/>
      <c r="D975" s="14"/>
      <c r="E975" s="14"/>
      <c r="F975" s="14"/>
      <c r="G975" s="119"/>
    </row>
    <row r="976">
      <c r="B976" s="14"/>
      <c r="C976" s="14"/>
      <c r="D976" s="14"/>
      <c r="E976" s="14"/>
      <c r="F976" s="14"/>
      <c r="G976" s="119"/>
    </row>
    <row r="977">
      <c r="B977" s="14"/>
      <c r="C977" s="14"/>
      <c r="D977" s="14"/>
      <c r="E977" s="14"/>
      <c r="F977" s="14"/>
      <c r="G977" s="119"/>
    </row>
    <row r="978">
      <c r="B978" s="14"/>
      <c r="C978" s="14"/>
      <c r="D978" s="14"/>
      <c r="E978" s="14"/>
      <c r="F978" s="14"/>
      <c r="G978" s="119"/>
    </row>
    <row r="979">
      <c r="B979" s="14"/>
      <c r="C979" s="14"/>
      <c r="D979" s="14"/>
      <c r="E979" s="14"/>
      <c r="F979" s="14"/>
      <c r="G979" s="119"/>
    </row>
    <row r="980">
      <c r="B980" s="14"/>
      <c r="C980" s="14"/>
      <c r="D980" s="14"/>
      <c r="E980" s="14"/>
      <c r="F980" s="14"/>
      <c r="G980" s="119"/>
    </row>
    <row r="981">
      <c r="B981" s="14"/>
      <c r="C981" s="14"/>
      <c r="D981" s="14"/>
      <c r="E981" s="14"/>
      <c r="F981" s="14"/>
      <c r="G981" s="119"/>
    </row>
    <row r="982">
      <c r="B982" s="14"/>
      <c r="C982" s="14"/>
      <c r="D982" s="14"/>
      <c r="E982" s="14"/>
      <c r="F982" s="14"/>
      <c r="G982" s="119"/>
    </row>
    <row r="983">
      <c r="B983" s="14"/>
      <c r="C983" s="14"/>
      <c r="D983" s="14"/>
      <c r="E983" s="14"/>
      <c r="F983" s="14"/>
      <c r="G983" s="119"/>
    </row>
    <row r="984">
      <c r="B984" s="14"/>
      <c r="C984" s="14"/>
      <c r="D984" s="14"/>
      <c r="E984" s="14"/>
      <c r="F984" s="14"/>
      <c r="G984" s="119"/>
    </row>
    <row r="985">
      <c r="B985" s="14"/>
      <c r="C985" s="14"/>
      <c r="D985" s="14"/>
      <c r="E985" s="14"/>
      <c r="F985" s="14"/>
      <c r="G985" s="119"/>
    </row>
    <row r="986">
      <c r="B986" s="14"/>
      <c r="C986" s="14"/>
      <c r="D986" s="14"/>
      <c r="E986" s="14"/>
      <c r="F986" s="14"/>
      <c r="G986" s="119"/>
    </row>
    <row r="987">
      <c r="B987" s="14"/>
      <c r="C987" s="14"/>
      <c r="D987" s="14"/>
      <c r="E987" s="14"/>
      <c r="F987" s="14"/>
      <c r="G987" s="119"/>
    </row>
    <row r="988">
      <c r="B988" s="14"/>
      <c r="C988" s="14"/>
      <c r="D988" s="14"/>
      <c r="E988" s="14"/>
      <c r="F988" s="14"/>
      <c r="G988" s="119"/>
    </row>
    <row r="989">
      <c r="B989" s="14"/>
      <c r="C989" s="14"/>
      <c r="D989" s="14"/>
      <c r="E989" s="14"/>
      <c r="F989" s="14"/>
      <c r="G989" s="119"/>
    </row>
    <row r="990">
      <c r="B990" s="14"/>
      <c r="C990" s="14"/>
      <c r="D990" s="14"/>
      <c r="E990" s="14"/>
      <c r="F990" s="14"/>
      <c r="G990" s="119"/>
    </row>
    <row r="991">
      <c r="B991" s="14"/>
      <c r="C991" s="14"/>
      <c r="D991" s="14"/>
      <c r="E991" s="14"/>
      <c r="F991" s="14"/>
      <c r="G991" s="119"/>
    </row>
    <row r="992">
      <c r="B992" s="14"/>
      <c r="C992" s="14"/>
      <c r="D992" s="14"/>
      <c r="E992" s="14"/>
      <c r="F992" s="14"/>
      <c r="G992" s="119"/>
    </row>
    <row r="993">
      <c r="B993" s="14"/>
      <c r="C993" s="14"/>
      <c r="D993" s="14"/>
      <c r="E993" s="14"/>
      <c r="F993" s="14"/>
      <c r="G993" s="119"/>
    </row>
    <row r="994">
      <c r="B994" s="14"/>
      <c r="C994" s="14"/>
      <c r="D994" s="14"/>
      <c r="E994" s="14"/>
      <c r="F994" s="14"/>
      <c r="G994" s="119"/>
    </row>
    <row r="995">
      <c r="B995" s="14"/>
      <c r="C995" s="14"/>
      <c r="D995" s="14"/>
      <c r="E995" s="14"/>
      <c r="F995" s="14"/>
      <c r="G995" s="119"/>
    </row>
    <row r="996">
      <c r="B996" s="14"/>
      <c r="C996" s="14"/>
      <c r="D996" s="14"/>
      <c r="E996" s="14"/>
      <c r="F996" s="14"/>
      <c r="G996" s="119"/>
    </row>
    <row r="997">
      <c r="B997" s="14"/>
      <c r="C997" s="14"/>
      <c r="D997" s="14"/>
      <c r="E997" s="14"/>
      <c r="F997" s="14"/>
      <c r="G997" s="119"/>
    </row>
    <row r="998">
      <c r="B998" s="14"/>
      <c r="C998" s="14"/>
      <c r="D998" s="14"/>
      <c r="E998" s="14"/>
      <c r="F998" s="14"/>
      <c r="G998" s="119"/>
    </row>
    <row r="999">
      <c r="B999" s="14"/>
      <c r="C999" s="14"/>
      <c r="D999" s="14"/>
      <c r="E999" s="14"/>
      <c r="F999" s="14"/>
      <c r="G999" s="119"/>
    </row>
    <row r="1000">
      <c r="B1000" s="14"/>
      <c r="C1000" s="14"/>
      <c r="D1000" s="14"/>
      <c r="E1000" s="14"/>
      <c r="F1000" s="14"/>
      <c r="G1000" s="119"/>
    </row>
    <row r="1001">
      <c r="B1001" s="14"/>
      <c r="C1001" s="14"/>
      <c r="D1001" s="14"/>
      <c r="E1001" s="14"/>
      <c r="F1001" s="14"/>
      <c r="G1001" s="119"/>
    </row>
    <row r="1002">
      <c r="B1002" s="14"/>
      <c r="C1002" s="14"/>
      <c r="D1002" s="14"/>
      <c r="E1002" s="14"/>
      <c r="F1002" s="14"/>
      <c r="G1002" s="119"/>
    </row>
    <row r="1003">
      <c r="B1003" s="14"/>
      <c r="C1003" s="14"/>
      <c r="D1003" s="14"/>
      <c r="E1003" s="14"/>
      <c r="F1003" s="14"/>
      <c r="G1003" s="119"/>
    </row>
    <row r="1004">
      <c r="B1004" s="14"/>
      <c r="C1004" s="14"/>
      <c r="D1004" s="14"/>
      <c r="E1004" s="14"/>
      <c r="F1004" s="14"/>
      <c r="G1004" s="119"/>
    </row>
    <row r="1005">
      <c r="B1005" s="14"/>
      <c r="C1005" s="14"/>
      <c r="D1005" s="14"/>
      <c r="E1005" s="14"/>
      <c r="F1005" s="14"/>
      <c r="G1005" s="119"/>
    </row>
    <row r="1006">
      <c r="B1006" s="14"/>
      <c r="C1006" s="14"/>
      <c r="D1006" s="14"/>
      <c r="E1006" s="14"/>
      <c r="F1006" s="14"/>
      <c r="G1006" s="119"/>
    </row>
    <row r="1007">
      <c r="B1007" s="14"/>
      <c r="C1007" s="14"/>
      <c r="D1007" s="14"/>
      <c r="E1007" s="14"/>
      <c r="F1007" s="14"/>
      <c r="G1007" s="119"/>
    </row>
    <row r="1008">
      <c r="B1008" s="14"/>
      <c r="C1008" s="14"/>
      <c r="D1008" s="14"/>
      <c r="E1008" s="14"/>
      <c r="F1008" s="14"/>
      <c r="G1008" s="119"/>
    </row>
    <row r="1009">
      <c r="B1009" s="14"/>
      <c r="C1009" s="14"/>
      <c r="D1009" s="14"/>
      <c r="E1009" s="14"/>
      <c r="F1009" s="14"/>
      <c r="G1009" s="119"/>
    </row>
    <row r="1010">
      <c r="B1010" s="14"/>
      <c r="C1010" s="14"/>
      <c r="D1010" s="14"/>
      <c r="E1010" s="14"/>
      <c r="F1010" s="14"/>
      <c r="G1010" s="119"/>
    </row>
    <row r="1011">
      <c r="B1011" s="14"/>
      <c r="C1011" s="14"/>
      <c r="D1011" s="14"/>
      <c r="E1011" s="14"/>
      <c r="F1011" s="14"/>
      <c r="G1011" s="119"/>
    </row>
    <row r="1012">
      <c r="B1012" s="14"/>
      <c r="C1012" s="14"/>
      <c r="D1012" s="14"/>
      <c r="E1012" s="14"/>
      <c r="F1012" s="14"/>
      <c r="G1012" s="119"/>
    </row>
    <row r="1013">
      <c r="B1013" s="14"/>
      <c r="C1013" s="14"/>
      <c r="D1013" s="14"/>
      <c r="E1013" s="14"/>
      <c r="F1013" s="14"/>
      <c r="G1013" s="119"/>
    </row>
    <row r="1014">
      <c r="B1014" s="14"/>
      <c r="C1014" s="14"/>
      <c r="D1014" s="14"/>
      <c r="E1014" s="14"/>
      <c r="F1014" s="14"/>
      <c r="G1014" s="119"/>
    </row>
  </sheetData>
  <mergeCells count="2">
    <mergeCell ref="B38:G38"/>
    <mergeCell ref="A1:G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0.29"/>
    <col customWidth="1" min="2" max="2" width="90.71"/>
  </cols>
  <sheetData>
    <row r="1">
      <c r="A1" s="1" t="s">
        <v>2725</v>
      </c>
      <c r="B1" s="132" t="s">
        <v>2726</v>
      </c>
    </row>
    <row r="2">
      <c r="A2" s="10">
        <v>41214.0</v>
      </c>
      <c r="B2" s="133" t="s">
        <v>2727</v>
      </c>
    </row>
    <row r="3">
      <c r="A3" s="10">
        <v>41219.0</v>
      </c>
      <c r="B3" s="133" t="s">
        <v>2728</v>
      </c>
    </row>
    <row r="4">
      <c r="B4" s="133" t="s">
        <v>2729</v>
      </c>
    </row>
    <row r="5">
      <c r="B5" s="133" t="s">
        <v>2731</v>
      </c>
    </row>
    <row r="6">
      <c r="B6" s="133" t="s">
        <v>2732</v>
      </c>
    </row>
    <row r="7">
      <c r="A7" s="10">
        <v>41232.0</v>
      </c>
      <c r="B7" s="133" t="s">
        <v>2733</v>
      </c>
    </row>
    <row r="8">
      <c r="A8" s="10">
        <v>41346.0</v>
      </c>
      <c r="B8" s="133" t="s">
        <v>2734</v>
      </c>
    </row>
    <row r="9">
      <c r="A9" s="10">
        <v>41358.0</v>
      </c>
      <c r="B9" s="133" t="s">
        <v>2735</v>
      </c>
    </row>
    <row r="10">
      <c r="A10" s="10">
        <v>41387.0</v>
      </c>
      <c r="B10" s="133" t="s">
        <v>2736</v>
      </c>
    </row>
    <row r="11">
      <c r="A11" s="10">
        <v>41404.0</v>
      </c>
      <c r="B11" s="133" t="s">
        <v>2737</v>
      </c>
    </row>
    <row r="12">
      <c r="A12" s="10">
        <v>41410.0</v>
      </c>
      <c r="B12" s="133" t="s">
        <v>2738</v>
      </c>
    </row>
    <row r="13">
      <c r="A13" s="10">
        <v>41417.0</v>
      </c>
      <c r="B13" s="133" t="s">
        <v>2739</v>
      </c>
    </row>
    <row r="14">
      <c r="B14" s="133" t="s">
        <v>2740</v>
      </c>
    </row>
    <row r="15">
      <c r="A15" s="10">
        <v>41436.0</v>
      </c>
      <c r="B15" s="133" t="s">
        <v>2741</v>
      </c>
    </row>
    <row r="16">
      <c r="A16" s="10">
        <v>41445.0</v>
      </c>
      <c r="B16" s="133" t="s">
        <v>2742</v>
      </c>
    </row>
    <row r="17">
      <c r="A17" s="10">
        <v>41452.0</v>
      </c>
      <c r="B17" s="133" t="s">
        <v>2743</v>
      </c>
    </row>
    <row r="18">
      <c r="A18" s="10">
        <v>41459.0</v>
      </c>
      <c r="B18" s="133" t="s">
        <v>2744</v>
      </c>
    </row>
    <row r="19">
      <c r="A19" s="10">
        <v>41478.0</v>
      </c>
      <c r="B19" s="133" t="s">
        <v>2745</v>
      </c>
    </row>
    <row r="20">
      <c r="A20" s="10">
        <v>41480.0</v>
      </c>
      <c r="B20" s="133" t="s">
        <v>2746</v>
      </c>
    </row>
    <row r="21">
      <c r="A21" s="10">
        <v>41509.0</v>
      </c>
      <c r="B21" s="133" t="s">
        <v>2747</v>
      </c>
    </row>
    <row r="22">
      <c r="A22" s="10">
        <v>41522.0</v>
      </c>
      <c r="B22" s="133" t="s">
        <v>2748</v>
      </c>
    </row>
    <row r="23">
      <c r="A23" s="10">
        <v>41526.0</v>
      </c>
      <c r="B23" s="133" t="s">
        <v>2749</v>
      </c>
    </row>
    <row r="24">
      <c r="A24" s="10">
        <v>41535.0</v>
      </c>
      <c r="B24" s="133" t="s">
        <v>2750</v>
      </c>
    </row>
    <row r="25">
      <c r="A25" s="10">
        <v>41544.0</v>
      </c>
      <c r="B25" s="133" t="s">
        <v>2751</v>
      </c>
    </row>
    <row r="26">
      <c r="A26" s="10">
        <v>41546.0</v>
      </c>
      <c r="B26" s="133" t="s">
        <v>2752</v>
      </c>
    </row>
    <row r="27">
      <c r="A27" s="10">
        <v>41557.0</v>
      </c>
      <c r="B27" s="133" t="s">
        <v>2753</v>
      </c>
    </row>
    <row r="28">
      <c r="A28" s="10">
        <v>41569.0</v>
      </c>
      <c r="B28" s="133" t="s">
        <v>2754</v>
      </c>
    </row>
    <row r="29">
      <c r="A29" s="10">
        <v>41597.0</v>
      </c>
      <c r="B29" s="133" t="s">
        <v>2755</v>
      </c>
    </row>
    <row r="30">
      <c r="A30" s="10">
        <v>41625.0</v>
      </c>
      <c r="B30" s="133" t="s">
        <v>2756</v>
      </c>
    </row>
    <row r="31">
      <c r="A31" s="10">
        <v>41653.0</v>
      </c>
      <c r="B31" s="133" t="s">
        <v>2757</v>
      </c>
    </row>
    <row r="32">
      <c r="A32" s="10">
        <v>41702.0</v>
      </c>
      <c r="B32" s="133" t="s">
        <v>2758</v>
      </c>
    </row>
    <row r="33">
      <c r="A33" s="10">
        <v>41708.0</v>
      </c>
      <c r="B33" s="133" t="s">
        <v>2759</v>
      </c>
    </row>
    <row r="34">
      <c r="A34" s="10">
        <v>41715.0</v>
      </c>
      <c r="B34" s="133" t="s">
        <v>2760</v>
      </c>
    </row>
    <row r="35">
      <c r="A35" s="10">
        <v>41716.0</v>
      </c>
      <c r="B35" s="133" t="s">
        <v>2761</v>
      </c>
    </row>
    <row r="36">
      <c r="A36" s="10">
        <v>41718.0</v>
      </c>
      <c r="B36" s="133" t="s">
        <v>2762</v>
      </c>
    </row>
    <row r="37">
      <c r="B37" s="133" t="s">
        <v>2763</v>
      </c>
    </row>
    <row r="38">
      <c r="A38" s="10">
        <v>41722.0</v>
      </c>
      <c r="B38" s="133" t="s">
        <v>2764</v>
      </c>
    </row>
    <row r="39">
      <c r="A39" s="10">
        <v>41723.0</v>
      </c>
      <c r="B39" s="133" t="s">
        <v>2765</v>
      </c>
    </row>
    <row r="40">
      <c r="A40" s="10">
        <v>41729.0</v>
      </c>
      <c r="B40" s="133" t="s">
        <v>2766</v>
      </c>
    </row>
    <row r="41">
      <c r="A41" s="10">
        <v>41730.0</v>
      </c>
      <c r="B41" s="133" t="s">
        <v>2767</v>
      </c>
    </row>
    <row r="42">
      <c r="A42" s="10">
        <v>41731.0</v>
      </c>
      <c r="B42" s="133" t="s">
        <v>2768</v>
      </c>
    </row>
    <row r="43">
      <c r="A43" s="10">
        <v>41732.0</v>
      </c>
      <c r="B43" s="133" t="s">
        <v>2769</v>
      </c>
    </row>
    <row r="44">
      <c r="A44" s="10">
        <v>41736.0</v>
      </c>
      <c r="B44" s="133" t="s">
        <v>2771</v>
      </c>
    </row>
    <row r="45">
      <c r="A45" s="10">
        <v>41737.0</v>
      </c>
      <c r="B45" s="133" t="s">
        <v>2772</v>
      </c>
    </row>
    <row r="46">
      <c r="B46" s="133" t="s">
        <v>2773</v>
      </c>
    </row>
    <row r="47">
      <c r="A47" s="10">
        <v>41738.0</v>
      </c>
      <c r="B47" s="133" t="s">
        <v>2774</v>
      </c>
    </row>
    <row r="48">
      <c r="A48" s="10">
        <v>41739.0</v>
      </c>
      <c r="B48" s="133" t="s">
        <v>2775</v>
      </c>
    </row>
    <row r="49">
      <c r="A49" s="10">
        <v>41743.0</v>
      </c>
      <c r="B49" s="133" t="s">
        <v>2776</v>
      </c>
    </row>
    <row r="50">
      <c r="B50" s="133" t="s">
        <v>2777</v>
      </c>
    </row>
    <row r="51">
      <c r="A51" s="10">
        <v>41744.0</v>
      </c>
      <c r="B51" s="133" t="s">
        <v>2778</v>
      </c>
    </row>
    <row r="52">
      <c r="A52" s="10">
        <v>41747.0</v>
      </c>
      <c r="B52" s="133" t="s">
        <v>2779</v>
      </c>
    </row>
    <row r="53">
      <c r="A53" s="10">
        <v>41748.0</v>
      </c>
      <c r="B53" s="133" t="s">
        <v>2780</v>
      </c>
    </row>
    <row r="54">
      <c r="A54" s="10">
        <v>41751.0</v>
      </c>
      <c r="B54" s="133" t="s">
        <v>2781</v>
      </c>
    </row>
    <row r="55">
      <c r="A55" s="10">
        <v>41752.0</v>
      </c>
      <c r="B55" s="133" t="s">
        <v>2782</v>
      </c>
    </row>
    <row r="56">
      <c r="A56" s="10">
        <v>41753.0</v>
      </c>
      <c r="B56" s="133" t="s">
        <v>2783</v>
      </c>
    </row>
    <row r="57">
      <c r="B57" s="133" t="s">
        <v>2784</v>
      </c>
    </row>
    <row r="58">
      <c r="B58" s="133" t="s">
        <v>2785</v>
      </c>
    </row>
    <row r="59">
      <c r="A59" s="10">
        <v>41754.0</v>
      </c>
      <c r="B59" s="133" t="s">
        <v>2786</v>
      </c>
    </row>
    <row r="60">
      <c r="A60" s="10">
        <v>41755.0</v>
      </c>
      <c r="B60" s="133" t="s">
        <v>2787</v>
      </c>
    </row>
    <row r="61">
      <c r="A61" s="10">
        <v>41757.0</v>
      </c>
      <c r="B61" s="133" t="s">
        <v>2788</v>
      </c>
    </row>
    <row r="62">
      <c r="A62" s="10">
        <v>41758.0</v>
      </c>
      <c r="B62" s="133" t="s">
        <v>2789</v>
      </c>
    </row>
    <row r="63">
      <c r="A63" s="10">
        <v>41759.0</v>
      </c>
      <c r="B63" s="133" t="s">
        <v>2790</v>
      </c>
    </row>
    <row r="64">
      <c r="A64" s="10">
        <v>41762.0</v>
      </c>
      <c r="B64" s="133" t="s">
        <v>2791</v>
      </c>
    </row>
    <row r="65">
      <c r="A65" s="10">
        <v>41763.0</v>
      </c>
      <c r="B65" s="133" t="s">
        <v>2792</v>
      </c>
    </row>
    <row r="66">
      <c r="A66" s="10">
        <v>41764.0</v>
      </c>
      <c r="B66" s="133" t="s">
        <v>2793</v>
      </c>
    </row>
    <row r="67">
      <c r="A67" s="10">
        <v>41765.0</v>
      </c>
      <c r="B67" s="133" t="s">
        <v>2794</v>
      </c>
    </row>
    <row r="68">
      <c r="A68" s="10">
        <v>41766.0</v>
      </c>
      <c r="B68" s="133" t="s">
        <v>2795</v>
      </c>
    </row>
    <row r="69">
      <c r="A69" s="10">
        <v>41769.0</v>
      </c>
      <c r="B69" s="133" t="s">
        <v>2796</v>
      </c>
    </row>
    <row r="70">
      <c r="A70" s="10">
        <v>41770.0</v>
      </c>
      <c r="B70" s="133" t="s">
        <v>2797</v>
      </c>
    </row>
    <row r="71">
      <c r="A71" s="10">
        <v>41773.0</v>
      </c>
      <c r="B71" s="133" t="s">
        <v>2798</v>
      </c>
    </row>
    <row r="72">
      <c r="A72" s="10">
        <v>41774.0</v>
      </c>
      <c r="B72" s="133" t="s">
        <v>2799</v>
      </c>
    </row>
    <row r="73">
      <c r="A73" s="10">
        <v>41775.0</v>
      </c>
      <c r="B73" s="133" t="s">
        <v>2800</v>
      </c>
    </row>
    <row r="74">
      <c r="B74" s="133" t="s">
        <v>2801</v>
      </c>
    </row>
    <row r="75">
      <c r="A75" s="10">
        <v>41776.0</v>
      </c>
      <c r="B75" s="133" t="s">
        <v>2802</v>
      </c>
    </row>
    <row r="76">
      <c r="A76" s="10">
        <v>41779.0</v>
      </c>
      <c r="B76" s="133" t="s">
        <v>2803</v>
      </c>
    </row>
    <row r="77">
      <c r="A77" s="10">
        <v>41780.0</v>
      </c>
      <c r="B77" s="133" t="s">
        <v>2804</v>
      </c>
    </row>
    <row r="78">
      <c r="B78" s="133" t="s">
        <v>2805</v>
      </c>
    </row>
    <row r="79">
      <c r="A79" s="10">
        <v>41781.0</v>
      </c>
      <c r="B79" s="133" t="s">
        <v>2806</v>
      </c>
    </row>
    <row r="80">
      <c r="A80" s="10">
        <v>41782.0</v>
      </c>
      <c r="B80" s="133" t="s">
        <v>2807</v>
      </c>
    </row>
    <row r="81">
      <c r="B81" s="133" t="s">
        <v>2808</v>
      </c>
    </row>
    <row r="82">
      <c r="B82" s="133" t="s">
        <v>2809</v>
      </c>
    </row>
    <row r="83">
      <c r="A83" s="10">
        <v>41787.0</v>
      </c>
      <c r="B83" s="133" t="s">
        <v>2810</v>
      </c>
    </row>
    <row r="84">
      <c r="A84" s="10">
        <v>41792.0</v>
      </c>
      <c r="B84" s="133" t="s">
        <v>2811</v>
      </c>
    </row>
    <row r="85">
      <c r="A85" s="10">
        <v>41793.0</v>
      </c>
      <c r="B85" s="133" t="s">
        <v>2812</v>
      </c>
    </row>
    <row r="86">
      <c r="A86" s="10">
        <v>41798.0</v>
      </c>
      <c r="B86" s="133" t="s">
        <v>2813</v>
      </c>
    </row>
    <row r="87">
      <c r="A87" s="10">
        <v>41799.0</v>
      </c>
      <c r="B87" s="133" t="s">
        <v>2814</v>
      </c>
    </row>
    <row r="88">
      <c r="A88" s="10">
        <v>41801.0</v>
      </c>
      <c r="B88" s="133" t="s">
        <v>2815</v>
      </c>
    </row>
    <row r="89">
      <c r="A89" s="10">
        <v>41803.0</v>
      </c>
      <c r="B89" s="133" t="s">
        <v>2816</v>
      </c>
    </row>
    <row r="90">
      <c r="A90" s="10">
        <v>41806.0</v>
      </c>
      <c r="B90" s="133" t="s">
        <v>2817</v>
      </c>
    </row>
    <row r="91">
      <c r="A91" s="10">
        <v>41807.0</v>
      </c>
      <c r="B91" s="133" t="s">
        <v>2818</v>
      </c>
    </row>
    <row r="92">
      <c r="A92" s="10">
        <v>41809.0</v>
      </c>
      <c r="B92" s="133" t="s">
        <v>2819</v>
      </c>
    </row>
    <row r="93">
      <c r="A93" s="10">
        <v>41815.0</v>
      </c>
      <c r="B93" s="133" t="s">
        <v>2820</v>
      </c>
    </row>
    <row r="94">
      <c r="A94" s="10">
        <v>41817.0</v>
      </c>
      <c r="B94" s="133" t="s">
        <v>2821</v>
      </c>
    </row>
    <row r="95">
      <c r="A95" s="10">
        <v>41819.0</v>
      </c>
      <c r="B95" s="133" t="s">
        <v>2822</v>
      </c>
    </row>
    <row r="96">
      <c r="A96" s="10">
        <v>41820.0</v>
      </c>
      <c r="B96" s="133" t="s">
        <v>2823</v>
      </c>
    </row>
    <row r="97">
      <c r="B97" s="133" t="s">
        <v>2824</v>
      </c>
    </row>
    <row r="98">
      <c r="B98" s="133" t="s">
        <v>2825</v>
      </c>
    </row>
    <row r="99">
      <c r="A99" s="10">
        <v>41821.0</v>
      </c>
      <c r="B99" s="133" t="s">
        <v>2826</v>
      </c>
    </row>
    <row r="100">
      <c r="A100" s="10">
        <v>41822.0</v>
      </c>
      <c r="B100" s="133" t="s">
        <v>2827</v>
      </c>
    </row>
    <row r="101">
      <c r="B101" s="133" t="s">
        <v>2828</v>
      </c>
    </row>
    <row r="102">
      <c r="B102" s="133" t="s">
        <v>2829</v>
      </c>
    </row>
    <row r="103">
      <c r="B103" s="133" t="s">
        <v>2830</v>
      </c>
    </row>
    <row r="104">
      <c r="A104" s="10">
        <v>41823.0</v>
      </c>
      <c r="B104" s="133" t="s">
        <v>2832</v>
      </c>
    </row>
    <row r="105">
      <c r="A105" s="10">
        <v>41826.0</v>
      </c>
      <c r="B105" s="133" t="s">
        <v>2833</v>
      </c>
    </row>
    <row r="106">
      <c r="A106" s="10">
        <v>41829.0</v>
      </c>
      <c r="B106" s="133" t="s">
        <v>2834</v>
      </c>
    </row>
    <row r="107">
      <c r="A107" s="10">
        <v>41830.0</v>
      </c>
      <c r="B107" s="133" t="s">
        <v>2835</v>
      </c>
    </row>
    <row r="108">
      <c r="A108" s="10">
        <v>41834.0</v>
      </c>
      <c r="B108" s="133" t="s">
        <v>2836</v>
      </c>
    </row>
    <row r="109">
      <c r="A109" s="10">
        <v>41835.0</v>
      </c>
      <c r="B109" s="133" t="s">
        <v>2837</v>
      </c>
    </row>
    <row r="110">
      <c r="A110" s="10">
        <v>41836.0</v>
      </c>
      <c r="B110" s="133" t="s">
        <v>2838</v>
      </c>
    </row>
    <row r="111">
      <c r="B111" s="133" t="s">
        <v>2839</v>
      </c>
    </row>
    <row r="112">
      <c r="A112" s="10">
        <v>41842.0</v>
      </c>
      <c r="B112" s="133" t="s">
        <v>2840</v>
      </c>
    </row>
    <row r="113">
      <c r="B113" s="133" t="s">
        <v>2841</v>
      </c>
    </row>
    <row r="114">
      <c r="B114" s="133" t="s">
        <v>2842</v>
      </c>
    </row>
    <row r="115">
      <c r="A115" s="10">
        <v>41846.0</v>
      </c>
      <c r="B115" s="133" t="s">
        <v>2843</v>
      </c>
    </row>
    <row r="116">
      <c r="A116" s="10">
        <v>41851.0</v>
      </c>
      <c r="B116" s="133" t="s">
        <v>2844</v>
      </c>
    </row>
    <row r="117">
      <c r="A117" s="10">
        <v>41854.0</v>
      </c>
      <c r="B117" s="133" t="s">
        <v>2845</v>
      </c>
    </row>
    <row r="118">
      <c r="A118" s="10">
        <v>41856.0</v>
      </c>
      <c r="B118" s="133" t="s">
        <v>2846</v>
      </c>
    </row>
    <row r="119">
      <c r="A119" s="10">
        <v>41862.0</v>
      </c>
      <c r="B119" s="133" t="s">
        <v>2847</v>
      </c>
    </row>
    <row r="120">
      <c r="A120" s="10">
        <v>41864.0</v>
      </c>
      <c r="B120" s="133" t="s">
        <v>2848</v>
      </c>
    </row>
    <row r="121">
      <c r="A121" s="10">
        <v>41865.0</v>
      </c>
      <c r="B121" s="133" t="s">
        <v>2849</v>
      </c>
    </row>
    <row r="122">
      <c r="A122" s="10">
        <v>41868.0</v>
      </c>
      <c r="B122" s="133" t="s">
        <v>2850</v>
      </c>
    </row>
    <row r="123">
      <c r="A123" s="10">
        <v>41878.0</v>
      </c>
      <c r="B123" s="133" t="s">
        <v>2851</v>
      </c>
    </row>
    <row r="124">
      <c r="A124" s="10">
        <v>41879.0</v>
      </c>
      <c r="B124" s="133" t="s">
        <v>2852</v>
      </c>
    </row>
    <row r="125">
      <c r="A125" s="10">
        <v>41886.0</v>
      </c>
      <c r="B125" s="133" t="s">
        <v>2853</v>
      </c>
    </row>
    <row r="126">
      <c r="A126" s="10">
        <v>41887.0</v>
      </c>
      <c r="B126" s="133" t="s">
        <v>2854</v>
      </c>
    </row>
    <row r="127">
      <c r="A127" s="10">
        <v>41890.0</v>
      </c>
      <c r="B127" s="133" t="s">
        <v>2855</v>
      </c>
    </row>
    <row r="128">
      <c r="A128" s="10">
        <v>41894.0</v>
      </c>
      <c r="B128" s="133" t="s">
        <v>2856</v>
      </c>
    </row>
    <row r="129">
      <c r="A129" s="10">
        <v>41899.0</v>
      </c>
      <c r="B129" s="133" t="s">
        <v>2857</v>
      </c>
    </row>
    <row r="130">
      <c r="A130" s="10">
        <v>41901.0</v>
      </c>
      <c r="B130" s="133" t="s">
        <v>2858</v>
      </c>
    </row>
    <row r="131">
      <c r="B131" s="133" t="s">
        <v>2859</v>
      </c>
    </row>
    <row r="132">
      <c r="A132" s="10">
        <v>41902.0</v>
      </c>
      <c r="B132" s="133" t="s">
        <v>2860</v>
      </c>
    </row>
    <row r="133">
      <c r="B133" s="133" t="s">
        <v>2861</v>
      </c>
    </row>
    <row r="134">
      <c r="A134" s="10">
        <v>41904.0</v>
      </c>
      <c r="B134" s="133" t="s">
        <v>2862</v>
      </c>
    </row>
    <row r="135">
      <c r="A135" s="10">
        <v>41906.0</v>
      </c>
      <c r="B135" s="133" t="s">
        <v>2863</v>
      </c>
    </row>
    <row r="136">
      <c r="A136" s="10">
        <v>41907.0</v>
      </c>
      <c r="B136" s="133" t="s">
        <v>2864</v>
      </c>
    </row>
    <row r="137">
      <c r="A137" s="10">
        <v>41917.0</v>
      </c>
      <c r="B137" s="133" t="s">
        <v>2865</v>
      </c>
    </row>
    <row r="138">
      <c r="A138" s="10">
        <v>41919.0</v>
      </c>
      <c r="B138" s="133" t="s">
        <v>2866</v>
      </c>
    </row>
    <row r="139">
      <c r="A139" s="10">
        <v>41921.0</v>
      </c>
      <c r="B139" s="133" t="s">
        <v>2867</v>
      </c>
    </row>
    <row r="140">
      <c r="B140" s="133" t="s">
        <v>2868</v>
      </c>
    </row>
    <row r="141">
      <c r="A141" s="10">
        <v>41922.0</v>
      </c>
      <c r="B141" s="133" t="s">
        <v>2869</v>
      </c>
    </row>
    <row r="142">
      <c r="A142" s="10">
        <v>41926.0</v>
      </c>
      <c r="B142" s="133" t="s">
        <v>2870</v>
      </c>
    </row>
    <row r="143">
      <c r="A143" s="10">
        <v>41927.0</v>
      </c>
      <c r="B143" s="133" t="s">
        <v>2871</v>
      </c>
    </row>
    <row r="144">
      <c r="A144" s="10">
        <v>41928.0</v>
      </c>
      <c r="B144" s="133" t="s">
        <v>2872</v>
      </c>
    </row>
    <row r="145">
      <c r="A145" s="10">
        <v>41933.0</v>
      </c>
      <c r="B145" s="133" t="s">
        <v>2873</v>
      </c>
    </row>
    <row r="146">
      <c r="A146" s="10">
        <v>41934.0</v>
      </c>
      <c r="B146" s="133" t="s">
        <v>2874</v>
      </c>
    </row>
    <row r="147">
      <c r="A147" s="10">
        <v>41939.0</v>
      </c>
      <c r="B147" s="133" t="s">
        <v>2875</v>
      </c>
    </row>
    <row r="148">
      <c r="A148" s="10">
        <v>41948.0</v>
      </c>
      <c r="B148" s="133" t="s">
        <v>2876</v>
      </c>
    </row>
    <row r="149">
      <c r="A149" s="10">
        <v>41949.0</v>
      </c>
      <c r="B149" s="133" t="s">
        <v>2877</v>
      </c>
    </row>
    <row r="150">
      <c r="A150" s="10">
        <v>41962.0</v>
      </c>
      <c r="B150" s="133" t="s">
        <v>2878</v>
      </c>
    </row>
    <row r="151">
      <c r="A151" s="10">
        <v>41963.0</v>
      </c>
      <c r="B151" s="133" t="s">
        <v>2879</v>
      </c>
    </row>
    <row r="152">
      <c r="A152" s="10">
        <v>41964.0</v>
      </c>
      <c r="B152" s="133" t="s">
        <v>2880</v>
      </c>
    </row>
    <row r="153">
      <c r="A153" s="10">
        <v>41970.0</v>
      </c>
      <c r="B153" s="133" t="s">
        <v>2881</v>
      </c>
    </row>
    <row r="154">
      <c r="A154" s="10">
        <v>42017.0</v>
      </c>
      <c r="B154" s="133" t="s">
        <v>2882</v>
      </c>
    </row>
    <row r="155">
      <c r="A155" s="10">
        <v>42019.0</v>
      </c>
      <c r="B155" s="133" t="s">
        <v>2883</v>
      </c>
    </row>
    <row r="156">
      <c r="A156" s="10">
        <v>42047.0</v>
      </c>
      <c r="B156" s="133" t="s">
        <v>2884</v>
      </c>
    </row>
    <row r="157">
      <c r="A157" s="10">
        <v>42053.0</v>
      </c>
      <c r="B157" s="133" t="s">
        <v>2885</v>
      </c>
    </row>
    <row r="158">
      <c r="A158" s="10">
        <v>42055.0</v>
      </c>
      <c r="B158" s="133" t="s">
        <v>2886</v>
      </c>
    </row>
    <row r="159">
      <c r="A159" s="10">
        <v>42058.0</v>
      </c>
      <c r="B159" s="133" t="s">
        <v>2887</v>
      </c>
    </row>
    <row r="160">
      <c r="B160" s="133" t="s">
        <v>2888</v>
      </c>
    </row>
    <row r="161">
      <c r="A161" s="10">
        <v>42059.0</v>
      </c>
      <c r="B161" s="133" t="s">
        <v>2889</v>
      </c>
    </row>
    <row r="162">
      <c r="A162" s="10">
        <v>42061.0</v>
      </c>
      <c r="B162" s="133" t="s">
        <v>2890</v>
      </c>
    </row>
    <row r="163">
      <c r="A163" s="10">
        <v>42067.0</v>
      </c>
      <c r="B163" s="133" t="s">
        <v>2892</v>
      </c>
    </row>
    <row r="164">
      <c r="A164" s="10">
        <v>42069.0</v>
      </c>
      <c r="B164" s="133" t="s">
        <v>2893</v>
      </c>
    </row>
    <row r="165">
      <c r="A165" s="10">
        <v>42072.0</v>
      </c>
      <c r="B165" s="133" t="s">
        <v>2894</v>
      </c>
    </row>
    <row r="166">
      <c r="A166" s="10">
        <v>42073.0</v>
      </c>
      <c r="B166" s="133" t="s">
        <v>2895</v>
      </c>
    </row>
    <row r="167">
      <c r="A167" s="10">
        <v>42074.0</v>
      </c>
      <c r="B167" s="133" t="s">
        <v>2896</v>
      </c>
    </row>
    <row r="168">
      <c r="A168" s="10">
        <v>42075.0</v>
      </c>
      <c r="B168" s="133" t="s">
        <v>2897</v>
      </c>
    </row>
    <row r="169">
      <c r="A169" s="10">
        <v>42076.0</v>
      </c>
      <c r="B169" s="133" t="s">
        <v>2898</v>
      </c>
    </row>
    <row r="170">
      <c r="A170" s="10">
        <v>42078.0</v>
      </c>
      <c r="B170" s="133" t="s">
        <v>2899</v>
      </c>
    </row>
    <row r="171">
      <c r="A171" s="10">
        <v>42081.0</v>
      </c>
      <c r="B171" s="133" t="s">
        <v>2900</v>
      </c>
    </row>
    <row r="172">
      <c r="B172" s="133" t="s">
        <v>2901</v>
      </c>
    </row>
    <row r="173">
      <c r="A173" s="10">
        <v>42082.0</v>
      </c>
      <c r="B173" s="133" t="s">
        <v>2902</v>
      </c>
    </row>
    <row r="174">
      <c r="A174" s="10">
        <v>42085.0</v>
      </c>
      <c r="B174" s="133" t="s">
        <v>2903</v>
      </c>
    </row>
    <row r="175">
      <c r="A175" s="10">
        <v>42086.0</v>
      </c>
      <c r="B175" s="133" t="s">
        <v>2904</v>
      </c>
    </row>
    <row r="176">
      <c r="B176" s="133" t="s">
        <v>2905</v>
      </c>
    </row>
    <row r="177">
      <c r="A177" s="10">
        <v>42087.0</v>
      </c>
      <c r="B177" s="133" t="s">
        <v>2906</v>
      </c>
    </row>
    <row r="178">
      <c r="A178" s="10">
        <v>42089.0</v>
      </c>
      <c r="B178" s="133" t="s">
        <v>2907</v>
      </c>
    </row>
    <row r="179">
      <c r="A179" s="10">
        <v>42092.0</v>
      </c>
      <c r="B179" s="133" t="s">
        <v>2908</v>
      </c>
    </row>
    <row r="180">
      <c r="A180" s="10">
        <v>42094.0</v>
      </c>
      <c r="B180" s="133" t="s">
        <v>2909</v>
      </c>
    </row>
    <row r="181">
      <c r="B181" s="133" t="s">
        <v>2910</v>
      </c>
    </row>
    <row r="182">
      <c r="A182" s="10">
        <v>42095.0</v>
      </c>
      <c r="B182" s="133" t="s">
        <v>2911</v>
      </c>
    </row>
    <row r="183">
      <c r="A183" s="10">
        <v>42096.0</v>
      </c>
      <c r="B183" s="133" t="s">
        <v>2912</v>
      </c>
    </row>
    <row r="184">
      <c r="A184" s="10">
        <v>42101.0</v>
      </c>
      <c r="B184" s="133" t="s">
        <v>2913</v>
      </c>
    </row>
    <row r="185">
      <c r="A185" s="10">
        <v>42102.0</v>
      </c>
      <c r="B185" s="133" t="s">
        <v>2914</v>
      </c>
    </row>
    <row r="186">
      <c r="A186" s="10">
        <v>42107.0</v>
      </c>
      <c r="B186" s="133" t="s">
        <v>2915</v>
      </c>
    </row>
    <row r="187">
      <c r="A187" s="10">
        <v>42108.0</v>
      </c>
      <c r="B187" s="133" t="s">
        <v>2916</v>
      </c>
    </row>
    <row r="188">
      <c r="A188" s="10">
        <v>42109.0</v>
      </c>
      <c r="B188" s="133" t="s">
        <v>2917</v>
      </c>
    </row>
    <row r="189">
      <c r="A189" s="10">
        <v>42111.0</v>
      </c>
      <c r="B189" s="133" t="s">
        <v>2918</v>
      </c>
    </row>
    <row r="190">
      <c r="A190" s="10">
        <v>42114.0</v>
      </c>
      <c r="B190" s="133" t="s">
        <v>2919</v>
      </c>
    </row>
    <row r="191">
      <c r="A191" s="10">
        <v>42116.0</v>
      </c>
      <c r="B191" s="133" t="s">
        <v>2920</v>
      </c>
    </row>
    <row r="192">
      <c r="A192" s="10">
        <v>42121.0</v>
      </c>
      <c r="B192" s="133" t="s">
        <v>2921</v>
      </c>
    </row>
    <row r="193">
      <c r="A193" s="10">
        <v>42122.0</v>
      </c>
      <c r="B193" s="133" t="s">
        <v>2922</v>
      </c>
    </row>
    <row r="194">
      <c r="A194" s="10">
        <v>42123.0</v>
      </c>
      <c r="B194" s="133" t="s">
        <v>2923</v>
      </c>
    </row>
    <row r="195">
      <c r="A195" s="10">
        <v>42125.0</v>
      </c>
      <c r="B195" s="133" t="s">
        <v>2924</v>
      </c>
    </row>
    <row r="196">
      <c r="A196" s="10">
        <v>42126.0</v>
      </c>
      <c r="B196" s="133" t="s">
        <v>2925</v>
      </c>
    </row>
    <row r="197">
      <c r="A197" s="10">
        <v>42131.0</v>
      </c>
      <c r="B197" s="133" t="s">
        <v>2926</v>
      </c>
    </row>
    <row r="198">
      <c r="A198" s="10">
        <v>42132.0</v>
      </c>
      <c r="B198" s="133" t="s">
        <v>2927</v>
      </c>
    </row>
    <row r="199">
      <c r="A199" s="10">
        <v>42133.0</v>
      </c>
      <c r="B199" s="133" t="s">
        <v>2928</v>
      </c>
    </row>
    <row r="200">
      <c r="A200" s="10">
        <v>42136.0</v>
      </c>
      <c r="B200" s="133" t="s">
        <v>2929</v>
      </c>
    </row>
    <row r="201">
      <c r="A201" s="10">
        <v>42138.0</v>
      </c>
      <c r="B201" s="133" t="s">
        <v>2930</v>
      </c>
    </row>
    <row r="202">
      <c r="A202" s="10">
        <v>42139.0</v>
      </c>
      <c r="B202" s="133" t="s">
        <v>2931</v>
      </c>
    </row>
    <row r="203">
      <c r="A203" s="10">
        <v>42142.0</v>
      </c>
      <c r="B203" s="133" t="s">
        <v>2932</v>
      </c>
    </row>
    <row r="204">
      <c r="A204" s="10">
        <v>42145.0</v>
      </c>
      <c r="B204" s="133" t="s">
        <v>2933</v>
      </c>
    </row>
    <row r="205">
      <c r="A205" s="10">
        <v>42146.0</v>
      </c>
      <c r="B205" s="133" t="s">
        <v>2934</v>
      </c>
    </row>
    <row r="206">
      <c r="A206" s="10">
        <v>42148.0</v>
      </c>
      <c r="B206" s="133" t="s">
        <v>2935</v>
      </c>
    </row>
    <row r="207">
      <c r="A207" s="10">
        <v>42152.0</v>
      </c>
      <c r="B207" s="133" t="s">
        <v>2936</v>
      </c>
    </row>
    <row r="208">
      <c r="A208" s="10">
        <v>42157.0</v>
      </c>
      <c r="B208" s="133" t="s">
        <v>2937</v>
      </c>
    </row>
    <row r="209">
      <c r="A209" s="10">
        <v>42158.0</v>
      </c>
      <c r="B209" s="133" t="s">
        <v>2938</v>
      </c>
    </row>
    <row r="210">
      <c r="A210" s="10">
        <v>42159.0</v>
      </c>
      <c r="B210" s="133" t="s">
        <v>2939</v>
      </c>
    </row>
    <row r="211">
      <c r="A211" s="10">
        <v>42163.0</v>
      </c>
      <c r="B211" s="133" t="s">
        <v>2940</v>
      </c>
    </row>
    <row r="212">
      <c r="A212" s="10">
        <v>42167.0</v>
      </c>
      <c r="B212" s="133" t="s">
        <v>2941</v>
      </c>
    </row>
    <row r="213">
      <c r="A213" s="10">
        <v>42170.0</v>
      </c>
      <c r="B213" s="133" t="s">
        <v>2942</v>
      </c>
    </row>
    <row r="214">
      <c r="A214" s="10">
        <v>42171.0</v>
      </c>
      <c r="B214" s="133" t="s">
        <v>2943</v>
      </c>
    </row>
    <row r="215">
      <c r="A215" s="10">
        <v>42172.0</v>
      </c>
      <c r="B215" s="133" t="s">
        <v>2945</v>
      </c>
    </row>
    <row r="216">
      <c r="A216" s="10">
        <v>42173.0</v>
      </c>
      <c r="B216" s="133" t="s">
        <v>2946</v>
      </c>
    </row>
    <row r="217">
      <c r="A217" s="10">
        <v>42174.0</v>
      </c>
      <c r="B217" s="133" t="s">
        <v>2947</v>
      </c>
    </row>
    <row r="218">
      <c r="A218" s="10">
        <v>42177.0</v>
      </c>
      <c r="B218" s="133" t="s">
        <v>2948</v>
      </c>
    </row>
    <row r="219">
      <c r="A219" s="10">
        <v>42178.0</v>
      </c>
      <c r="B219" s="133" t="s">
        <v>2949</v>
      </c>
    </row>
    <row r="220">
      <c r="B220" s="133" t="s">
        <v>2950</v>
      </c>
    </row>
    <row r="221">
      <c r="A221" s="10">
        <v>42179.0</v>
      </c>
      <c r="B221" s="133" t="s">
        <v>2951</v>
      </c>
    </row>
    <row r="222">
      <c r="A222" s="10">
        <v>42183.0</v>
      </c>
      <c r="B222" s="133" t="s">
        <v>2952</v>
      </c>
    </row>
    <row r="223">
      <c r="A223" s="10">
        <v>42184.0</v>
      </c>
      <c r="B223" s="133" t="s">
        <v>2953</v>
      </c>
    </row>
    <row r="224">
      <c r="A224" s="10">
        <v>42188.0</v>
      </c>
      <c r="B224" s="133" t="s">
        <v>2954</v>
      </c>
    </row>
    <row r="225">
      <c r="B225" s="133" t="s">
        <v>2955</v>
      </c>
    </row>
    <row r="226">
      <c r="A226" s="10">
        <v>42193.0</v>
      </c>
      <c r="B226" s="133" t="s">
        <v>2956</v>
      </c>
    </row>
    <row r="227">
      <c r="A227" s="10">
        <v>42194.0</v>
      </c>
      <c r="B227" s="133" t="s">
        <v>2957</v>
      </c>
    </row>
    <row r="228">
      <c r="A228" s="10">
        <v>42197.0</v>
      </c>
      <c r="B228" s="133" t="s">
        <v>2958</v>
      </c>
    </row>
    <row r="229">
      <c r="A229" s="10">
        <v>42198.0</v>
      </c>
      <c r="B229" s="133" t="s">
        <v>2959</v>
      </c>
    </row>
    <row r="230">
      <c r="A230" s="10">
        <v>42200.0</v>
      </c>
      <c r="B230" s="133" t="s">
        <v>2960</v>
      </c>
    </row>
    <row r="231">
      <c r="A231" s="10">
        <v>42201.0</v>
      </c>
      <c r="B231" s="133" t="s">
        <v>2961</v>
      </c>
    </row>
    <row r="232">
      <c r="A232" s="10">
        <v>42202.0</v>
      </c>
      <c r="B232" s="133" t="s">
        <v>2962</v>
      </c>
    </row>
    <row r="233">
      <c r="A233" s="10">
        <v>42205.0</v>
      </c>
      <c r="B233" s="133" t="s">
        <v>2963</v>
      </c>
    </row>
    <row r="234">
      <c r="A234" s="10">
        <v>42209.0</v>
      </c>
      <c r="B234" s="133" t="s">
        <v>2964</v>
      </c>
    </row>
    <row r="235">
      <c r="B235" s="133" t="s">
        <v>2965</v>
      </c>
    </row>
    <row r="236">
      <c r="A236" s="10">
        <v>42211.0</v>
      </c>
      <c r="B236" s="133" t="s">
        <v>2966</v>
      </c>
    </row>
    <row r="237">
      <c r="A237" s="10">
        <v>42214.0</v>
      </c>
      <c r="B237" s="133" t="s">
        <v>2967</v>
      </c>
    </row>
    <row r="238">
      <c r="A238" s="10">
        <v>42215.0</v>
      </c>
      <c r="B238" s="133" t="s">
        <v>2968</v>
      </c>
    </row>
    <row r="239">
      <c r="A239" s="10">
        <v>42216.0</v>
      </c>
      <c r="B239" s="133" t="s">
        <v>2969</v>
      </c>
    </row>
    <row r="240">
      <c r="A240" s="10">
        <v>42220.0</v>
      </c>
      <c r="B240" s="133" t="s">
        <v>2970</v>
      </c>
    </row>
    <row r="241">
      <c r="A241" s="10">
        <v>42221.0</v>
      </c>
      <c r="B241" s="133" t="s">
        <v>2971</v>
      </c>
    </row>
    <row r="242">
      <c r="A242" s="10">
        <v>42222.0</v>
      </c>
      <c r="B242" s="133" t="s">
        <v>2972</v>
      </c>
    </row>
    <row r="243">
      <c r="A243" s="10">
        <v>42223.0</v>
      </c>
      <c r="B243" s="133" t="s">
        <v>2973</v>
      </c>
    </row>
    <row r="244">
      <c r="A244" s="10">
        <v>42224.0</v>
      </c>
      <c r="B244" s="133" t="s">
        <v>2974</v>
      </c>
    </row>
    <row r="245">
      <c r="A245" s="10">
        <v>42227.0</v>
      </c>
      <c r="B245" s="133" t="s">
        <v>2975</v>
      </c>
    </row>
    <row r="246">
      <c r="A246" s="10">
        <v>42228.0</v>
      </c>
      <c r="B246" s="133" t="s">
        <v>2976</v>
      </c>
    </row>
    <row r="247">
      <c r="A247" s="10">
        <v>42230.0</v>
      </c>
      <c r="B247" s="133" t="s">
        <v>2977</v>
      </c>
    </row>
    <row r="248">
      <c r="A248" s="10">
        <v>42234.0</v>
      </c>
      <c r="B248" s="133" t="s">
        <v>2978</v>
      </c>
    </row>
    <row r="249">
      <c r="A249" s="10">
        <v>42235.0</v>
      </c>
      <c r="B249" s="133" t="s">
        <v>2979</v>
      </c>
    </row>
    <row r="250">
      <c r="A250" s="10">
        <v>42236.0</v>
      </c>
      <c r="B250" s="133" t="s">
        <v>2980</v>
      </c>
    </row>
    <row r="251">
      <c r="A251" s="10">
        <v>42240.0</v>
      </c>
      <c r="B251" s="133" t="s">
        <v>2981</v>
      </c>
    </row>
    <row r="252">
      <c r="A252" s="10">
        <v>42242.0</v>
      </c>
      <c r="B252" s="133" t="s">
        <v>2982</v>
      </c>
    </row>
    <row r="253">
      <c r="A253" s="10">
        <v>42248.0</v>
      </c>
      <c r="B253" s="133" t="s">
        <v>2983</v>
      </c>
    </row>
    <row r="254">
      <c r="A254" s="10">
        <v>42249.0</v>
      </c>
      <c r="B254" s="133" t="s">
        <v>2984</v>
      </c>
    </row>
    <row r="255">
      <c r="A255" s="10">
        <v>42250.0</v>
      </c>
      <c r="B255" s="133" t="s">
        <v>2985</v>
      </c>
    </row>
    <row r="256">
      <c r="A256" s="10">
        <v>42255.0</v>
      </c>
      <c r="B256" s="133" t="s">
        <v>2986</v>
      </c>
    </row>
    <row r="257">
      <c r="A257" s="10">
        <v>42256.0</v>
      </c>
      <c r="B257" s="133" t="s">
        <v>2987</v>
      </c>
    </row>
    <row r="258">
      <c r="A258" s="10">
        <v>42262.0</v>
      </c>
      <c r="B258" s="133" t="s">
        <v>2988</v>
      </c>
    </row>
    <row r="259">
      <c r="A259" s="10">
        <v>42264.0</v>
      </c>
      <c r="B259" s="133" t="s">
        <v>2989</v>
      </c>
    </row>
    <row r="260">
      <c r="A260" s="10">
        <v>42269.0</v>
      </c>
      <c r="B260" s="133" t="s">
        <v>2990</v>
      </c>
    </row>
    <row r="261">
      <c r="A261" s="10">
        <v>42275.0</v>
      </c>
      <c r="B261" s="133" t="s">
        <v>2991</v>
      </c>
    </row>
    <row r="262">
      <c r="A262" s="10">
        <v>42277.0</v>
      </c>
      <c r="B262" s="133" t="s">
        <v>2992</v>
      </c>
    </row>
    <row r="263">
      <c r="A263" s="10">
        <v>42279.0</v>
      </c>
      <c r="B263" s="133" t="s">
        <v>2993</v>
      </c>
    </row>
    <row r="264">
      <c r="A264" s="10">
        <v>42282.0</v>
      </c>
      <c r="B264" s="133" t="s">
        <v>2994</v>
      </c>
    </row>
    <row r="265">
      <c r="A265" s="10">
        <v>42286.0</v>
      </c>
      <c r="B265" s="133" t="s">
        <v>2995</v>
      </c>
    </row>
    <row r="266">
      <c r="A266" s="10">
        <v>42298.0</v>
      </c>
      <c r="B266" s="133" t="s">
        <v>2996</v>
      </c>
    </row>
    <row r="267">
      <c r="A267" s="10">
        <v>42300.0</v>
      </c>
      <c r="B267" s="133" t="s">
        <v>2997</v>
      </c>
    </row>
    <row r="268">
      <c r="A268" s="10">
        <v>42307.0</v>
      </c>
      <c r="B268" s="133" t="s">
        <v>2998</v>
      </c>
    </row>
    <row r="269">
      <c r="A269" s="10">
        <v>42310.0</v>
      </c>
      <c r="B269" s="133" t="s">
        <v>2999</v>
      </c>
    </row>
    <row r="270">
      <c r="A270" s="10">
        <v>42313.0</v>
      </c>
      <c r="B270" s="133" t="s">
        <v>3000</v>
      </c>
    </row>
    <row r="271">
      <c r="A271" s="10"/>
      <c r="B271" s="133" t="s">
        <v>3001</v>
      </c>
    </row>
    <row r="272">
      <c r="A272" s="10">
        <v>42318.0</v>
      </c>
      <c r="B272" s="133" t="s">
        <v>3003</v>
      </c>
    </row>
    <row r="273">
      <c r="A273" s="10">
        <v>42329.0</v>
      </c>
      <c r="B273" s="133" t="s">
        <v>3004</v>
      </c>
    </row>
    <row r="274">
      <c r="A274" s="10">
        <v>42345.0</v>
      </c>
      <c r="B274" s="133" t="s">
        <v>3005</v>
      </c>
    </row>
    <row r="275">
      <c r="A275" s="10">
        <v>42347.0</v>
      </c>
      <c r="B275" s="133" t="s">
        <v>3006</v>
      </c>
    </row>
    <row r="276">
      <c r="A276" s="10">
        <v>42354.0</v>
      </c>
      <c r="B276" s="133" t="s">
        <v>3007</v>
      </c>
    </row>
    <row r="277">
      <c r="A277" s="10">
        <v>42355.0</v>
      </c>
      <c r="B277" s="133" t="s">
        <v>3008</v>
      </c>
    </row>
    <row r="278">
      <c r="A278" s="10">
        <v>42380.0</v>
      </c>
      <c r="B278" s="133" t="s">
        <v>3009</v>
      </c>
    </row>
    <row r="279">
      <c r="A279" s="10">
        <v>42405.0</v>
      </c>
      <c r="B279" s="133" t="s">
        <v>3010</v>
      </c>
    </row>
    <row r="280">
      <c r="A280" s="10">
        <v>42430.0</v>
      </c>
      <c r="B280" s="133" t="s">
        <v>3011</v>
      </c>
    </row>
    <row r="281">
      <c r="A281" s="10">
        <v>42437.0</v>
      </c>
      <c r="B281" s="133" t="s">
        <v>3012</v>
      </c>
    </row>
    <row r="282">
      <c r="A282" s="10">
        <v>42438.0</v>
      </c>
      <c r="B282" s="133" t="s">
        <v>3013</v>
      </c>
    </row>
    <row r="283">
      <c r="A283" s="10">
        <v>42443.0</v>
      </c>
      <c r="B283" s="133" t="s">
        <v>3014</v>
      </c>
    </row>
    <row r="284">
      <c r="A284" s="10">
        <v>42444.0</v>
      </c>
      <c r="B284" s="133" t="s">
        <v>3015</v>
      </c>
    </row>
    <row r="285">
      <c r="A285" s="10">
        <v>42445.0</v>
      </c>
      <c r="B285" s="133" t="s">
        <v>3016</v>
      </c>
    </row>
    <row r="286">
      <c r="A286" s="10">
        <v>42446.0</v>
      </c>
      <c r="B286" s="133" t="s">
        <v>3017</v>
      </c>
    </row>
    <row r="287">
      <c r="A287" s="10">
        <v>42449.0</v>
      </c>
      <c r="B287" s="133" t="s">
        <v>3018</v>
      </c>
    </row>
    <row r="288">
      <c r="A288" s="10">
        <v>42455.0</v>
      </c>
      <c r="B288" s="133" t="s">
        <v>3019</v>
      </c>
    </row>
    <row r="289">
      <c r="A289" s="10">
        <v>42457.0</v>
      </c>
      <c r="B289" s="133" t="s">
        <v>3020</v>
      </c>
    </row>
    <row r="290">
      <c r="A290" s="10">
        <v>42459.0</v>
      </c>
      <c r="B290" s="133" t="s">
        <v>3021</v>
      </c>
    </row>
    <row r="291">
      <c r="A291" s="10">
        <v>42464.0</v>
      </c>
      <c r="B291" s="133" t="s">
        <v>3022</v>
      </c>
    </row>
    <row r="292">
      <c r="A292" s="10">
        <v>42466.0</v>
      </c>
      <c r="B292" s="133" t="s">
        <v>3023</v>
      </c>
    </row>
    <row r="293">
      <c r="A293" s="10">
        <v>42471.0</v>
      </c>
      <c r="B293" s="133" t="s">
        <v>3024</v>
      </c>
    </row>
    <row r="294">
      <c r="A294" s="10">
        <v>42472.0</v>
      </c>
      <c r="B294" s="133" t="s">
        <v>3025</v>
      </c>
    </row>
    <row r="295">
      <c r="A295" s="10">
        <v>42473.0</v>
      </c>
      <c r="B295" s="133" t="s">
        <v>3026</v>
      </c>
    </row>
    <row r="296">
      <c r="A296" s="10">
        <v>42474.0</v>
      </c>
      <c r="B296" s="133" t="s">
        <v>3027</v>
      </c>
    </row>
    <row r="297">
      <c r="A297" s="10">
        <v>42478.0</v>
      </c>
      <c r="B297" s="133" t="s">
        <v>3028</v>
      </c>
    </row>
    <row r="298">
      <c r="A298" s="10">
        <v>42479.0</v>
      </c>
      <c r="B298" s="133" t="s">
        <v>3029</v>
      </c>
    </row>
    <row r="299">
      <c r="A299" s="10">
        <v>42481.0</v>
      </c>
      <c r="B299" s="133" t="s">
        <v>3030</v>
      </c>
    </row>
    <row r="300">
      <c r="A300" s="10">
        <v>42485.0</v>
      </c>
      <c r="B300" s="133" t="s">
        <v>3031</v>
      </c>
    </row>
    <row r="301">
      <c r="A301" s="10">
        <v>42486.0</v>
      </c>
      <c r="B301" s="133" t="s">
        <v>3032</v>
      </c>
    </row>
    <row r="302">
      <c r="A302" s="10">
        <v>42487.0</v>
      </c>
      <c r="B302" s="133" t="s">
        <v>3033</v>
      </c>
    </row>
    <row r="303">
      <c r="A303" s="10">
        <v>42492.0</v>
      </c>
      <c r="B303" s="133" t="s">
        <v>3034</v>
      </c>
    </row>
    <row r="304">
      <c r="A304" s="10">
        <v>42495.0</v>
      </c>
      <c r="B304" s="133" t="s">
        <v>3035</v>
      </c>
    </row>
    <row r="305">
      <c r="A305" s="10">
        <v>42499.0</v>
      </c>
      <c r="B305" s="133" t="s">
        <v>3036</v>
      </c>
    </row>
    <row r="306">
      <c r="A306" s="10">
        <v>42501.0</v>
      </c>
      <c r="B306" s="133" t="s">
        <v>3037</v>
      </c>
    </row>
    <row r="307">
      <c r="A307" s="10">
        <v>42503.0</v>
      </c>
      <c r="B307" s="133" t="s">
        <v>3038</v>
      </c>
    </row>
    <row r="308">
      <c r="A308" s="10">
        <v>42506.0</v>
      </c>
      <c r="B308" s="133" t="s">
        <v>3039</v>
      </c>
    </row>
    <row r="309">
      <c r="A309" s="10">
        <v>42507.0</v>
      </c>
      <c r="B309" s="133" t="s">
        <v>3040</v>
      </c>
    </row>
    <row r="310">
      <c r="A310" s="10">
        <v>42508.0</v>
      </c>
      <c r="B310" s="133" t="s">
        <v>3041</v>
      </c>
    </row>
    <row r="311">
      <c r="A311" s="10">
        <v>42514.0</v>
      </c>
      <c r="B311" s="133" t="s">
        <v>3042</v>
      </c>
    </row>
    <row r="312">
      <c r="A312" s="10">
        <v>42515.0</v>
      </c>
      <c r="B312" s="133" t="s">
        <v>3043</v>
      </c>
    </row>
    <row r="313">
      <c r="A313" s="10">
        <v>42517.0</v>
      </c>
      <c r="B313" s="133" t="s">
        <v>3044</v>
      </c>
    </row>
    <row r="314">
      <c r="A314" s="10">
        <v>42518.0</v>
      </c>
      <c r="B314" s="133" t="s">
        <v>3045</v>
      </c>
    </row>
    <row r="315">
      <c r="A315" s="10">
        <v>42523.0</v>
      </c>
      <c r="B315" s="133" t="s">
        <v>3046</v>
      </c>
    </row>
    <row r="316">
      <c r="A316" s="10">
        <v>42527.0</v>
      </c>
      <c r="B316" s="133" t="s">
        <v>3047</v>
      </c>
    </row>
    <row r="317">
      <c r="A317" s="10">
        <v>42528.0</v>
      </c>
      <c r="B317" s="133" t="s">
        <v>3048</v>
      </c>
    </row>
    <row r="318">
      <c r="A318" s="10">
        <v>42531.0</v>
      </c>
      <c r="B318" s="133" t="s">
        <v>3049</v>
      </c>
    </row>
    <row r="319">
      <c r="A319" s="10">
        <v>42537.0</v>
      </c>
      <c r="B319" s="133" t="s">
        <v>3050</v>
      </c>
    </row>
    <row r="320">
      <c r="A320" s="10">
        <v>42538.0</v>
      </c>
      <c r="B320" s="133" t="s">
        <v>3051</v>
      </c>
    </row>
    <row r="321">
      <c r="A321" s="10">
        <v>42539.0</v>
      </c>
      <c r="B321" s="133" t="s">
        <v>3052</v>
      </c>
    </row>
    <row r="322">
      <c r="A322" s="10">
        <v>42541.0</v>
      </c>
      <c r="B322" s="133" t="s">
        <v>3053</v>
      </c>
    </row>
    <row r="323">
      <c r="A323" s="10">
        <v>42542.0</v>
      </c>
      <c r="B323" s="133" t="s">
        <v>3054</v>
      </c>
    </row>
    <row r="324">
      <c r="A324" s="10">
        <v>42543.0</v>
      </c>
      <c r="B324" s="133" t="s">
        <v>3055</v>
      </c>
    </row>
    <row r="325">
      <c r="A325" s="10">
        <v>42544.0</v>
      </c>
      <c r="B325" s="133" t="s">
        <v>3056</v>
      </c>
    </row>
    <row r="326">
      <c r="A326" s="10">
        <v>42545.0</v>
      </c>
      <c r="B326" s="133" t="s">
        <v>3057</v>
      </c>
    </row>
    <row r="327">
      <c r="A327" s="10">
        <v>42548.0</v>
      </c>
      <c r="B327" s="133" t="s">
        <v>3058</v>
      </c>
    </row>
    <row r="328">
      <c r="A328" s="10">
        <v>42549.0</v>
      </c>
      <c r="B328" s="133" t="s">
        <v>3059</v>
      </c>
    </row>
    <row r="329">
      <c r="A329" s="10">
        <v>42551.0</v>
      </c>
      <c r="B329" s="133" t="s">
        <v>3061</v>
      </c>
    </row>
    <row r="330">
      <c r="A330" s="10">
        <v>42561.0</v>
      </c>
      <c r="B330" s="133" t="s">
        <v>3062</v>
      </c>
    </row>
    <row r="331">
      <c r="A331" s="10">
        <v>42562.0</v>
      </c>
      <c r="B331" s="133" t="s">
        <v>3063</v>
      </c>
    </row>
    <row r="332">
      <c r="A332" s="10">
        <v>42570.0</v>
      </c>
      <c r="B332" s="133" t="s">
        <v>3064</v>
      </c>
    </row>
    <row r="333">
      <c r="A333" s="10">
        <v>42571.0</v>
      </c>
      <c r="B333" s="133" t="s">
        <v>3065</v>
      </c>
    </row>
    <row r="334">
      <c r="A334" s="10">
        <v>42572.0</v>
      </c>
      <c r="B334" s="133" t="s">
        <v>3066</v>
      </c>
    </row>
    <row r="335">
      <c r="A335" s="10">
        <v>42575.0</v>
      </c>
      <c r="B335" s="133" t="s">
        <v>3067</v>
      </c>
    </row>
    <row r="336">
      <c r="A336" s="10">
        <v>42576.0</v>
      </c>
      <c r="B336" s="133" t="s">
        <v>3068</v>
      </c>
    </row>
    <row r="337">
      <c r="A337" s="10">
        <v>42577.0</v>
      </c>
      <c r="B337" s="133" t="s">
        <v>3069</v>
      </c>
    </row>
    <row r="338">
      <c r="A338" s="10">
        <v>42578.0</v>
      </c>
      <c r="B338" s="133" t="s">
        <v>3070</v>
      </c>
    </row>
    <row r="339">
      <c r="A339" s="10">
        <v>42580.0</v>
      </c>
      <c r="B339" s="133" t="s">
        <v>3071</v>
      </c>
    </row>
    <row r="340">
      <c r="A340" s="10">
        <v>42584.0</v>
      </c>
      <c r="B340" s="133" t="s">
        <v>3072</v>
      </c>
    </row>
    <row r="341">
      <c r="A341" s="10">
        <v>42585.0</v>
      </c>
      <c r="B341" s="133" t="s">
        <v>3074</v>
      </c>
    </row>
    <row r="342">
      <c r="A342" s="10">
        <v>42586.0</v>
      </c>
      <c r="B342" s="133" t="s">
        <v>3075</v>
      </c>
    </row>
    <row r="343">
      <c r="A343" s="10">
        <v>42590.0</v>
      </c>
      <c r="B343" s="133" t="s">
        <v>3076</v>
      </c>
    </row>
    <row r="344">
      <c r="A344" s="10">
        <v>42597.0</v>
      </c>
      <c r="B344" s="133" t="s">
        <v>3077</v>
      </c>
    </row>
    <row r="345">
      <c r="A345" s="10">
        <v>42598.0</v>
      </c>
      <c r="B345" s="133" t="s">
        <v>3078</v>
      </c>
    </row>
    <row r="346">
      <c r="A346" s="10">
        <v>42601.0</v>
      </c>
      <c r="B346" s="133" t="s">
        <v>3079</v>
      </c>
    </row>
    <row r="347">
      <c r="A347" s="10">
        <v>42604.0</v>
      </c>
      <c r="B347" s="133" t="s">
        <v>3080</v>
      </c>
    </row>
    <row r="348">
      <c r="A348" s="10">
        <v>42605.0</v>
      </c>
      <c r="B348" s="133" t="s">
        <v>3081</v>
      </c>
    </row>
    <row r="349">
      <c r="A349" s="10">
        <v>42606.0</v>
      </c>
      <c r="B349" s="133" t="s">
        <v>3082</v>
      </c>
    </row>
    <row r="350">
      <c r="A350" s="10">
        <v>42617.0</v>
      </c>
      <c r="B350" s="133" t="s">
        <v>3083</v>
      </c>
    </row>
    <row r="351">
      <c r="A351" s="10">
        <v>42619.0</v>
      </c>
      <c r="B351" s="133" t="s">
        <v>3084</v>
      </c>
    </row>
    <row r="352">
      <c r="A352" s="10">
        <v>42625.0</v>
      </c>
      <c r="B352" s="133" t="s">
        <v>3085</v>
      </c>
    </row>
    <row r="353">
      <c r="A353" s="10">
        <v>42634.0</v>
      </c>
      <c r="B353" s="133" t="s">
        <v>3086</v>
      </c>
    </row>
    <row r="354">
      <c r="A354" s="10">
        <v>42641.0</v>
      </c>
      <c r="B354" s="133" t="s">
        <v>3087</v>
      </c>
    </row>
    <row r="355">
      <c r="A355" s="10">
        <v>42647.0</v>
      </c>
      <c r="B355" s="133" t="s">
        <v>3088</v>
      </c>
    </row>
    <row r="356">
      <c r="A356" s="10">
        <v>42649.0</v>
      </c>
      <c r="B356" s="133" t="s">
        <v>3089</v>
      </c>
    </row>
    <row r="357">
      <c r="A357" s="10">
        <v>42655.0</v>
      </c>
      <c r="B357" s="133" t="s">
        <v>3090</v>
      </c>
    </row>
    <row r="358">
      <c r="A358" s="10">
        <v>42656.0</v>
      </c>
      <c r="B358" s="133" t="s">
        <v>3091</v>
      </c>
    </row>
    <row r="359">
      <c r="A359" s="10">
        <v>42659.0</v>
      </c>
      <c r="B359" s="133" t="s">
        <v>3092</v>
      </c>
    </row>
    <row r="360">
      <c r="A360" s="10">
        <v>42668.0</v>
      </c>
      <c r="B360" s="133" t="s">
        <v>3093</v>
      </c>
    </row>
    <row r="361">
      <c r="A361" s="10">
        <v>42676.0</v>
      </c>
      <c r="B361" s="133" t="s">
        <v>3094</v>
      </c>
    </row>
    <row r="362">
      <c r="A362" s="10">
        <v>42686.0</v>
      </c>
      <c r="B362" s="133" t="s">
        <v>3095</v>
      </c>
    </row>
    <row r="363">
      <c r="A363" s="10">
        <v>42693.0</v>
      </c>
      <c r="B363" s="133" t="s">
        <v>3096</v>
      </c>
    </row>
    <row r="364">
      <c r="A364" s="10">
        <v>42720.0</v>
      </c>
      <c r="B364" s="133" t="s">
        <v>3097</v>
      </c>
    </row>
    <row r="365">
      <c r="A365" s="10"/>
      <c r="B365" s="133"/>
    </row>
    <row r="366">
      <c r="A366" s="10"/>
      <c r="B366" s="133"/>
    </row>
    <row r="367">
      <c r="A367" s="10"/>
      <c r="B367" s="133"/>
    </row>
    <row r="368">
      <c r="A368" s="10"/>
      <c r="B368" s="133"/>
    </row>
    <row r="369">
      <c r="A369" s="10"/>
      <c r="B369" s="133"/>
    </row>
    <row r="370">
      <c r="A370" s="10"/>
      <c r="B370" s="133"/>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5.57"/>
    <col customWidth="1" min="2" max="2" width="14.29"/>
    <col customWidth="1" min="3" max="3" width="17.71"/>
    <col customWidth="1" min="5" max="5" width="16.86"/>
    <col customWidth="1" min="6" max="6" width="12.71"/>
    <col customWidth="1" min="7" max="7" width="15.29"/>
    <col customWidth="1" min="8" max="8" width="12.29"/>
    <col customWidth="1" min="9" max="9" width="14.0"/>
    <col customWidth="1" hidden="1" min="10" max="10" width="15.71"/>
    <col hidden="1" min="12" max="20"/>
    <col customWidth="1" hidden="1" min="21" max="21" width="5.86"/>
  </cols>
  <sheetData>
    <row r="1">
      <c r="A1" s="1" t="s">
        <v>7</v>
      </c>
      <c r="B1" s="2" t="s">
        <v>3100</v>
      </c>
      <c r="C1" s="2" t="s">
        <v>3101</v>
      </c>
      <c r="D1" s="4"/>
      <c r="E1" s="1" t="s">
        <v>3102</v>
      </c>
      <c r="F1" s="2" t="s">
        <v>3103</v>
      </c>
      <c r="G1" s="2" t="s">
        <v>3104</v>
      </c>
      <c r="H1" s="2" t="s">
        <v>3100</v>
      </c>
      <c r="I1" s="138" t="s">
        <v>3105</v>
      </c>
      <c r="J1" s="139" t="s">
        <v>3106</v>
      </c>
      <c r="K1" s="30"/>
      <c r="W1" s="4"/>
      <c r="X1" s="140"/>
    </row>
    <row r="2">
      <c r="A2" s="4" t="s">
        <v>3107</v>
      </c>
      <c r="B2" s="14">
        <f>COUNTIF('TJ List'!H:H,"California")+COUNTIF('TJ List'!H:H,"Arizona")+COUNTIF('TJ List'!H:H,"New Mexico")+COUNTIF('TJ List'!H:H,"Texas")+COUNTIF('TJ List'!H:H,"Louisiana")+COUNTIF('TJ List'!H:H,"Mississippi")+COUNTIF('TJ List'!H:H,"Alabama")+COUNTIF('TJ List'!H:H,"Georgia")+COUNTIF('TJ List'!H:H,"South Carolina")+COUNTIF('TJ List'!H:H,"Florida")+COUNTIF('TJ List'!H:H,"Hawaii")</f>
        <v>530</v>
      </c>
      <c r="C2" s="141">
        <f>
(SUMIF('TJ List'!H:H,"California",'TJ List'!J:J)+SUMIF('TJ List'!H:H,"Arizona",'TJ List'!J:J)+SUMIF('TJ List'!H:H,"New Mexico",'TJ List'!J:J)+SUMIF('TJ List'!H:H,"Texas",'TJ List'!J:J)+SUMIF('TJ List'!H:H,"Louisiana",'TJ List'!J:J)+SUMIF('TJ List'!H:H,"Mississippi",'TJ List'!J:J)+SUMIF('TJ List'!H:H,"Alabama",'TJ List'!J:J)+SUMIF('TJ List'!H:H,"Georgia",'TJ List'!J:J)+SUMIF('TJ List'!H:H,"South Carolina",'TJ List'!J:J)+SUMIF('TJ List'!H:H,"Florida",'TJ List'!J:J)+SUMIF('TJ List'!H:H,"Hawaii",'TJ List'!J:J))/(COUNTIF('TJ List'!H:H,"California")+COUNTIF('TJ List'!H:H,"Arizona")+COUNTIF('TJ List'!H:H,"New Mexico")+COUNTIF('TJ List'!H:H,"Texas")+COUNTIF('TJ List'!H:H,"Louisiana")+COUNTIF('TJ List'!H:H,"Mississippi")+COUNTIF('TJ List'!H:H,"Alabama")+COUNTIF('TJ List'!H:H,"Georgia")+COUNTIF('TJ List'!H:H,"South Carolina")+COUNTIF('TJ List'!H:H,"Florida")+COUNTIF('TJ List'!H:H,"Hawaii"))
</f>
        <v>23.68679245</v>
      </c>
      <c r="E2" s="4" t="s">
        <v>449</v>
      </c>
      <c r="F2" s="11">
        <v>1.0</v>
      </c>
      <c r="G2" s="11">
        <v>1.0</v>
      </c>
      <c r="H2" s="14">
        <f>COUNTIF('TJ List'!H:H,E2)</f>
        <v>16</v>
      </c>
      <c r="I2" s="142">
        <f>COUNTIFS('TJ List'!H:H,E2,'TJ List'!E:E,"P")</f>
        <v>14</v>
      </c>
      <c r="J2" s="143">
        <v>4779736.0</v>
      </c>
      <c r="W2" s="4"/>
      <c r="X2" s="140"/>
    </row>
    <row r="3">
      <c r="A3" s="4" t="s">
        <v>3109</v>
      </c>
      <c r="B3" s="14">
        <f>COUNTIF('TJ List'!G:G,"United States")-B2</f>
        <v>516</v>
      </c>
      <c r="C3" s="80">
        <f>(SUM('TJ List'!J:J)-(B2*C2)-(B4*C4))/B3</f>
        <v>23.58633084</v>
      </c>
      <c r="E3" s="4" t="s">
        <v>600</v>
      </c>
      <c r="F3" s="11">
        <v>1.0</v>
      </c>
      <c r="G3" s="11">
        <v>0.0</v>
      </c>
      <c r="H3" s="14">
        <f>COUNTIF('TJ List'!H:H,E3)</f>
        <v>1</v>
      </c>
      <c r="I3" s="142">
        <f>COUNTIFS('TJ List'!H:H,E3,'TJ List'!E:E,"P")</f>
        <v>1</v>
      </c>
      <c r="J3" s="143">
        <v>710231.0</v>
      </c>
      <c r="W3" s="4"/>
      <c r="X3" s="140"/>
    </row>
    <row r="4">
      <c r="A4" s="4" t="s">
        <v>3110</v>
      </c>
      <c r="B4" s="14">
        <f>COUNTIF('TJ List'!G:G,"&lt;&gt;United States")</f>
        <v>300</v>
      </c>
      <c r="C4" s="80">
        <f>AVERAGEIF('TJ List'!G:G,"&lt;&gt;United States",'TJ List'!J:J)</f>
        <v>23.40484429</v>
      </c>
      <c r="E4" s="4" t="s">
        <v>279</v>
      </c>
      <c r="F4" s="11">
        <v>1.0</v>
      </c>
      <c r="G4" s="11">
        <v>1.0</v>
      </c>
      <c r="H4" s="14">
        <f>COUNTIF('TJ List'!H:H,E4)</f>
        <v>22</v>
      </c>
      <c r="I4" s="142">
        <f>COUNTIFS('TJ List'!H:H,E4,'TJ List'!E:E,"P")</f>
        <v>19</v>
      </c>
      <c r="J4" s="143">
        <v>6392017.0</v>
      </c>
      <c r="W4" s="4"/>
      <c r="X4" s="140"/>
    </row>
    <row r="5">
      <c r="B5" s="14"/>
      <c r="C5" s="14"/>
      <c r="E5" s="4" t="s">
        <v>308</v>
      </c>
      <c r="F5" s="11">
        <v>1.0</v>
      </c>
      <c r="G5" s="11">
        <v>0.0</v>
      </c>
      <c r="H5" s="14">
        <f>COUNTIF('TJ List'!H:H,E5)</f>
        <v>5</v>
      </c>
      <c r="I5" s="142">
        <f>COUNTIFS('TJ List'!H:H,E5,'TJ List'!E:E,"P")</f>
        <v>4</v>
      </c>
      <c r="J5" s="143">
        <v>2915918.0</v>
      </c>
      <c r="W5" s="4"/>
      <c r="X5" s="140"/>
    </row>
    <row r="6">
      <c r="A6" s="1" t="s">
        <v>3111</v>
      </c>
      <c r="B6" s="2" t="s">
        <v>18</v>
      </c>
      <c r="C6" s="2" t="s">
        <v>19</v>
      </c>
      <c r="E6" s="4" t="s">
        <v>92</v>
      </c>
      <c r="F6" s="11">
        <v>1.0</v>
      </c>
      <c r="G6" s="11">
        <v>1.0</v>
      </c>
      <c r="H6" s="14">
        <f>COUNTIF('TJ List'!H:H,E6)</f>
        <v>197</v>
      </c>
      <c r="I6" s="142">
        <f>COUNTIFS('TJ List'!H:H,E6,'TJ List'!E:E,"P")</f>
        <v>173</v>
      </c>
      <c r="J6" s="143">
        <v>3.7253956E7</v>
      </c>
      <c r="W6" s="4"/>
      <c r="X6" s="140"/>
    </row>
    <row r="7">
      <c r="A7" s="4" t="s">
        <v>66</v>
      </c>
      <c r="B7" s="142">
        <f>SUMIFS('TJ List'!P:P,'TJ List'!E:E,"P")</f>
        <v>61272</v>
      </c>
      <c r="C7" s="142">
        <f>SUMIFS('TJ List'!Q:Q,'TJ List'!E:E,"P")</f>
        <v>134075.994</v>
      </c>
      <c r="E7" s="4" t="s">
        <v>341</v>
      </c>
      <c r="F7" s="11">
        <v>1.0</v>
      </c>
      <c r="G7" s="11">
        <v>0.0</v>
      </c>
      <c r="H7" s="14">
        <f>COUNTIF('TJ List'!H:H,E7)</f>
        <v>13</v>
      </c>
      <c r="I7" s="142">
        <f>COUNTIFS('TJ List'!H:H,E7,'TJ List'!E:E,"P")</f>
        <v>13</v>
      </c>
      <c r="J7" s="143">
        <v>5029196.0</v>
      </c>
      <c r="K7" s="60"/>
      <c r="L7" s="4"/>
      <c r="M7" s="4"/>
      <c r="N7" s="4" t="s">
        <v>52</v>
      </c>
      <c r="O7" t="str">
        <f>SUMIFS(#REF!,'TJ List'!E:E,"P")</f>
        <v>#N/A</v>
      </c>
      <c r="P7" t="str">
        <f>SUMIFS(#REF!,'TJ List'!E:E,"P")</f>
        <v>#N/A</v>
      </c>
      <c r="W7" s="4"/>
      <c r="X7" s="140"/>
    </row>
    <row r="8">
      <c r="A8" s="4" t="s">
        <v>3112</v>
      </c>
      <c r="B8" s="144">
        <f>SUM('TJ List'!P:P)-B7</f>
        <v>26622</v>
      </c>
      <c r="C8" s="144">
        <f>SUM('TJ List'!Q:Q)-C7</f>
        <v>96558</v>
      </c>
      <c r="E8" s="4" t="s">
        <v>154</v>
      </c>
      <c r="F8" s="11">
        <v>1.0</v>
      </c>
      <c r="G8" s="11">
        <v>0.0</v>
      </c>
      <c r="H8" s="14">
        <f>COUNTIF('TJ List'!H:H,E8)</f>
        <v>14</v>
      </c>
      <c r="I8" s="142">
        <f>COUNTIFS('TJ List'!H:H,E8,'TJ List'!E:E,"P")</f>
        <v>12</v>
      </c>
      <c r="J8" s="143">
        <v>3574097.0</v>
      </c>
      <c r="K8" s="60"/>
      <c r="L8" s="4"/>
      <c r="M8" s="4"/>
      <c r="N8" s="4" t="s">
        <v>3113</v>
      </c>
      <c r="O8" t="str">
        <f>SUMIFS(#REF!,'TJ List'!E:E,"&lt;&gt;P")</f>
        <v>#N/A</v>
      </c>
      <c r="P8" t="str">
        <f>SUMIFS(#REF!,'TJ List'!E:E,"&lt;&gt;P")</f>
        <v>#N/A</v>
      </c>
      <c r="W8" s="4"/>
      <c r="X8" s="140"/>
    </row>
    <row r="9">
      <c r="B9" s="14"/>
      <c r="C9" s="14"/>
      <c r="E9" s="4" t="s">
        <v>2716</v>
      </c>
      <c r="F9" s="11">
        <v>0.0</v>
      </c>
      <c r="G9" s="11">
        <v>0.0</v>
      </c>
      <c r="H9" s="14">
        <f>COUNTIF('TJ List'!H:H,E9)</f>
        <v>1</v>
      </c>
      <c r="I9" s="142">
        <f>COUNTIFS('TJ List'!H:H,E9,'TJ List'!E:E,"P")</f>
        <v>1</v>
      </c>
      <c r="J9" s="143">
        <v>897934.0</v>
      </c>
      <c r="W9" s="4"/>
      <c r="X9" s="140"/>
    </row>
    <row r="10">
      <c r="A10" s="1"/>
      <c r="B10" s="2"/>
      <c r="C10" s="14"/>
      <c r="E10" s="4" t="s">
        <v>260</v>
      </c>
      <c r="F10" s="11">
        <v>1.0</v>
      </c>
      <c r="G10" s="11">
        <v>0.0</v>
      </c>
      <c r="H10" s="14">
        <f>COUNTIF('TJ List'!H:H,E10)</f>
        <v>99</v>
      </c>
      <c r="I10" s="142">
        <f>COUNTIFS('TJ List'!H:H,E10,'TJ List'!E:E,"P")</f>
        <v>90</v>
      </c>
      <c r="J10" s="143">
        <v>1.880131E7</v>
      </c>
      <c r="K10" s="60"/>
      <c r="L10" s="4"/>
      <c r="M10" s="4"/>
      <c r="N10" s="4" t="s">
        <v>35</v>
      </c>
      <c r="O10" s="54" t="s">
        <v>3115</v>
      </c>
      <c r="P10" s="18"/>
      <c r="Q10" s="4" t="s">
        <v>37</v>
      </c>
      <c r="R10" s="4"/>
      <c r="S10" s="4"/>
      <c r="W10" s="4"/>
      <c r="X10" s="140"/>
    </row>
    <row r="11">
      <c r="B11" s="14"/>
      <c r="C11" s="14"/>
      <c r="E11" s="4" t="s">
        <v>99</v>
      </c>
      <c r="F11" s="11">
        <v>1.0</v>
      </c>
      <c r="G11" s="11">
        <v>0.0</v>
      </c>
      <c r="H11" s="14">
        <f>COUNTIF('TJ List'!H:H,E11)</f>
        <v>36</v>
      </c>
      <c r="I11" s="142">
        <f>COUNTIFS('TJ List'!H:H,E11,'TJ List'!E:E,"P")</f>
        <v>34</v>
      </c>
      <c r="J11" s="143">
        <v>9687653.0</v>
      </c>
      <c r="K11" s="60"/>
      <c r="L11" s="4"/>
      <c r="M11" s="4"/>
      <c r="N11" s="4">
        <v>1.0</v>
      </c>
      <c r="O11" s="145" t="str">
        <f>COUNTIFS(#REF!,"&gt;="&amp;N11,'TJ List'!D:D,"MLB",'TJ List'!E:E,"P",'TJ List'!S:S,"&lt;=1999")/COUNTIFS('TJ List'!D:D,"MLB",'TJ List'!E:E,"P",'TJ List'!S:S,"&lt;=1999")</f>
        <v>#VALUE!</v>
      </c>
      <c r="P11" s="145" t="str">
        <f>COUNTIFS(#REF!,"&gt;="&amp;Q11,'TJ List'!D:D,"MLB",'TJ List'!E:E,"P",'TJ List'!S:S,"&lt;=1999")/COUNTIFS('TJ List'!D:D,"MLB",'TJ List'!E:E,"P",'TJ List'!S:S,"&lt;=1999")</f>
        <v>#VALUE!</v>
      </c>
      <c r="Q11" s="4">
        <f t="shared" ref="Q11:Q14" si="1">N11*5</f>
        <v>5</v>
      </c>
      <c r="R11" s="4"/>
      <c r="T11" t="str">
        <f>COUNTIFS(#REF!,1,'TJ List'!D:D,"MLB",'TJ List'!E:E,"P",'TJ List'!S:S,"&lt;=1999")</f>
        <v>#VALUE!</v>
      </c>
      <c r="U11" s="4" t="s">
        <v>3117</v>
      </c>
      <c r="W11" s="4"/>
      <c r="X11" s="140"/>
    </row>
    <row r="12">
      <c r="B12" s="14"/>
      <c r="C12" s="14"/>
      <c r="E12" s="4" t="s">
        <v>1312</v>
      </c>
      <c r="F12" s="11">
        <v>0.0</v>
      </c>
      <c r="G12" s="11">
        <v>0.0</v>
      </c>
      <c r="H12" s="14">
        <f>COUNTIF('TJ List'!H:H,E12)</f>
        <v>8</v>
      </c>
      <c r="I12" s="142">
        <f>COUNTIFS('TJ List'!H:H,E12,'TJ List'!E:E,"P")</f>
        <v>8</v>
      </c>
      <c r="J12" s="143">
        <v>1360301.0</v>
      </c>
      <c r="K12" s="60"/>
      <c r="L12" s="4"/>
      <c r="M12" s="4"/>
      <c r="N12" s="4">
        <v>10.0</v>
      </c>
      <c r="O12" s="145" t="str">
        <f>COUNTIFS(#REF!,"&gt;="&amp;N12,'TJ List'!D:D,"MLB",'TJ List'!E:E,"P",'TJ List'!S:S,"&lt;=1999")/COUNTIFS('TJ List'!D:D,"MLB",'TJ List'!E:E,"P",'TJ List'!S:S,"&lt;=1999")</f>
        <v>#VALUE!</v>
      </c>
      <c r="P12" s="145" t="str">
        <f>COUNTIFS(#REF!,"&gt;="&amp;Q12,'TJ List'!D:D,"MLB",'TJ List'!E:E,"P",'TJ List'!S:S,"&lt;=1999")/COUNTIFS('TJ List'!D:D,"MLB",'TJ List'!E:E,"P",'TJ List'!S:S,"&lt;=1999")</f>
        <v>#VALUE!</v>
      </c>
      <c r="Q12" s="4">
        <f t="shared" si="1"/>
        <v>50</v>
      </c>
      <c r="R12" s="4"/>
      <c r="T12">
        <f>COUNTIFS('TJ List'!D:D,"MLB",'TJ List'!E:E,"P",'TJ List'!S:S,"&lt;=1999")</f>
        <v>70</v>
      </c>
      <c r="U12" s="4" t="s">
        <v>3119</v>
      </c>
      <c r="W12" s="4"/>
      <c r="X12" s="140"/>
    </row>
    <row r="13">
      <c r="B13" s="14"/>
      <c r="C13" s="14"/>
      <c r="E13" s="4" t="s">
        <v>842</v>
      </c>
      <c r="F13" s="11">
        <v>1.0</v>
      </c>
      <c r="G13" s="11">
        <v>0.0</v>
      </c>
      <c r="H13" s="14">
        <f>COUNTIF('TJ List'!H:H,E13)</f>
        <v>2</v>
      </c>
      <c r="I13" s="142">
        <f>COUNTIFS('TJ List'!H:H,E13,'TJ List'!E:E,"P")</f>
        <v>2</v>
      </c>
      <c r="J13" s="143">
        <v>1567582.0</v>
      </c>
      <c r="K13" s="60"/>
      <c r="L13" s="4"/>
      <c r="M13" s="4"/>
      <c r="N13" s="4">
        <v>20.0</v>
      </c>
      <c r="O13" s="145" t="str">
        <f>COUNTIFS(#REF!,"&gt;="&amp;N13,'TJ List'!D:D,"MLB",'TJ List'!E:E,"P",'TJ List'!S:S,"&lt;=1999")/COUNTIFS('TJ List'!D:D,"MLB",'TJ List'!E:E,"P",'TJ List'!S:S,"&lt;=1999")</f>
        <v>#VALUE!</v>
      </c>
      <c r="P13" s="145" t="str">
        <f>COUNTIFS(#REF!,"&gt;="&amp;Q13,'TJ List'!D:D,"MLB",'TJ List'!E:E,"P",'TJ List'!S:S,"&lt;=1999")/COUNTIFS('TJ List'!D:D,"MLB",'TJ List'!E:E,"P",'TJ List'!S:S,"&lt;=1999")</f>
        <v>#VALUE!</v>
      </c>
      <c r="Q13" s="4">
        <f t="shared" si="1"/>
        <v>100</v>
      </c>
      <c r="R13" s="4"/>
      <c r="W13" s="4"/>
      <c r="X13" s="140"/>
    </row>
    <row r="14">
      <c r="B14" s="14"/>
      <c r="C14" s="14"/>
      <c r="E14" s="4" t="s">
        <v>344</v>
      </c>
      <c r="F14" s="11">
        <v>1.0</v>
      </c>
      <c r="G14" s="11">
        <v>0.0</v>
      </c>
      <c r="H14" s="14">
        <f>COUNTIF('TJ List'!H:H,E14)</f>
        <v>39</v>
      </c>
      <c r="I14" s="142">
        <f>COUNTIFS('TJ List'!H:H,E14,'TJ List'!E:E,"P")</f>
        <v>38</v>
      </c>
      <c r="J14" s="143">
        <v>1.2830632E7</v>
      </c>
      <c r="K14" s="60"/>
      <c r="L14" s="4"/>
      <c r="M14" s="4"/>
      <c r="N14" s="4">
        <v>30.0</v>
      </c>
      <c r="O14" s="145" t="str">
        <f>COUNTIFS(#REF!,"&gt;="&amp;N14,'TJ List'!D:D,"MLB",'TJ List'!E:E,"P",'TJ List'!S:S,"&lt;=1999")/COUNTIFS('TJ List'!D:D,"MLB",'TJ List'!E:E,"P",'TJ List'!S:S,"&lt;=1999")</f>
        <v>#VALUE!</v>
      </c>
      <c r="P14" s="145" t="str">
        <f>COUNTIFS(#REF!,"&gt;="&amp;Q14,'TJ List'!D:D,"MLB",'TJ List'!E:E,"P",'TJ List'!S:S,"&lt;=1999")/COUNTIFS('TJ List'!D:D,"MLB",'TJ List'!E:E,"P",'TJ List'!S:S,"&lt;=1999")</f>
        <v>#VALUE!</v>
      </c>
      <c r="Q14" s="4">
        <f t="shared" si="1"/>
        <v>150</v>
      </c>
      <c r="R14" s="4"/>
      <c r="W14" s="4"/>
      <c r="X14" s="140"/>
    </row>
    <row r="15">
      <c r="B15" s="14"/>
      <c r="C15" s="14"/>
      <c r="E15" s="4" t="s">
        <v>322</v>
      </c>
      <c r="F15" s="11">
        <v>1.0</v>
      </c>
      <c r="G15" s="11">
        <v>0.0</v>
      </c>
      <c r="H15" s="14">
        <f>COUNTIF('TJ List'!H:H,E15)</f>
        <v>16</v>
      </c>
      <c r="I15" s="142">
        <f>COUNTIFS('TJ List'!H:H,E15,'TJ List'!E:E,"P")</f>
        <v>16</v>
      </c>
      <c r="J15" s="143">
        <v>6483802.0</v>
      </c>
      <c r="K15" s="60"/>
      <c r="L15" s="4"/>
      <c r="M15" s="4"/>
      <c r="N15" s="4">
        <v>40.0</v>
      </c>
      <c r="O15" s="145" t="str">
        <f>COUNTIFS(#REF!,"&gt;="&amp;N15,'TJ List'!D:D,"MLB",'TJ List'!E:E,"P",'TJ List'!S:S,"&lt;=1999")/COUNTIFS('TJ List'!D:D,"MLB",'TJ List'!E:E,"P",'TJ List'!S:S,"&lt;=1999")</f>
        <v>#VALUE!</v>
      </c>
      <c r="P15" s="145" t="str">
        <f>COUNTIFS(#REF!,"&gt;="&amp;Q15,'TJ List'!D:D,"MLB",'TJ List'!E:E,"P",'TJ List'!S:S,"&lt;=1999")/COUNTIFS('TJ List'!D:D,"MLB",'TJ List'!E:E,"P",'TJ List'!S:S,"&lt;=1999")</f>
        <v>#VALUE!</v>
      </c>
      <c r="Q15" s="4">
        <v>200.0</v>
      </c>
      <c r="R15" s="4"/>
      <c r="W15" s="4"/>
      <c r="X15" s="140"/>
    </row>
    <row r="16">
      <c r="B16" s="14"/>
      <c r="C16" s="14"/>
      <c r="E16" s="4" t="s">
        <v>55</v>
      </c>
      <c r="F16" s="11">
        <v>1.0</v>
      </c>
      <c r="G16" s="11">
        <v>1.0</v>
      </c>
      <c r="H16" s="14">
        <f>COUNTIF('TJ List'!H:H,E16)</f>
        <v>7</v>
      </c>
      <c r="I16" s="142">
        <f>COUNTIFS('TJ List'!H:H,E16,'TJ List'!E:E,"P")</f>
        <v>7</v>
      </c>
      <c r="J16" s="143">
        <v>3046355.0</v>
      </c>
      <c r="K16" s="60"/>
      <c r="L16" s="4"/>
      <c r="M16" s="4"/>
      <c r="N16" s="4">
        <v>50.0</v>
      </c>
      <c r="O16" s="145" t="str">
        <f>COUNTIFS(#REF!,"&gt;="&amp;N16,'TJ List'!D:D,"MLB",'TJ List'!E:E,"P",'TJ List'!S:S,"&lt;=1999")/COUNTIFS('TJ List'!D:D,"MLB",'TJ List'!E:E,"P",'TJ List'!S:S,"&lt;=1999")</f>
        <v>#VALUE!</v>
      </c>
      <c r="P16" s="145" t="str">
        <f>COUNTIFS(#REF!,"&gt;="&amp;Q16,'TJ List'!D:D,"MLB",'TJ List'!E:E,"P",'TJ List'!S:S,"&lt;=1999")/COUNTIFS('TJ List'!D:D,"MLB",'TJ List'!E:E,"P",'TJ List'!S:S,"&lt;=1999")</f>
        <v>#VALUE!</v>
      </c>
      <c r="Q16" s="4">
        <f t="shared" ref="Q16:Q21" si="2">N16*5</f>
        <v>250</v>
      </c>
      <c r="R16" s="4"/>
      <c r="W16" s="4"/>
      <c r="X16" s="140"/>
    </row>
    <row r="17">
      <c r="B17" s="14"/>
      <c r="C17" s="14"/>
      <c r="E17" s="4" t="s">
        <v>250</v>
      </c>
      <c r="F17" s="11">
        <v>1.0</v>
      </c>
      <c r="G17" s="11">
        <v>0.0</v>
      </c>
      <c r="H17" s="14">
        <f>COUNTIF('TJ List'!H:H,E17)</f>
        <v>12</v>
      </c>
      <c r="I17" s="142">
        <f>COUNTIFS('TJ List'!H:H,E17,'TJ List'!E:E,"P")</f>
        <v>12</v>
      </c>
      <c r="J17" s="143">
        <v>2853118.0</v>
      </c>
      <c r="K17" s="60"/>
      <c r="L17" s="4"/>
      <c r="M17" s="4"/>
      <c r="N17" s="4">
        <v>60.0</v>
      </c>
      <c r="O17" s="145" t="str">
        <f>COUNTIFS(#REF!,"&gt;="&amp;N17,'TJ List'!D:D,"MLB",'TJ List'!E:E,"P",'TJ List'!S:S,"&lt;=1999")/COUNTIFS('TJ List'!D:D,"MLB",'TJ List'!E:E,"P",'TJ List'!S:S,"&lt;=1999")</f>
        <v>#VALUE!</v>
      </c>
      <c r="P17" s="145" t="str">
        <f>COUNTIFS(#REF!,"&gt;="&amp;Q17,'TJ List'!D:D,"MLB",'TJ List'!E:E,"P",'TJ List'!S:S,"&lt;=1999")/COUNTIFS('TJ List'!D:D,"MLB",'TJ List'!E:E,"P",'TJ List'!S:S,"&lt;=1999")</f>
        <v>#VALUE!</v>
      </c>
      <c r="Q17" s="4">
        <f t="shared" si="2"/>
        <v>300</v>
      </c>
      <c r="R17" s="4"/>
      <c r="W17" s="4"/>
      <c r="X17" s="140"/>
    </row>
    <row r="18">
      <c r="B18" s="14"/>
      <c r="C18" s="14"/>
      <c r="E18" s="4" t="s">
        <v>476</v>
      </c>
      <c r="F18" s="11">
        <v>1.0</v>
      </c>
      <c r="G18" s="11">
        <v>1.0</v>
      </c>
      <c r="H18" s="14">
        <f>COUNTIF('TJ List'!H:H,E18)</f>
        <v>15</v>
      </c>
      <c r="I18" s="142">
        <f>COUNTIFS('TJ List'!H:H,E18,'TJ List'!E:E,"P")</f>
        <v>15</v>
      </c>
      <c r="J18" s="143">
        <v>4339367.0</v>
      </c>
      <c r="K18" s="60"/>
      <c r="L18" s="4"/>
      <c r="M18" s="4"/>
      <c r="N18" s="4">
        <v>70.0</v>
      </c>
      <c r="O18" s="145" t="str">
        <f>COUNTIFS(#REF!,"&gt;="&amp;N18,'TJ List'!D:D,"MLB",'TJ List'!E:E,"P",'TJ List'!S:S,"&lt;=1999")/COUNTIFS('TJ List'!D:D,"MLB",'TJ List'!E:E,"P",'TJ List'!S:S,"&lt;=1999")</f>
        <v>#VALUE!</v>
      </c>
      <c r="P18" s="145" t="str">
        <f>COUNTIFS(#REF!,"&gt;="&amp;Q18,'TJ List'!D:D,"MLB",'TJ List'!E:E,"P",'TJ List'!S:S,"&lt;=1999")/COUNTIFS('TJ List'!D:D,"MLB",'TJ List'!E:E,"P",'TJ List'!S:S,"&lt;=1999")</f>
        <v>#VALUE!</v>
      </c>
      <c r="Q18" s="4">
        <f t="shared" si="2"/>
        <v>350</v>
      </c>
      <c r="R18" s="4"/>
      <c r="W18" s="4"/>
      <c r="X18" s="140"/>
    </row>
    <row r="19">
      <c r="B19" s="14"/>
      <c r="C19" s="14"/>
      <c r="E19" s="4" t="s">
        <v>126</v>
      </c>
      <c r="F19" s="11">
        <v>1.0</v>
      </c>
      <c r="G19" s="11">
        <v>0.0</v>
      </c>
      <c r="H19" s="14">
        <f>COUNTIF('TJ List'!H:H,E19)</f>
        <v>16</v>
      </c>
      <c r="I19" s="142">
        <f>COUNTIFS('TJ List'!H:H,E19,'TJ List'!E:E,"P")</f>
        <v>15</v>
      </c>
      <c r="J19" s="143">
        <v>4533372.0</v>
      </c>
      <c r="K19" s="60"/>
      <c r="L19" s="4"/>
      <c r="M19" s="4"/>
      <c r="N19" s="4">
        <v>80.0</v>
      </c>
      <c r="O19" s="145" t="str">
        <f>COUNTIFS(#REF!,"&gt;="&amp;N19,'TJ List'!D:D,"MLB",'TJ List'!E:E,"P",'TJ List'!S:S,"&lt;=1999")/COUNTIFS('TJ List'!D:D,"MLB",'TJ List'!E:E,"P",'TJ List'!S:S,"&lt;=1999")</f>
        <v>#VALUE!</v>
      </c>
      <c r="P19" s="145" t="str">
        <f>COUNTIFS(#REF!,"&gt;="&amp;Q19,'TJ List'!D:D,"MLB",'TJ List'!E:E,"P",'TJ List'!S:S,"&lt;=1999")/COUNTIFS('TJ List'!D:D,"MLB",'TJ List'!E:E,"P",'TJ List'!S:S,"&lt;=1999")</f>
        <v>#VALUE!</v>
      </c>
      <c r="Q19" s="4">
        <f t="shared" si="2"/>
        <v>400</v>
      </c>
      <c r="R19" s="4"/>
      <c r="W19" s="4"/>
      <c r="X19" s="140"/>
    </row>
    <row r="20">
      <c r="B20" s="14"/>
      <c r="C20" s="14"/>
      <c r="E20" s="4" t="s">
        <v>2014</v>
      </c>
      <c r="F20" s="11">
        <v>1.0</v>
      </c>
      <c r="G20" s="11">
        <v>1.0</v>
      </c>
      <c r="H20" s="14">
        <f>COUNTIF('TJ List'!H:H,E20)</f>
        <v>2</v>
      </c>
      <c r="I20" s="142">
        <f>COUNTIFS('TJ List'!H:H,E20,'TJ List'!E:E,"P")</f>
        <v>2</v>
      </c>
      <c r="J20" s="143">
        <v>1328361.0</v>
      </c>
      <c r="K20" s="60"/>
      <c r="L20" s="4"/>
      <c r="M20" s="4"/>
      <c r="N20" s="4">
        <v>90.0</v>
      </c>
      <c r="O20" s="145" t="str">
        <f>COUNTIFS(#REF!,"&gt;="&amp;N20,'TJ List'!D:D,"MLB",'TJ List'!E:E,"P",'TJ List'!S:S,"&lt;=1999")/COUNTIFS('TJ List'!D:D,"MLB",'TJ List'!E:E,"P",'TJ List'!S:S,"&lt;=1999")</f>
        <v>#VALUE!</v>
      </c>
      <c r="P20" s="145" t="str">
        <f>COUNTIFS(#REF!,"&gt;="&amp;Q20,'TJ List'!D:D,"MLB",'TJ List'!E:E,"P",'TJ List'!S:S,"&lt;=1999")/COUNTIFS('TJ List'!D:D,"MLB",'TJ List'!E:E,"P",'TJ List'!S:S,"&lt;=1999")</f>
        <v>#VALUE!</v>
      </c>
      <c r="Q20" s="4">
        <f t="shared" si="2"/>
        <v>450</v>
      </c>
      <c r="R20" s="4"/>
      <c r="W20" s="4"/>
      <c r="X20" s="140"/>
    </row>
    <row r="21">
      <c r="B21" s="14"/>
      <c r="C21" s="14"/>
      <c r="E21" s="4" t="s">
        <v>251</v>
      </c>
      <c r="F21" s="11">
        <v>1.0</v>
      </c>
      <c r="G21" s="11">
        <v>0.0</v>
      </c>
      <c r="H21" s="14">
        <f>COUNTIF('TJ List'!H:H,E21)</f>
        <v>18</v>
      </c>
      <c r="I21" s="142">
        <f>COUNTIFS('TJ List'!H:H,E21,'TJ List'!E:E,"P")</f>
        <v>17</v>
      </c>
      <c r="J21" s="143">
        <v>5773552.0</v>
      </c>
      <c r="K21" s="60"/>
      <c r="L21" s="4"/>
      <c r="M21" s="4"/>
      <c r="N21" s="4">
        <v>100.0</v>
      </c>
      <c r="O21" s="145" t="str">
        <f>COUNTIFS(#REF!,"&gt;="&amp;N21,'TJ List'!D:D,"MLB",'TJ List'!E:E,"P",'TJ List'!S:S,"&lt;=1999")/COUNTIFS('TJ List'!D:D,"MLB",'TJ List'!E:E,"P",'TJ List'!S:S,"&lt;=1999")</f>
        <v>#VALUE!</v>
      </c>
      <c r="P21" s="145" t="str">
        <f>COUNTIFS(#REF!,"&gt;="&amp;Q21,'TJ List'!D:D,"MLB",'TJ List'!E:E,"P",'TJ List'!S:S,"&lt;=1999")/COUNTIFS('TJ List'!D:D,"MLB",'TJ List'!E:E,"P",'TJ List'!S:S,"&lt;=1999")</f>
        <v>#VALUE!</v>
      </c>
      <c r="Q21" s="4">
        <f t="shared" si="2"/>
        <v>500</v>
      </c>
      <c r="R21" s="4"/>
      <c r="W21" s="4"/>
      <c r="X21" s="140"/>
    </row>
    <row r="22">
      <c r="B22" s="14"/>
      <c r="C22" s="14"/>
      <c r="E22" s="4" t="s">
        <v>337</v>
      </c>
      <c r="F22" s="11">
        <v>0.0</v>
      </c>
      <c r="G22" s="11">
        <v>0.0</v>
      </c>
      <c r="H22" s="14">
        <f>COUNTIF('TJ List'!H:H,E22)</f>
        <v>17</v>
      </c>
      <c r="I22" s="142">
        <f>COUNTIFS('TJ List'!H:H,E22,'TJ List'!E:E,"P")</f>
        <v>17</v>
      </c>
      <c r="J22" s="143">
        <v>6547629.0</v>
      </c>
      <c r="W22" s="4"/>
      <c r="X22" s="140"/>
    </row>
    <row r="23">
      <c r="B23" s="14"/>
      <c r="C23" s="14"/>
      <c r="E23" s="4" t="s">
        <v>597</v>
      </c>
      <c r="F23" s="11">
        <v>1.0</v>
      </c>
      <c r="G23" s="11">
        <v>1.0</v>
      </c>
      <c r="H23" s="14">
        <f>COUNTIF('TJ List'!H:H,E23)</f>
        <v>17</v>
      </c>
      <c r="I23" s="142">
        <f>COUNTIFS('TJ List'!H:H,E23,'TJ List'!E:E,"P")</f>
        <v>17</v>
      </c>
      <c r="J23" s="143">
        <v>9883640.0</v>
      </c>
      <c r="K23" s="60"/>
      <c r="L23" s="4" t="s">
        <v>3126</v>
      </c>
      <c r="M23" s="4" t="s">
        <v>24</v>
      </c>
      <c r="N23" s="4" t="s">
        <v>35</v>
      </c>
      <c r="O23" s="54" t="s">
        <v>3127</v>
      </c>
      <c r="P23" s="18"/>
      <c r="Q23" s="4" t="s">
        <v>37</v>
      </c>
      <c r="R23" s="4" t="s">
        <v>24</v>
      </c>
      <c r="S23" s="4" t="s">
        <v>3126</v>
      </c>
      <c r="W23" s="4"/>
      <c r="X23" s="140"/>
    </row>
    <row r="24">
      <c r="B24" s="14"/>
      <c r="C24" s="14"/>
      <c r="E24" s="4" t="s">
        <v>232</v>
      </c>
      <c r="F24" s="11">
        <v>1.0</v>
      </c>
      <c r="G24" s="11">
        <v>0.0</v>
      </c>
      <c r="H24" s="14">
        <f>COUNTIF('TJ List'!H:H,E24)</f>
        <v>8</v>
      </c>
      <c r="I24" s="142">
        <f>COUNTIFS('TJ List'!H:H,E24,'TJ List'!E:E,"P")</f>
        <v>7</v>
      </c>
      <c r="J24" s="143">
        <v>5303925.0</v>
      </c>
      <c r="K24" s="145"/>
      <c r="L24" s="146" t="str">
        <f>(COUNTIFS(#REF!,"&gt;="&amp;N24,'TJ List'!D:D,"MLB",'TJ List'!E:E,"P",'TJ List'!S:S,"&gt;=2000",'TJ List'!S:S,"&lt;=2009")+($T$24-M24))/COUNTIFS('TJ List'!D:D,"MLB",'TJ List'!E:E,"P",'TJ List'!S:S,"&gt;=2000",'TJ List'!S:S,"&lt;=2009")</f>
        <v>#VALUE!</v>
      </c>
      <c r="M24" s="4" t="str">
        <f>COUNTIFS(#REF!,"&gt;="&amp;N24,'TJ List'!D:D,"MLB",'TJ List'!E:E,"P",'TJ List'!S:S,"&gt;=2000",'TJ List'!S:S,"&lt;=2009",#REF!,1)</f>
        <v>#VALUE!</v>
      </c>
      <c r="N24" s="4">
        <v>1.0</v>
      </c>
      <c r="O24" s="145" t="str">
        <f>COUNTIFS(#REF!,"&gt;="&amp;N24,'TJ List'!D:D,"MLB",'TJ List'!E:E,"P",'TJ List'!S:S,"&gt;=2000",'TJ List'!S:S,"&lt;=2009")/COUNTIFS('TJ List'!D:D,"MLB",'TJ List'!E:E,"P",'TJ List'!S:S,"&gt;=2000",'TJ List'!S:S,"&lt;=2009")</f>
        <v>#VALUE!</v>
      </c>
      <c r="P24" s="145" t="str">
        <f>COUNTIFS(#REF!,"&gt;="&amp;Q24,'TJ List'!D:D,"MLB",'TJ List'!E:E,"P",'TJ List'!S:S,"&gt;=2000",'TJ List'!S:S,"&lt;=2009")/COUNTIFS('TJ List'!D:D,"MLB",'TJ List'!E:E,"P",'TJ List'!S:S,"&gt;=2000",'TJ List'!S:S,"&lt;=2009")</f>
        <v>#VALUE!</v>
      </c>
      <c r="Q24" s="4">
        <f t="shared" ref="Q24:Q25" si="3">N24*5</f>
        <v>5</v>
      </c>
      <c r="R24" t="str">
        <f>COUNTIFS(#REF!,"&gt;="&amp;Q24,'TJ List'!D:D,"MLB",'TJ List'!E:E,"P",'TJ List'!S:S,"&gt;=2000",'TJ List'!S:S,"&lt;=2009",#REF!,1)</f>
        <v>#VALUE!</v>
      </c>
      <c r="S24" s="145" t="str">
        <f>(COUNTIFS(#REF!,"&gt;="&amp;Q24,'TJ List'!D:D,"MLB",'TJ List'!E:E,"P",'TJ List'!S:S,"&gt;=2000",'TJ List'!S:S,"&lt;=2009")+($T$24-R24))/COUNTIFS('TJ List'!D:D,"MLB",'TJ List'!E:E,"P",'TJ List'!S:S,"&gt;=2000",'TJ List'!S:S,"&lt;=2009")</f>
        <v>#VALUE!</v>
      </c>
      <c r="T24" t="str">
        <f>COUNTIFS(#REF!,1,'TJ List'!D:D,"MLB",'TJ List'!E:E,"P",'TJ List'!S:S,"&gt;=2000",'TJ List'!S:S,"&lt;=2009")</f>
        <v>#VALUE!</v>
      </c>
      <c r="U24" s="4" t="s">
        <v>3117</v>
      </c>
      <c r="W24" s="4"/>
      <c r="X24" s="140"/>
    </row>
    <row r="25">
      <c r="B25" s="14"/>
      <c r="C25" s="14"/>
      <c r="E25" s="4" t="s">
        <v>197</v>
      </c>
      <c r="F25" s="11">
        <v>1.0</v>
      </c>
      <c r="G25" s="11">
        <v>0.0</v>
      </c>
      <c r="H25" s="14">
        <f>COUNTIF('TJ List'!H:H,E25)</f>
        <v>10</v>
      </c>
      <c r="I25" s="142">
        <f>COUNTIFS('TJ List'!H:H,E25,'TJ List'!E:E,"P")</f>
        <v>9</v>
      </c>
      <c r="J25" s="143">
        <v>2967297.0</v>
      </c>
      <c r="K25" s="145"/>
      <c r="L25" s="146" t="str">
        <f>(COUNTIFS(#REF!,"&gt;="&amp;N25,'TJ List'!D:D,"MLB",'TJ List'!E:E,"P",'TJ List'!S:S,"&gt;=2000",'TJ List'!S:S,"&lt;=2009")+($T$24-M25))/COUNTIFS('TJ List'!D:D,"MLB",'TJ List'!E:E,"P",'TJ List'!S:S,"&gt;=2000",'TJ List'!S:S,"&lt;=2009")</f>
        <v>#VALUE!</v>
      </c>
      <c r="M25" s="4" t="str">
        <f>COUNTIFS(#REF!,"&gt;="&amp;N25,'TJ List'!D:D,"MLB",'TJ List'!E:E,"P",'TJ List'!S:S,"&gt;=2000",'TJ List'!S:S,"&lt;=2009",#REF!,1)</f>
        <v>#VALUE!</v>
      </c>
      <c r="N25" s="4">
        <v>10.0</v>
      </c>
      <c r="O25" s="145" t="str">
        <f>COUNTIFS(#REF!,"&gt;="&amp;N25,'TJ List'!D:D,"MLB",'TJ List'!E:E,"P",'TJ List'!S:S,"&gt;=2000",'TJ List'!S:S,"&lt;=2009")/COUNTIFS('TJ List'!D:D,"MLB",'TJ List'!E:E,"P",'TJ List'!S:S,"&gt;=2000",'TJ List'!S:S,"&lt;=2009")</f>
        <v>#VALUE!</v>
      </c>
      <c r="P25" s="145" t="str">
        <f>COUNTIFS(#REF!,"&gt;="&amp;Q25,'TJ List'!D:D,"MLB",'TJ List'!E:E,"P",'TJ List'!S:S,"&gt;=2000",'TJ List'!S:S,"&lt;=2009")/COUNTIFS('TJ List'!D:D,"MLB",'TJ List'!E:E,"P",'TJ List'!S:S,"&gt;=2000",'TJ List'!S:S,"&lt;=2009")</f>
        <v>#VALUE!</v>
      </c>
      <c r="Q25" s="4">
        <f t="shared" si="3"/>
        <v>50</v>
      </c>
      <c r="R25" t="str">
        <f>COUNTIFS(#REF!,"&gt;="&amp;Q25,'TJ List'!D:D,"MLB",'TJ List'!E:E,"P",'TJ List'!S:S,"&gt;=2000",'TJ List'!S:S,"&lt;=2009",#REF!,1)</f>
        <v>#VALUE!</v>
      </c>
      <c r="S25" s="145" t="str">
        <f>(COUNTIFS(#REF!,"&gt;="&amp;Q25,'TJ List'!D:D,"MLB",'TJ List'!E:E,"P",'TJ List'!S:S,"&gt;=2000",'TJ List'!S:S,"&lt;=2009")+($T$24-R25))/COUNTIFS('TJ List'!D:D,"MLB",'TJ List'!E:E,"P",'TJ List'!S:S,"&gt;=2000",'TJ List'!S:S,"&lt;=2009")</f>
        <v>#VALUE!</v>
      </c>
      <c r="T25">
        <f>COUNTIFS('TJ List'!D:D,"MLB",'TJ List'!E:E,"P",'TJ List'!S:S,"&gt;=2000",'TJ List'!S:S,"&lt;=2009")</f>
        <v>155</v>
      </c>
      <c r="U25" s="4" t="s">
        <v>3119</v>
      </c>
      <c r="W25" s="4"/>
      <c r="X25" s="140"/>
    </row>
    <row r="26">
      <c r="B26" s="14"/>
      <c r="C26" s="14"/>
      <c r="E26" s="4" t="s">
        <v>244</v>
      </c>
      <c r="F26" s="11">
        <v>1.0</v>
      </c>
      <c r="G26" s="11">
        <v>0.0</v>
      </c>
      <c r="H26" s="14">
        <f>COUNTIF('TJ List'!H:H,E26)</f>
        <v>16</v>
      </c>
      <c r="I26" s="142">
        <f>COUNTIFS('TJ List'!H:H,E26,'TJ List'!E:E,"P")</f>
        <v>16</v>
      </c>
      <c r="J26" s="143">
        <v>5988927.0</v>
      </c>
      <c r="K26" s="145"/>
      <c r="L26" s="146" t="str">
        <f>(COUNTIFS(#REF!,"&gt;="&amp;N26,'TJ List'!D:D,"MLB",'TJ List'!E:E,"P",'TJ List'!S:S,"&gt;=2000",'TJ List'!S:S,"&lt;=2009")+($T$24-M26))/COUNTIFS('TJ List'!D:D,"MLB",'TJ List'!E:E,"P",'TJ List'!S:S,"&gt;=2000",'TJ List'!S:S,"&lt;=2009")</f>
        <v>#VALUE!</v>
      </c>
      <c r="M26" s="4" t="str">
        <f>COUNTIFS(#REF!,"&gt;="&amp;N26,'TJ List'!D:D,"MLB",'TJ List'!E:E,"P",'TJ List'!S:S,"&gt;=2000",'TJ List'!S:S,"&lt;=2009",#REF!,1)</f>
        <v>#VALUE!</v>
      </c>
      <c r="N26" s="4">
        <v>20.0</v>
      </c>
      <c r="O26" s="145" t="str">
        <f>COUNTIFS(#REF!,"&gt;="&amp;N26,'TJ List'!D:D,"MLB",'TJ List'!E:E,"P",'TJ List'!S:S,"&gt;=2000",'TJ List'!S:S,"&lt;=2009")/COUNTIFS('TJ List'!D:D,"MLB",'TJ List'!E:E,"P",'TJ List'!S:S,"&gt;=2000",'TJ List'!S:S,"&lt;=2009")</f>
        <v>#VALUE!</v>
      </c>
      <c r="P26" s="145" t="str">
        <f>COUNTIFS(#REF!,"&gt;="&amp;Q26,'TJ List'!D:D,"MLB",'TJ List'!E:E,"P",'TJ List'!S:S,"&gt;=2000",'TJ List'!S:S,"&lt;=2009")/COUNTIFS('TJ List'!D:D,"MLB",'TJ List'!E:E,"P",'TJ List'!S:S,"&gt;=2000",'TJ List'!S:S,"&lt;=2009")</f>
        <v>#VALUE!</v>
      </c>
      <c r="Q26" s="4">
        <v>100.0</v>
      </c>
      <c r="R26" t="str">
        <f>COUNTIFS(#REF!,"&gt;="&amp;Q26,'TJ List'!D:D,"MLB",'TJ List'!E:E,"P",'TJ List'!S:S,"&gt;=2000",'TJ List'!S:S,"&lt;=2009",#REF!,1)</f>
        <v>#VALUE!</v>
      </c>
      <c r="S26" s="145" t="str">
        <f>(COUNTIFS(#REF!,"&gt;="&amp;Q26,'TJ List'!D:D,"MLB",'TJ List'!E:E,"P",'TJ List'!S:S,"&gt;=2000",'TJ List'!S:S,"&lt;=2009")+($T$24-R26))/COUNTIFS('TJ List'!D:D,"MLB",'TJ List'!E:E,"P",'TJ List'!S:S,"&gt;=2000",'TJ List'!S:S,"&lt;=2009")</f>
        <v>#VALUE!</v>
      </c>
      <c r="W26" s="4"/>
      <c r="X26" s="140"/>
    </row>
    <row r="27">
      <c r="B27" s="14"/>
      <c r="C27" s="14"/>
      <c r="E27" s="4" t="s">
        <v>1404</v>
      </c>
      <c r="F27" s="11">
        <v>0.0</v>
      </c>
      <c r="G27" s="11">
        <v>0.0</v>
      </c>
      <c r="H27" s="14">
        <f>COUNTIF('TJ List'!H:H,E27)</f>
        <v>2</v>
      </c>
      <c r="I27" s="142">
        <f>COUNTIFS('TJ List'!H:H,E27,'TJ List'!E:E,"P")</f>
        <v>2</v>
      </c>
      <c r="J27" s="143">
        <v>989415.0</v>
      </c>
      <c r="K27" s="145"/>
      <c r="L27" s="146" t="str">
        <f>(COUNTIFS(#REF!,"&gt;="&amp;N27,'TJ List'!D:D,"MLB",'TJ List'!E:E,"P",'TJ List'!S:S,"&gt;=2000",'TJ List'!S:S,"&lt;=2009")+($T$24-M27))/COUNTIFS('TJ List'!D:D,"MLB",'TJ List'!E:E,"P",'TJ List'!S:S,"&gt;=2000",'TJ List'!S:S,"&lt;=2009")</f>
        <v>#VALUE!</v>
      </c>
      <c r="M27" s="4" t="str">
        <f>COUNTIFS(#REF!,"&gt;="&amp;N27,'TJ List'!D:D,"MLB",'TJ List'!E:E,"P",'TJ List'!S:S,"&gt;=2000",'TJ List'!S:S,"&lt;=2009",#REF!,1)</f>
        <v>#VALUE!</v>
      </c>
      <c r="N27" s="4">
        <v>30.0</v>
      </c>
      <c r="O27" s="145" t="str">
        <f>COUNTIFS(#REF!,"&gt;="&amp;N27,'TJ List'!D:D,"MLB",'TJ List'!E:E,"P",'TJ List'!S:S,"&gt;=2000",'TJ List'!S:S,"&lt;=2009")/COUNTIFS('TJ List'!D:D,"MLB",'TJ List'!E:E,"P",'TJ List'!S:S,"&gt;=2000",'TJ List'!S:S,"&lt;=2009")</f>
        <v>#VALUE!</v>
      </c>
      <c r="P27" s="145" t="str">
        <f>COUNTIFS(#REF!,"&gt;="&amp;Q27,'TJ List'!D:D,"MLB",'TJ List'!E:E,"P",'TJ List'!S:S,"&gt;=2000",'TJ List'!S:S,"&lt;=2009")/COUNTIFS('TJ List'!D:D,"MLB",'TJ List'!E:E,"P",'TJ List'!S:S,"&gt;=2000",'TJ List'!S:S,"&lt;=2009")</f>
        <v>#VALUE!</v>
      </c>
      <c r="Q27" s="4">
        <f t="shared" ref="Q27:Q34" si="4">N27*5</f>
        <v>150</v>
      </c>
      <c r="R27" t="str">
        <f>COUNTIFS(#REF!,"&gt;="&amp;Q27,'TJ List'!D:D,"MLB",'TJ List'!E:E,"P",'TJ List'!S:S,"&gt;=2000",'TJ List'!S:S,"&lt;=2009",#REF!,1)</f>
        <v>#VALUE!</v>
      </c>
      <c r="S27" s="145" t="str">
        <f>(COUNTIFS(#REF!,"&gt;="&amp;Q27,'TJ List'!D:D,"MLB",'TJ List'!E:E,"P",'TJ List'!S:S,"&gt;=2000",'TJ List'!S:S,"&lt;=2009")+($T$24-R27))/COUNTIFS('TJ List'!D:D,"MLB",'TJ List'!E:E,"P",'TJ List'!S:S,"&gt;=2000",'TJ List'!S:S,"&lt;=2009")</f>
        <v>#VALUE!</v>
      </c>
      <c r="W27" s="4"/>
      <c r="X27" s="140"/>
    </row>
    <row r="28">
      <c r="B28" s="14"/>
      <c r="C28" s="14"/>
      <c r="E28" s="4" t="s">
        <v>302</v>
      </c>
      <c r="F28" s="11">
        <v>1.0</v>
      </c>
      <c r="G28" s="11">
        <v>0.0</v>
      </c>
      <c r="H28" s="14">
        <f>COUNTIF('TJ List'!H:H,E28)</f>
        <v>9</v>
      </c>
      <c r="I28" s="142">
        <f>COUNTIFS('TJ List'!H:H,E28,'TJ List'!E:E,"P")</f>
        <v>8</v>
      </c>
      <c r="J28" s="143">
        <v>1826341.0</v>
      </c>
      <c r="K28" s="145"/>
      <c r="L28" s="146" t="str">
        <f>(COUNTIFS(#REF!,"&gt;="&amp;N28,'TJ List'!D:D,"MLB",'TJ List'!E:E,"P",'TJ List'!S:S,"&gt;=2000",'TJ List'!S:S,"&lt;=2009")+($T$24-M28))/COUNTIFS('TJ List'!D:D,"MLB",'TJ List'!E:E,"P",'TJ List'!S:S,"&gt;=2000",'TJ List'!S:S,"&lt;=2009")</f>
        <v>#VALUE!</v>
      </c>
      <c r="M28" s="4" t="str">
        <f>COUNTIFS(#REF!,"&gt;="&amp;N28,'TJ List'!D:D,"MLB",'TJ List'!E:E,"P",'TJ List'!S:S,"&gt;=2000",'TJ List'!S:S,"&lt;=2009",#REF!,1)</f>
        <v>#VALUE!</v>
      </c>
      <c r="N28" s="4">
        <v>40.0</v>
      </c>
      <c r="O28" s="145" t="str">
        <f>COUNTIFS(#REF!,"&gt;="&amp;N28,'TJ List'!D:D,"MLB",'TJ List'!E:E,"P",'TJ List'!S:S,"&gt;=2000",'TJ List'!S:S,"&lt;=2009")/COUNTIFS('TJ List'!D:D,"MLB",'TJ List'!E:E,"P",'TJ List'!S:S,"&gt;=2000",'TJ List'!S:S,"&lt;=2009")</f>
        <v>#VALUE!</v>
      </c>
      <c r="P28" s="145" t="str">
        <f>COUNTIFS(#REF!,"&gt;="&amp;Q28,'TJ List'!D:D,"MLB",'TJ List'!E:E,"P",'TJ List'!S:S,"&gt;=2000",'TJ List'!S:S,"&lt;=2009")/COUNTIFS('TJ List'!D:D,"MLB",'TJ List'!E:E,"P",'TJ List'!S:S,"&gt;=2000",'TJ List'!S:S,"&lt;=2009")</f>
        <v>#VALUE!</v>
      </c>
      <c r="Q28" s="4">
        <f t="shared" si="4"/>
        <v>200</v>
      </c>
      <c r="R28" t="str">
        <f>COUNTIFS(#REF!,"&gt;="&amp;Q28,'TJ List'!D:D,"MLB",'TJ List'!E:E,"P",'TJ List'!S:S,"&gt;=2000",'TJ List'!S:S,"&lt;=2009",#REF!,1)</f>
        <v>#VALUE!</v>
      </c>
      <c r="S28" s="145" t="str">
        <f>(COUNTIFS(#REF!,"&gt;="&amp;Q28,'TJ List'!D:D,"MLB",'TJ List'!E:E,"P",'TJ List'!S:S,"&gt;=2000",'TJ List'!S:S,"&lt;=2009")+($T$24-R28))/COUNTIFS('TJ List'!D:D,"MLB",'TJ List'!E:E,"P",'TJ List'!S:S,"&gt;=2000",'TJ List'!S:S,"&lt;=2009")</f>
        <v>#VALUE!</v>
      </c>
      <c r="W28" s="4"/>
      <c r="X28" s="140"/>
    </row>
    <row r="29">
      <c r="B29" s="14"/>
      <c r="C29" s="14"/>
      <c r="E29" s="4" t="s">
        <v>77</v>
      </c>
      <c r="F29" s="11">
        <v>1.0</v>
      </c>
      <c r="G29" s="11">
        <v>0.0</v>
      </c>
      <c r="H29" s="14">
        <f>COUNTIF('TJ List'!H:H,E29)</f>
        <v>14</v>
      </c>
      <c r="I29" s="142">
        <f>COUNTIFS('TJ List'!H:H,E29,'TJ List'!E:E,"P")</f>
        <v>14</v>
      </c>
      <c r="J29" s="143">
        <v>2700551.0</v>
      </c>
      <c r="K29" s="145"/>
      <c r="L29" s="146" t="str">
        <f>(COUNTIFS(#REF!,"&gt;="&amp;N29,'TJ List'!D:D,"MLB",'TJ List'!E:E,"P",'TJ List'!S:S,"&gt;=2000",'TJ List'!S:S,"&lt;=2009")+($T$24-M29))/COUNTIFS('TJ List'!D:D,"MLB",'TJ List'!E:E,"P",'TJ List'!S:S,"&gt;=2000",'TJ List'!S:S,"&lt;=2009")</f>
        <v>#VALUE!</v>
      </c>
      <c r="M29" s="4" t="str">
        <f>COUNTIFS(#REF!,"&gt;="&amp;N29,'TJ List'!D:D,"MLB",'TJ List'!E:E,"P",'TJ List'!S:S,"&gt;=2000",'TJ List'!S:S,"&lt;=2009",#REF!,1)</f>
        <v>#VALUE!</v>
      </c>
      <c r="N29" s="4">
        <v>50.0</v>
      </c>
      <c r="O29" s="145" t="str">
        <f>COUNTIFS(#REF!,"&gt;="&amp;N29,'TJ List'!D:D,"MLB",'TJ List'!E:E,"P",'TJ List'!S:S,"&gt;=2000",'TJ List'!S:S,"&lt;=2009")/COUNTIFS('TJ List'!D:D,"MLB",'TJ List'!E:E,"P",'TJ List'!S:S,"&gt;=2000",'TJ List'!S:S,"&lt;=2009")</f>
        <v>#VALUE!</v>
      </c>
      <c r="P29" s="145" t="str">
        <f>COUNTIFS(#REF!,"&gt;="&amp;Q29,'TJ List'!D:D,"MLB",'TJ List'!E:E,"P",'TJ List'!S:S,"&gt;=2000",'TJ List'!S:S,"&lt;=2009")/COUNTIFS('TJ List'!D:D,"MLB",'TJ List'!E:E,"P",'TJ List'!S:S,"&gt;=2000",'TJ List'!S:S,"&lt;=2009")</f>
        <v>#VALUE!</v>
      </c>
      <c r="Q29" s="4">
        <f t="shared" si="4"/>
        <v>250</v>
      </c>
      <c r="R29" t="str">
        <f>COUNTIFS(#REF!,"&gt;="&amp;Q29,'TJ List'!D:D,"MLB",'TJ List'!E:E,"P",'TJ List'!S:S,"&gt;=2000",'TJ List'!S:S,"&lt;=2009",#REF!,1)</f>
        <v>#VALUE!</v>
      </c>
      <c r="S29" s="145" t="str">
        <f>(COUNTIFS(#REF!,"&gt;="&amp;Q29,'TJ List'!D:D,"MLB",'TJ List'!E:E,"P",'TJ List'!S:S,"&gt;=2000",'TJ List'!S:S,"&lt;=2009")+($T$24-R29))/COUNTIFS('TJ List'!D:D,"MLB",'TJ List'!E:E,"P",'TJ List'!S:S,"&gt;=2000",'TJ List'!S:S,"&lt;=2009")</f>
        <v>#VALUE!</v>
      </c>
      <c r="W29" s="4"/>
      <c r="X29" s="140"/>
    </row>
    <row r="30">
      <c r="B30" s="14"/>
      <c r="C30" s="14"/>
      <c r="E30" s="4" t="s">
        <v>163</v>
      </c>
      <c r="F30" s="11">
        <v>0.0</v>
      </c>
      <c r="G30" s="11">
        <v>0.0</v>
      </c>
      <c r="H30" s="14">
        <f>COUNTIF('TJ List'!H:H,E30)</f>
        <v>4</v>
      </c>
      <c r="I30" s="142">
        <f>COUNTIFS('TJ List'!H:H,E30,'TJ List'!E:E,"P")</f>
        <v>4</v>
      </c>
      <c r="J30" s="143">
        <v>1316470.0</v>
      </c>
      <c r="K30" s="145"/>
      <c r="L30" s="146" t="str">
        <f>(COUNTIFS(#REF!,"&gt;="&amp;N30,'TJ List'!D:D,"MLB",'TJ List'!E:E,"P",'TJ List'!S:S,"&gt;=2000",'TJ List'!S:S,"&lt;=2009")+($T$24-M30))/COUNTIFS('TJ List'!D:D,"MLB",'TJ List'!E:E,"P",'TJ List'!S:S,"&gt;=2000",'TJ List'!S:S,"&lt;=2009")</f>
        <v>#VALUE!</v>
      </c>
      <c r="M30" s="4" t="str">
        <f>COUNTIFS(#REF!,"&gt;="&amp;N30,'TJ List'!D:D,"MLB",'TJ List'!E:E,"P",'TJ List'!S:S,"&gt;=2000",'TJ List'!S:S,"&lt;=2009",#REF!,1)</f>
        <v>#VALUE!</v>
      </c>
      <c r="N30" s="4">
        <v>60.0</v>
      </c>
      <c r="O30" s="145" t="str">
        <f>COUNTIFS(#REF!,"&gt;="&amp;N30,'TJ List'!D:D,"MLB",'TJ List'!E:E,"P",'TJ List'!S:S,"&gt;=2000",'TJ List'!S:S,"&lt;=2009")/COUNTIFS('TJ List'!D:D,"MLB",'TJ List'!E:E,"P",'TJ List'!S:S,"&gt;=2000",'TJ List'!S:S,"&lt;=2009")</f>
        <v>#VALUE!</v>
      </c>
      <c r="P30" s="145" t="str">
        <f>COUNTIFS(#REF!,"&gt;="&amp;Q30,'TJ List'!D:D,"MLB",'TJ List'!E:E,"P",'TJ List'!S:S,"&gt;=2000",'TJ List'!S:S,"&lt;=2009")/COUNTIFS('TJ List'!D:D,"MLB",'TJ List'!E:E,"P",'TJ List'!S:S,"&gt;=2000",'TJ List'!S:S,"&lt;=2009")</f>
        <v>#VALUE!</v>
      </c>
      <c r="Q30" s="4">
        <f t="shared" si="4"/>
        <v>300</v>
      </c>
      <c r="R30" t="str">
        <f>COUNTIFS(#REF!,"&gt;="&amp;Q30,'TJ List'!D:D,"MLB",'TJ List'!E:E,"P",'TJ List'!S:S,"&gt;=2000",'TJ List'!S:S,"&lt;=2009",#REF!,1)</f>
        <v>#VALUE!</v>
      </c>
      <c r="S30" s="145" t="str">
        <f>(COUNTIFS(#REF!,"&gt;="&amp;Q30,'TJ List'!D:D,"MLB",'TJ List'!E:E,"P",'TJ List'!S:S,"&gt;=2000",'TJ List'!S:S,"&lt;=2009")+($T$24-R30))/COUNTIFS('TJ List'!D:D,"MLB",'TJ List'!E:E,"P",'TJ List'!S:S,"&gt;=2000",'TJ List'!S:S,"&lt;=2009")</f>
        <v>#VALUE!</v>
      </c>
      <c r="W30" s="4"/>
      <c r="X30" s="140"/>
    </row>
    <row r="31">
      <c r="B31" s="14"/>
      <c r="C31" s="14"/>
      <c r="E31" s="4" t="s">
        <v>112</v>
      </c>
      <c r="F31" s="11">
        <v>1.0</v>
      </c>
      <c r="G31" s="11">
        <v>0.0</v>
      </c>
      <c r="H31" s="14">
        <f>COUNTIF('TJ List'!H:H,E31)</f>
        <v>18</v>
      </c>
      <c r="I31" s="142">
        <f>COUNTIFS('TJ List'!H:H,E31,'TJ List'!E:E,"P")</f>
        <v>16</v>
      </c>
      <c r="J31" s="143">
        <v>8791894.0</v>
      </c>
      <c r="K31" s="145"/>
      <c r="L31" s="146" t="str">
        <f>(COUNTIFS(#REF!,"&gt;="&amp;N31,'TJ List'!D:D,"MLB",'TJ List'!E:E,"P",'TJ List'!S:S,"&gt;=2000",'TJ List'!S:S,"&lt;=2009")+($T$24-M31))/COUNTIFS('TJ List'!D:D,"MLB",'TJ List'!E:E,"P",'TJ List'!S:S,"&gt;=2000",'TJ List'!S:S,"&lt;=2009")</f>
        <v>#VALUE!</v>
      </c>
      <c r="M31" s="4" t="str">
        <f>COUNTIFS(#REF!,"&gt;="&amp;N31,'TJ List'!D:D,"MLB",'TJ List'!E:E,"P",'TJ List'!S:S,"&gt;=2000",'TJ List'!S:S,"&lt;=2009",#REF!,1)</f>
        <v>#VALUE!</v>
      </c>
      <c r="N31" s="4">
        <v>70.0</v>
      </c>
      <c r="O31" s="145" t="str">
        <f>COUNTIFS(#REF!,"&gt;="&amp;N31,'TJ List'!D:D,"MLB",'TJ List'!E:E,"P",'TJ List'!S:S,"&gt;=2000",'TJ List'!S:S,"&lt;=2009")/COUNTIFS('TJ List'!D:D,"MLB",'TJ List'!E:E,"P",'TJ List'!S:S,"&gt;=2000",'TJ List'!S:S,"&lt;=2009")</f>
        <v>#VALUE!</v>
      </c>
      <c r="P31" s="145" t="str">
        <f>COUNTIFS(#REF!,"&gt;="&amp;Q31,'TJ List'!D:D,"MLB",'TJ List'!E:E,"P",'TJ List'!S:S,"&gt;=2000",'TJ List'!S:S,"&lt;=2009")/COUNTIFS('TJ List'!D:D,"MLB",'TJ List'!E:E,"P",'TJ List'!S:S,"&gt;=2000",'TJ List'!S:S,"&lt;=2009")</f>
        <v>#VALUE!</v>
      </c>
      <c r="Q31" s="4">
        <f t="shared" si="4"/>
        <v>350</v>
      </c>
      <c r="R31" t="str">
        <f>COUNTIFS(#REF!,"&gt;="&amp;Q31,'TJ List'!D:D,"MLB",'TJ List'!E:E,"P",'TJ List'!S:S,"&gt;=2000",'TJ List'!S:S,"&lt;=2009",#REF!,1)</f>
        <v>#VALUE!</v>
      </c>
      <c r="S31" s="145" t="str">
        <f>(COUNTIFS(#REF!,"&gt;="&amp;Q31,'TJ List'!D:D,"MLB",'TJ List'!E:E,"P",'TJ List'!S:S,"&gt;=2000",'TJ List'!S:S,"&lt;=2009")+($T$24-R31))/COUNTIFS('TJ List'!D:D,"MLB",'TJ List'!E:E,"P",'TJ List'!S:S,"&gt;=2000",'TJ List'!S:S,"&lt;=2009")</f>
        <v>#VALUE!</v>
      </c>
      <c r="W31" s="4"/>
      <c r="X31" s="140"/>
    </row>
    <row r="32">
      <c r="B32" s="14"/>
      <c r="C32" s="14"/>
      <c r="E32" s="4" t="s">
        <v>539</v>
      </c>
      <c r="F32" s="11">
        <v>1.0</v>
      </c>
      <c r="G32" s="11">
        <v>0.0</v>
      </c>
      <c r="H32" s="14">
        <f>COUNTIF('TJ List'!H:H,E32)</f>
        <v>6</v>
      </c>
      <c r="I32" s="142">
        <f>COUNTIFS('TJ List'!H:H,E32,'TJ List'!E:E,"P")</f>
        <v>5</v>
      </c>
      <c r="J32" s="143">
        <v>2059179.0</v>
      </c>
      <c r="K32" s="145"/>
      <c r="L32" s="146" t="str">
        <f>(COUNTIFS(#REF!,"&gt;="&amp;N32,'TJ List'!D:D,"MLB",'TJ List'!E:E,"P",'TJ List'!S:S,"&gt;=2000",'TJ List'!S:S,"&lt;=2009")+($T$24-M32))/COUNTIFS('TJ List'!D:D,"MLB",'TJ List'!E:E,"P",'TJ List'!S:S,"&gt;=2000",'TJ List'!S:S,"&lt;=2009")</f>
        <v>#VALUE!</v>
      </c>
      <c r="M32" s="4" t="str">
        <f>COUNTIFS(#REF!,"&gt;="&amp;N32,'TJ List'!D:D,"MLB",'TJ List'!E:E,"P",'TJ List'!S:S,"&gt;=2000",'TJ List'!S:S,"&lt;=2009",#REF!,1)</f>
        <v>#VALUE!</v>
      </c>
      <c r="N32" s="4">
        <v>80.0</v>
      </c>
      <c r="O32" s="145" t="str">
        <f>COUNTIFS(#REF!,"&gt;="&amp;N32,'TJ List'!D:D,"MLB",'TJ List'!E:E,"P",'TJ List'!S:S,"&gt;=2000",'TJ List'!S:S,"&lt;=2009")/COUNTIFS('TJ List'!D:D,"MLB",'TJ List'!E:E,"P",'TJ List'!S:S,"&gt;=2000",'TJ List'!S:S,"&lt;=2009")</f>
        <v>#VALUE!</v>
      </c>
      <c r="P32" s="145" t="str">
        <f>COUNTIFS(#REF!,"&gt;="&amp;Q32,'TJ List'!D:D,"MLB",'TJ List'!E:E,"P",'TJ List'!S:S,"&gt;=2000",'TJ List'!S:S,"&lt;=2009")/COUNTIFS('TJ List'!D:D,"MLB",'TJ List'!E:E,"P",'TJ List'!S:S,"&gt;=2000",'TJ List'!S:S,"&lt;=2009")</f>
        <v>#VALUE!</v>
      </c>
      <c r="Q32" s="4">
        <f t="shared" si="4"/>
        <v>400</v>
      </c>
      <c r="R32" t="str">
        <f>COUNTIFS(#REF!,"&gt;="&amp;Q32,'TJ List'!D:D,"MLB",'TJ List'!E:E,"P",'TJ List'!S:S,"&gt;=2000",'TJ List'!S:S,"&lt;=2009",#REF!,1)</f>
        <v>#VALUE!</v>
      </c>
      <c r="S32" s="145" t="str">
        <f>(COUNTIFS(#REF!,"&gt;="&amp;Q32,'TJ List'!D:D,"MLB",'TJ List'!E:E,"P",'TJ List'!S:S,"&gt;=2000",'TJ List'!S:S,"&lt;=2009")+($T$24-R32))/COUNTIFS('TJ List'!D:D,"MLB",'TJ List'!E:E,"P",'TJ List'!S:S,"&gt;=2000",'TJ List'!S:S,"&lt;=2009")</f>
        <v>#VALUE!</v>
      </c>
      <c r="W32" s="4"/>
      <c r="X32" s="140"/>
    </row>
    <row r="33">
      <c r="B33" s="14"/>
      <c r="C33" s="14"/>
      <c r="E33" s="4" t="s">
        <v>153</v>
      </c>
      <c r="F33" s="11">
        <v>1.0</v>
      </c>
      <c r="G33" s="11">
        <v>1.0</v>
      </c>
      <c r="H33" s="14">
        <f>COUNTIF('TJ List'!H:H,E33)</f>
        <v>47</v>
      </c>
      <c r="I33" s="142">
        <f>COUNTIFS('TJ List'!H:H,E33,'TJ List'!E:E,"P")</f>
        <v>38</v>
      </c>
      <c r="J33" s="143">
        <v>1.9378102E7</v>
      </c>
      <c r="K33" s="145"/>
      <c r="L33" s="146" t="str">
        <f>(COUNTIFS(#REF!,"&gt;="&amp;N33,'TJ List'!D:D,"MLB",'TJ List'!E:E,"P",'TJ List'!S:S,"&gt;=2000",'TJ List'!S:S,"&lt;=2009")+($T$24-M33))/COUNTIFS('TJ List'!D:D,"MLB",'TJ List'!E:E,"P",'TJ List'!S:S,"&gt;=2000",'TJ List'!S:S,"&lt;=2009")</f>
        <v>#VALUE!</v>
      </c>
      <c r="M33" s="4" t="str">
        <f>COUNTIFS(#REF!,"&gt;="&amp;N33,'TJ List'!D:D,"MLB",'TJ List'!E:E,"P",'TJ List'!S:S,"&gt;=2000",'TJ List'!S:S,"&lt;=2009",#REF!,1)</f>
        <v>#VALUE!</v>
      </c>
      <c r="N33" s="4">
        <v>90.0</v>
      </c>
      <c r="O33" s="145" t="str">
        <f>COUNTIFS(#REF!,"&gt;="&amp;N33,'TJ List'!D:D,"MLB",'TJ List'!E:E,"P",'TJ List'!S:S,"&gt;=2000",'TJ List'!S:S,"&lt;=2009")/COUNTIFS('TJ List'!D:D,"MLB",'TJ List'!E:E,"P",'TJ List'!S:S,"&gt;=2000",'TJ List'!S:S,"&lt;=2009")</f>
        <v>#VALUE!</v>
      </c>
      <c r="P33" s="145" t="str">
        <f>COUNTIFS(#REF!,"&gt;="&amp;Q33,'TJ List'!D:D,"MLB",'TJ List'!E:E,"P",'TJ List'!S:S,"&gt;=2000",'TJ List'!S:S,"&lt;=2009")/COUNTIFS('TJ List'!D:D,"MLB",'TJ List'!E:E,"P",'TJ List'!S:S,"&gt;=2000",'TJ List'!S:S,"&lt;=2009")</f>
        <v>#VALUE!</v>
      </c>
      <c r="Q33" s="4">
        <f t="shared" si="4"/>
        <v>450</v>
      </c>
      <c r="R33" t="str">
        <f>COUNTIFS(#REF!,"&gt;="&amp;Q33,'TJ List'!D:D,"MLB",'TJ List'!E:E,"P",'TJ List'!S:S,"&gt;=2000",'TJ List'!S:S,"&lt;=2009",#REF!,1)</f>
        <v>#VALUE!</v>
      </c>
      <c r="S33" s="145" t="str">
        <f>(COUNTIFS(#REF!,"&gt;="&amp;Q33,'TJ List'!D:D,"MLB",'TJ List'!E:E,"P",'TJ List'!S:S,"&gt;=2000",'TJ List'!S:S,"&lt;=2009")+($T$24-R33))/COUNTIFS('TJ List'!D:D,"MLB",'TJ List'!E:E,"P",'TJ List'!S:S,"&gt;=2000",'TJ List'!S:S,"&lt;=2009")</f>
        <v>#VALUE!</v>
      </c>
      <c r="W33" s="4"/>
      <c r="X33" s="140"/>
    </row>
    <row r="34">
      <c r="B34" s="14"/>
      <c r="C34" s="14"/>
      <c r="E34" s="4" t="s">
        <v>211</v>
      </c>
      <c r="F34" s="11">
        <v>1.0</v>
      </c>
      <c r="G34" s="11">
        <v>0.0</v>
      </c>
      <c r="H34" s="14">
        <f>COUNTIF('TJ List'!H:H,E34)</f>
        <v>25</v>
      </c>
      <c r="I34" s="142">
        <f>COUNTIFS('TJ List'!H:H,E34,'TJ List'!E:E,"P")</f>
        <v>21</v>
      </c>
      <c r="J34" s="143">
        <v>9535483.0</v>
      </c>
      <c r="K34" s="145"/>
      <c r="L34" s="146" t="str">
        <f>(COUNTIFS(#REF!,"&gt;="&amp;N34,'TJ List'!D:D,"MLB",'TJ List'!E:E,"P",'TJ List'!S:S,"&gt;=2000",'TJ List'!S:S,"&lt;=2009")+($T$24-M34))/COUNTIFS('TJ List'!D:D,"MLB",'TJ List'!E:E,"P",'TJ List'!S:S,"&gt;=2000",'TJ List'!S:S,"&lt;=2009")</f>
        <v>#VALUE!</v>
      </c>
      <c r="M34" s="4" t="str">
        <f>COUNTIFS(#REF!,"&gt;="&amp;N34,'TJ List'!D:D,"MLB",'TJ List'!E:E,"P",'TJ List'!S:S,"&gt;=2000",'TJ List'!S:S,"&lt;=2009",#REF!,1)</f>
        <v>#VALUE!</v>
      </c>
      <c r="N34" s="4">
        <v>100.0</v>
      </c>
      <c r="O34" s="145" t="str">
        <f>COUNTIFS(#REF!,"&gt;="&amp;N34,'TJ List'!D:D,"MLB",'TJ List'!E:E,"P",'TJ List'!S:S,"&gt;=2000",'TJ List'!S:S,"&lt;=2009")/COUNTIFS('TJ List'!D:D,"MLB",'TJ List'!E:E,"P",'TJ List'!S:S,"&gt;=2000",'TJ List'!S:S,"&lt;=2009")</f>
        <v>#VALUE!</v>
      </c>
      <c r="P34" s="145" t="str">
        <f>COUNTIFS(#REF!,"&gt;="&amp;Q34,'TJ List'!D:D,"MLB",'TJ List'!E:E,"P",'TJ List'!S:S,"&gt;=2000",'TJ List'!S:S,"&lt;=2009")/COUNTIFS('TJ List'!D:D,"MLB",'TJ List'!E:E,"P",'TJ List'!S:S,"&gt;=2000",'TJ List'!S:S,"&lt;=2009")</f>
        <v>#VALUE!</v>
      </c>
      <c r="Q34" s="4">
        <f t="shared" si="4"/>
        <v>500</v>
      </c>
      <c r="R34" t="str">
        <f>COUNTIFS(#REF!,"&gt;="&amp;Q34,'TJ List'!D:D,"MLB",'TJ List'!E:E,"P",'TJ List'!S:S,"&gt;=2000",'TJ List'!S:S,"&lt;=2009",#REF!,1)</f>
        <v>#VALUE!</v>
      </c>
      <c r="S34" s="145" t="str">
        <f>(COUNTIFS(#REF!,"&gt;="&amp;Q34,'TJ List'!D:D,"MLB",'TJ List'!E:E,"P",'TJ List'!S:S,"&gt;=2000",'TJ List'!S:S,"&lt;=2009")+($T$24-R34))/COUNTIFS('TJ List'!D:D,"MLB",'TJ List'!E:E,"P",'TJ List'!S:S,"&gt;=2000",'TJ List'!S:S,"&lt;=2009")</f>
        <v>#VALUE!</v>
      </c>
      <c r="W34" s="4"/>
      <c r="X34" s="140"/>
    </row>
    <row r="35">
      <c r="B35" s="14"/>
      <c r="C35" s="14"/>
      <c r="E35" s="4" t="s">
        <v>1251</v>
      </c>
      <c r="F35" s="11">
        <v>1.0</v>
      </c>
      <c r="G35" s="11">
        <v>0.0</v>
      </c>
      <c r="H35" s="14">
        <f>COUNTIF('TJ List'!H:H,E35)</f>
        <v>1</v>
      </c>
      <c r="I35" s="142">
        <f>COUNTIFS('TJ List'!H:H,E35,'TJ List'!E:E,"P")</f>
        <v>1</v>
      </c>
      <c r="J35" s="143">
        <v>672591.0</v>
      </c>
      <c r="W35" s="4"/>
      <c r="X35" s="140"/>
    </row>
    <row r="36">
      <c r="B36" s="14"/>
      <c r="C36" s="14"/>
      <c r="E36" s="4" t="s">
        <v>305</v>
      </c>
      <c r="F36" s="11">
        <v>1.0</v>
      </c>
      <c r="G36" s="11">
        <v>0.0</v>
      </c>
      <c r="H36" s="14">
        <f>COUNTIF('TJ List'!H:H,E36)</f>
        <v>40</v>
      </c>
      <c r="I36" s="142">
        <f>COUNTIFS('TJ List'!H:H,E36,'TJ List'!E:E,"P")</f>
        <v>36</v>
      </c>
      <c r="J36" s="143">
        <v>1.1536504E7</v>
      </c>
      <c r="K36" s="60"/>
      <c r="L36" s="4" t="s">
        <v>3126</v>
      </c>
      <c r="M36" s="4" t="s">
        <v>24</v>
      </c>
      <c r="N36" s="4" t="s">
        <v>35</v>
      </c>
      <c r="O36" s="54" t="s">
        <v>3140</v>
      </c>
      <c r="P36" s="18"/>
      <c r="Q36" s="4" t="s">
        <v>37</v>
      </c>
      <c r="R36" s="4" t="s">
        <v>24</v>
      </c>
      <c r="S36" s="4" t="s">
        <v>3126</v>
      </c>
      <c r="W36" s="4"/>
      <c r="X36" s="140"/>
    </row>
    <row r="37">
      <c r="B37" s="14"/>
      <c r="C37" s="14"/>
      <c r="E37" s="4" t="s">
        <v>218</v>
      </c>
      <c r="F37" s="11">
        <v>1.0</v>
      </c>
      <c r="G37" s="11">
        <v>1.0</v>
      </c>
      <c r="H37" s="14">
        <f>COUNTIF('TJ List'!H:H,E37)</f>
        <v>27</v>
      </c>
      <c r="I37" s="142">
        <f>COUNTIFS('TJ List'!H:H,E37,'TJ List'!E:E,"P")</f>
        <v>25</v>
      </c>
      <c r="J37" s="143">
        <v>3751351.0</v>
      </c>
      <c r="K37" s="145"/>
      <c r="L37" s="146" t="str">
        <f>(COUNTIFS(#REF!,"&gt;="&amp;N37,'TJ List'!D:D,"MLB",'TJ List'!E:E,"P",'TJ List'!S:S,"&gt;=2010",'TJ List'!S:S,"&lt;=2012")+($T$37-M37))/COUNTIFS('TJ List'!D:D,"MLB",'TJ List'!E:E,"P",'TJ List'!S:S,"&gt;=2010",'TJ List'!S:S,"&lt;=2012")</f>
        <v>#VALUE!</v>
      </c>
      <c r="M37" s="4" t="str">
        <f>COUNTIFS(#REF!,"&gt;="&amp;N37,'TJ List'!D:D,"MLB",'TJ List'!E:E,"P",'TJ List'!S:S,"&gt;=2010",'TJ List'!S:S,"&lt;=2012",#REF!,1)</f>
        <v>#VALUE!</v>
      </c>
      <c r="N37" s="4">
        <v>1.0</v>
      </c>
      <c r="O37" s="145" t="str">
        <f>COUNTIFS(#REF!,"&gt;="&amp;N37,'TJ List'!D:D,"MLB",'TJ List'!E:E,"P",'TJ List'!S:S,"&gt;=2010",'TJ List'!S:S,"&lt;=2012")/COUNTIFS('TJ List'!D:D,"MLB",'TJ List'!E:E,"P",'TJ List'!S:S,"&gt;=2010",'TJ List'!S:S,"&lt;=2012")</f>
        <v>#VALUE!</v>
      </c>
      <c r="P37" s="145" t="str">
        <f>COUNTIFS(#REF!,"&gt;="&amp;Q37,'TJ List'!D:D,"MLB",'TJ List'!E:E,"P",'TJ List'!S:S,"&gt;=2010",'TJ List'!S:S,"&lt;=2012")/COUNTIFS('TJ List'!D:D,"MLB",'TJ List'!E:E,"P",'TJ List'!S:S,"&gt;=2010",'TJ List'!S:S,"&lt;=2012")</f>
        <v>#VALUE!</v>
      </c>
      <c r="Q37" s="4">
        <f>N37*5</f>
        <v>5</v>
      </c>
      <c r="R37" t="str">
        <f>COUNTIFS(#REF!,"&gt;="&amp;Q37,'TJ List'!D:D,"MLB",'TJ List'!E:E,"P",'TJ List'!S:S,"&gt;=2010",'TJ List'!S:S,"&lt;=2012",#REF!,1)</f>
        <v>#VALUE!</v>
      </c>
      <c r="S37" s="145" t="str">
        <f>(COUNTIFS(#REF!,"&gt;="&amp;Q37,'TJ List'!D:D,"MLB",'TJ List'!E:E,"P",'TJ List'!S:S,"&gt;=2010",'TJ List'!S:S,"&lt;=2012")+($T$37-R37))/COUNTIFS('TJ List'!D:D,"MLB",'TJ List'!E:E,"P",'TJ List'!S:S,"&gt;=2010",'TJ List'!S:S,"&lt;=2012")</f>
        <v>#VALUE!</v>
      </c>
      <c r="T37" t="str">
        <f>COUNTIFS(#REF!,1,'TJ List'!D:D,"MLB",'TJ List'!E:E,"P",'TJ List'!S:S,"&gt;=2010",'TJ List'!S:S,"&lt;=2012")</f>
        <v>#VALUE!</v>
      </c>
      <c r="U37" s="4" t="s">
        <v>3117</v>
      </c>
      <c r="W37" s="4"/>
      <c r="X37" s="140"/>
    </row>
    <row r="38">
      <c r="B38" s="14"/>
      <c r="C38" s="14"/>
      <c r="E38" s="4" t="s">
        <v>549</v>
      </c>
      <c r="F38" s="11">
        <v>1.0</v>
      </c>
      <c r="G38" s="11">
        <v>0.0</v>
      </c>
      <c r="H38" s="14">
        <f>COUNTIF('TJ List'!H:H,E38)</f>
        <v>7</v>
      </c>
      <c r="I38" s="142">
        <f>COUNTIFS('TJ List'!H:H,E38,'TJ List'!E:E,"P")</f>
        <v>7</v>
      </c>
      <c r="J38" s="143">
        <v>3831074.0</v>
      </c>
      <c r="K38" s="145"/>
      <c r="L38" s="146" t="str">
        <f>(COUNTIFS(#REF!,"&gt;="&amp;N38,'TJ List'!D:D,"MLB",'TJ List'!E:E,"P",'TJ List'!S:S,"&gt;=2010",'TJ List'!S:S,"&lt;=2012")+($T$37-M38))/COUNTIFS('TJ List'!D:D,"MLB",'TJ List'!E:E,"P",'TJ List'!S:S,"&gt;=2010",'TJ List'!S:S,"&lt;=2012")</f>
        <v>#VALUE!</v>
      </c>
      <c r="M38" s="4" t="str">
        <f>COUNTIFS(#REF!,"&gt;="&amp;N38,'TJ List'!D:D,"MLB",'TJ List'!E:E,"P",'TJ List'!S:S,"&gt;=2010",'TJ List'!S:S,"&lt;=2012",#REF!,1)</f>
        <v>#VALUE!</v>
      </c>
      <c r="N38" s="4">
        <v>10.0</v>
      </c>
      <c r="O38" s="145" t="str">
        <f>COUNTIFS(#REF!,"&gt;="&amp;N38,'TJ List'!D:D,"MLB",'TJ List'!E:E,"P",'TJ List'!S:S,"&gt;=2010",'TJ List'!S:S,"&lt;=2012")/COUNTIFS('TJ List'!D:D,"MLB",'TJ List'!E:E,"P",'TJ List'!S:S,"&gt;=2010",'TJ List'!S:S,"&lt;=2012")</f>
        <v>#VALUE!</v>
      </c>
      <c r="P38" s="145" t="str">
        <f>COUNTIFS(#REF!,"&gt;="&amp;Q38,'TJ List'!D:D,"MLB",'TJ List'!E:E,"P",'TJ List'!S:S,"&gt;=2010",'TJ List'!S:S,"&lt;=2012")/COUNTIFS('TJ List'!D:D,"MLB",'TJ List'!E:E,"P",'TJ List'!S:S,"&gt;=2010",'TJ List'!S:S,"&lt;=2012")</f>
        <v>#VALUE!</v>
      </c>
      <c r="Q38" s="4">
        <v>50.0</v>
      </c>
      <c r="R38" t="str">
        <f>COUNTIFS(#REF!,"&gt;="&amp;Q38,'TJ List'!D:D,"MLB",'TJ List'!E:E,"P",'TJ List'!S:S,"&gt;=2010",'TJ List'!S:S,"&lt;=2012",#REF!,1)</f>
        <v>#VALUE!</v>
      </c>
      <c r="S38" s="145" t="str">
        <f>(COUNTIFS(#REF!,"&gt;="&amp;Q38,'TJ List'!D:D,"MLB",'TJ List'!E:E,"P",'TJ List'!S:S,"&gt;=2010",'TJ List'!S:S,"&lt;=2012")+($T$37-R38))/COUNTIFS('TJ List'!D:D,"MLB",'TJ List'!E:E,"P",'TJ List'!S:S,"&gt;=2010",'TJ List'!S:S,"&lt;=2012")</f>
        <v>#VALUE!</v>
      </c>
      <c r="T38">
        <f>COUNTIFS('TJ List'!D:D,"MLB",'TJ List'!E:E,"P",'TJ List'!S:S,"&gt;=2010",'TJ List'!S:S,"&lt;=2012")</f>
        <v>63</v>
      </c>
      <c r="U38" s="4" t="s">
        <v>3119</v>
      </c>
      <c r="W38" s="4"/>
      <c r="X38" s="140"/>
    </row>
    <row r="39">
      <c r="B39" s="14"/>
      <c r="C39" s="14"/>
      <c r="E39" s="4" t="s">
        <v>412</v>
      </c>
      <c r="F39" s="11">
        <v>1.0</v>
      </c>
      <c r="G39" s="11">
        <v>1.0</v>
      </c>
      <c r="H39" s="14">
        <f>COUNTIF('TJ List'!H:H,E39)</f>
        <v>27</v>
      </c>
      <c r="I39" s="142">
        <f>COUNTIFS('TJ List'!H:H,E39,'TJ List'!E:E,"P")</f>
        <v>21</v>
      </c>
      <c r="J39" s="143">
        <v>1.2702379E7</v>
      </c>
      <c r="K39" s="145"/>
      <c r="L39" s="146" t="str">
        <f>(COUNTIFS(#REF!,"&gt;="&amp;N39,'TJ List'!D:D,"MLB",'TJ List'!E:E,"P",'TJ List'!S:S,"&gt;=2010",'TJ List'!S:S,"&lt;=2012")+($T$37-M39))/COUNTIFS('TJ List'!D:D,"MLB",'TJ List'!E:E,"P",'TJ List'!S:S,"&gt;=2010",'TJ List'!S:S,"&lt;=2012")</f>
        <v>#VALUE!</v>
      </c>
      <c r="M39" s="4" t="str">
        <f>COUNTIFS(#REF!,"&gt;="&amp;N39,'TJ List'!D:D,"MLB",'TJ List'!E:E,"P",'TJ List'!S:S,"&gt;=2010",'TJ List'!S:S,"&lt;=2012",#REF!,1)</f>
        <v>#VALUE!</v>
      </c>
      <c r="N39" s="4">
        <v>20.0</v>
      </c>
      <c r="O39" s="145" t="str">
        <f>COUNTIFS(#REF!,"&gt;="&amp;N39,'TJ List'!D:D,"MLB",'TJ List'!E:E,"P",'TJ List'!S:S,"&gt;=2010",'TJ List'!S:S,"&lt;=2012")/COUNTIFS('TJ List'!D:D,"MLB",'TJ List'!E:E,"P",'TJ List'!S:S,"&gt;=2010",'TJ List'!S:S,"&lt;=2012")</f>
        <v>#VALUE!</v>
      </c>
      <c r="P39" s="145" t="str">
        <f>COUNTIFS(#REF!,"&gt;="&amp;Q39,'TJ List'!D:D,"MLB",'TJ List'!E:E,"P",'TJ List'!S:S,"&gt;=2010",'TJ List'!S:S,"&lt;=2012")/COUNTIFS('TJ List'!D:D,"MLB",'TJ List'!E:E,"P",'TJ List'!S:S,"&gt;=2010",'TJ List'!S:S,"&lt;=2012")</f>
        <v>#VALUE!</v>
      </c>
      <c r="Q39" s="4">
        <f t="shared" ref="Q39:Q47" si="5">N39*5</f>
        <v>100</v>
      </c>
      <c r="R39" t="str">
        <f>COUNTIFS(#REF!,"&gt;="&amp;Q39,'TJ List'!D:D,"MLB",'TJ List'!E:E,"P",'TJ List'!S:S,"&gt;=2010",'TJ List'!S:S,"&lt;=2012",#REF!,1)</f>
        <v>#VALUE!</v>
      </c>
      <c r="S39" s="145" t="str">
        <f>(COUNTIFS(#REF!,"&gt;="&amp;Q39,'TJ List'!D:D,"MLB",'TJ List'!E:E,"P",'TJ List'!S:S,"&gt;=2010",'TJ List'!S:S,"&lt;=2012")+($T$37-R39))/COUNTIFS('TJ List'!D:D,"MLB",'TJ List'!E:E,"P",'TJ List'!S:S,"&gt;=2010",'TJ List'!S:S,"&lt;=2012")</f>
        <v>#VALUE!</v>
      </c>
      <c r="W39" s="4"/>
      <c r="X39" s="140"/>
    </row>
    <row r="40">
      <c r="B40" s="14"/>
      <c r="C40" s="14"/>
      <c r="E40" s="4" t="s">
        <v>2283</v>
      </c>
      <c r="F40" s="11">
        <v>1.0</v>
      </c>
      <c r="G40" s="11">
        <v>0.0</v>
      </c>
      <c r="H40" s="14">
        <f>COUNTIF('TJ List'!H:H,E40)</f>
        <v>2</v>
      </c>
      <c r="I40" s="142">
        <f>COUNTIFS('TJ List'!H:H,E40,'TJ List'!E:E,"P")</f>
        <v>1</v>
      </c>
      <c r="J40" s="143">
        <v>1052567.0</v>
      </c>
      <c r="K40" s="145"/>
      <c r="L40" s="146" t="str">
        <f>(COUNTIFS(#REF!,"&gt;="&amp;N40,'TJ List'!D:D,"MLB",'TJ List'!E:E,"P",'TJ List'!S:S,"&gt;=2010",'TJ List'!S:S,"&lt;=2012")+($T$37-M40))/COUNTIFS('TJ List'!D:D,"MLB",'TJ List'!E:E,"P",'TJ List'!S:S,"&gt;=2010",'TJ List'!S:S,"&lt;=2012")</f>
        <v>#VALUE!</v>
      </c>
      <c r="M40" s="4" t="str">
        <f>COUNTIFS(#REF!,"&gt;="&amp;N40,'TJ List'!D:D,"MLB",'TJ List'!E:E,"P",'TJ List'!S:S,"&gt;=2010",'TJ List'!S:S,"&lt;=2012",#REF!,1)</f>
        <v>#VALUE!</v>
      </c>
      <c r="N40" s="4">
        <v>30.0</v>
      </c>
      <c r="O40" s="145" t="str">
        <f>COUNTIFS(#REF!,"&gt;="&amp;N40,'TJ List'!D:D,"MLB",'TJ List'!E:E,"P",'TJ List'!S:S,"&gt;=2010",'TJ List'!S:S,"&lt;=2012")/COUNTIFS('TJ List'!D:D,"MLB",'TJ List'!E:E,"P",'TJ List'!S:S,"&gt;=2010",'TJ List'!S:S,"&lt;=2012")</f>
        <v>#VALUE!</v>
      </c>
      <c r="P40" s="145" t="str">
        <f>COUNTIFS(#REF!,"&gt;="&amp;Q40,'TJ List'!D:D,"MLB",'TJ List'!E:E,"P",'TJ List'!S:S,"&gt;=2010",'TJ List'!S:S,"&lt;=2012")/COUNTIFS('TJ List'!D:D,"MLB",'TJ List'!E:E,"P",'TJ List'!S:S,"&gt;=2010",'TJ List'!S:S,"&lt;=2012")</f>
        <v>#VALUE!</v>
      </c>
      <c r="Q40" s="4">
        <f t="shared" si="5"/>
        <v>150</v>
      </c>
      <c r="R40" t="str">
        <f>COUNTIFS(#REF!,"&gt;="&amp;Q40,'TJ List'!D:D,"MLB",'TJ List'!E:E,"P",'TJ List'!S:S,"&gt;=2010",'TJ List'!S:S,"&lt;=2012",#REF!,1)</f>
        <v>#VALUE!</v>
      </c>
      <c r="S40" s="145" t="str">
        <f>(COUNTIFS(#REF!,"&gt;="&amp;Q40,'TJ List'!D:D,"MLB",'TJ List'!E:E,"P",'TJ List'!S:S,"&gt;=2010",'TJ List'!S:S,"&lt;=2012")+($T$37-R40))/COUNTIFS('TJ List'!D:D,"MLB",'TJ List'!E:E,"P",'TJ List'!S:S,"&gt;=2010",'TJ List'!S:S,"&lt;=2012")</f>
        <v>#VALUE!</v>
      </c>
      <c r="W40" s="4"/>
      <c r="X40" s="140"/>
    </row>
    <row r="41">
      <c r="B41" s="14"/>
      <c r="C41" s="14"/>
      <c r="E41" s="4" t="s">
        <v>230</v>
      </c>
      <c r="F41" s="11">
        <v>1.0</v>
      </c>
      <c r="G41" s="11">
        <v>0.0</v>
      </c>
      <c r="H41" s="14">
        <f>COUNTIF('TJ List'!H:H,E41)</f>
        <v>6</v>
      </c>
      <c r="I41" s="142">
        <f>COUNTIFS('TJ List'!H:H,E41,'TJ List'!E:E,"P")</f>
        <v>5</v>
      </c>
      <c r="J41" s="143">
        <v>4625364.0</v>
      </c>
      <c r="K41" s="145"/>
      <c r="L41" s="146" t="str">
        <f>(COUNTIFS(#REF!,"&gt;="&amp;N41,'TJ List'!D:D,"MLB",'TJ List'!E:E,"P",'TJ List'!S:S,"&gt;=2010",'TJ List'!S:S,"&lt;=2012")+($T$37-M41))/COUNTIFS('TJ List'!D:D,"MLB",'TJ List'!E:E,"P",'TJ List'!S:S,"&gt;=2010",'TJ List'!S:S,"&lt;=2012")</f>
        <v>#VALUE!</v>
      </c>
      <c r="M41" s="4" t="str">
        <f>COUNTIFS(#REF!,"&gt;="&amp;N41,'TJ List'!D:D,"MLB",'TJ List'!E:E,"P",'TJ List'!S:S,"&gt;=2010",'TJ List'!S:S,"&lt;=2012",#REF!,1)</f>
        <v>#VALUE!</v>
      </c>
      <c r="N41" s="4">
        <v>40.0</v>
      </c>
      <c r="O41" s="145" t="str">
        <f>COUNTIFS(#REF!,"&gt;="&amp;N41,'TJ List'!D:D,"MLB",'TJ List'!E:E,"P",'TJ List'!S:S,"&gt;=2010",'TJ List'!S:S,"&lt;=2012")/COUNTIFS('TJ List'!D:D,"MLB",'TJ List'!E:E,"P",'TJ List'!S:S,"&gt;=2010",'TJ List'!S:S,"&lt;=2012")</f>
        <v>#VALUE!</v>
      </c>
      <c r="P41" s="145" t="str">
        <f>COUNTIFS(#REF!,"&gt;="&amp;Q41,'TJ List'!D:D,"MLB",'TJ List'!E:E,"P",'TJ List'!S:S,"&gt;=2010",'TJ List'!S:S,"&lt;=2012")/COUNTIFS('TJ List'!D:D,"MLB",'TJ List'!E:E,"P",'TJ List'!S:S,"&gt;=2010",'TJ List'!S:S,"&lt;=2012")</f>
        <v>#VALUE!</v>
      </c>
      <c r="Q41" s="4">
        <f t="shared" si="5"/>
        <v>200</v>
      </c>
      <c r="R41" t="str">
        <f>COUNTIFS(#REF!,"&gt;="&amp;Q41,'TJ List'!D:D,"MLB",'TJ List'!E:E,"P",'TJ List'!S:S,"&gt;=2010",'TJ List'!S:S,"&lt;=2012",#REF!,1)</f>
        <v>#VALUE!</v>
      </c>
      <c r="S41" s="145" t="str">
        <f>(COUNTIFS(#REF!,"&gt;="&amp;Q41,'TJ List'!D:D,"MLB",'TJ List'!E:E,"P",'TJ List'!S:S,"&gt;=2010",'TJ List'!S:S,"&lt;=2012")+($T$37-R41))/COUNTIFS('TJ List'!D:D,"MLB",'TJ List'!E:E,"P",'TJ List'!S:S,"&gt;=2010",'TJ List'!S:S,"&lt;=2012")</f>
        <v>#VALUE!</v>
      </c>
      <c r="W41" s="4"/>
      <c r="X41" s="140"/>
    </row>
    <row r="42">
      <c r="B42" s="14"/>
      <c r="C42" s="14"/>
      <c r="E42" s="4" t="s">
        <v>1764</v>
      </c>
      <c r="F42" s="11">
        <v>1.0</v>
      </c>
      <c r="G42" s="11">
        <v>1.0</v>
      </c>
      <c r="H42" s="14">
        <f>COUNTIF('TJ List'!H:H,E42)</f>
        <v>1</v>
      </c>
      <c r="I42" s="142">
        <f>COUNTIFS('TJ List'!H:H,E42,'TJ List'!E:E,"P")</f>
        <v>1</v>
      </c>
      <c r="J42" s="143">
        <v>814180.0</v>
      </c>
      <c r="K42" s="145"/>
      <c r="L42" s="146" t="str">
        <f>(COUNTIFS(#REF!,"&gt;="&amp;N42,'TJ List'!D:D,"MLB",'TJ List'!E:E,"P",'TJ List'!S:S,"&gt;=2010",'TJ List'!S:S,"&lt;=2012")+($T$37-M42))/COUNTIFS('TJ List'!D:D,"MLB",'TJ List'!E:E,"P",'TJ List'!S:S,"&gt;=2010",'TJ List'!S:S,"&lt;=2012")</f>
        <v>#VALUE!</v>
      </c>
      <c r="M42" s="4" t="str">
        <f>COUNTIFS(#REF!,"&gt;="&amp;N42,'TJ List'!D:D,"MLB",'TJ List'!E:E,"P",'TJ List'!S:S,"&gt;=2010",'TJ List'!S:S,"&lt;=2012",#REF!,1)</f>
        <v>#VALUE!</v>
      </c>
      <c r="N42" s="4">
        <v>50.0</v>
      </c>
      <c r="O42" s="145" t="str">
        <f>COUNTIFS(#REF!,"&gt;="&amp;N42,'TJ List'!D:D,"MLB",'TJ List'!E:E,"P",'TJ List'!S:S,"&gt;=2010",'TJ List'!S:S,"&lt;=2012")/COUNTIFS('TJ List'!D:D,"MLB",'TJ List'!E:E,"P",'TJ List'!S:S,"&gt;=2010",'TJ List'!S:S,"&lt;=2012")</f>
        <v>#VALUE!</v>
      </c>
      <c r="P42" s="145" t="str">
        <f>COUNTIFS(#REF!,"&gt;="&amp;Q42,'TJ List'!D:D,"MLB",'TJ List'!E:E,"P",'TJ List'!S:S,"&gt;=2010",'TJ List'!S:S,"&lt;=2012")/COUNTIFS('TJ List'!D:D,"MLB",'TJ List'!E:E,"P",'TJ List'!S:S,"&gt;=2010",'TJ List'!S:S,"&lt;=2012")</f>
        <v>#VALUE!</v>
      </c>
      <c r="Q42" s="4">
        <f t="shared" si="5"/>
        <v>250</v>
      </c>
      <c r="R42" t="str">
        <f>COUNTIFS(#REF!,"&gt;="&amp;Q42,'TJ List'!D:D,"MLB",'TJ List'!E:E,"P",'TJ List'!S:S,"&gt;=2010",'TJ List'!S:S,"&lt;=2012",#REF!,1)</f>
        <v>#VALUE!</v>
      </c>
      <c r="S42" s="145" t="str">
        <f>(COUNTIFS(#REF!,"&gt;="&amp;Q42,'TJ List'!D:D,"MLB",'TJ List'!E:E,"P",'TJ List'!S:S,"&gt;=2010",'TJ List'!S:S,"&lt;=2012")+($T$37-R42))/COUNTIFS('TJ List'!D:D,"MLB",'TJ List'!E:E,"P",'TJ List'!S:S,"&gt;=2010",'TJ List'!S:S,"&lt;=2012")</f>
        <v>#VALUE!</v>
      </c>
      <c r="W42" s="4"/>
      <c r="X42" s="140"/>
    </row>
    <row r="43">
      <c r="B43" s="14"/>
      <c r="C43" s="14"/>
      <c r="E43" s="4" t="s">
        <v>204</v>
      </c>
      <c r="F43" s="11">
        <v>1.0</v>
      </c>
      <c r="G43" s="11">
        <v>1.0</v>
      </c>
      <c r="H43" s="14">
        <f>COUNTIF('TJ List'!H:H,E43)</f>
        <v>22</v>
      </c>
      <c r="I43" s="142">
        <f>COUNTIFS('TJ List'!H:H,E43,'TJ List'!E:E,"P")</f>
        <v>20</v>
      </c>
      <c r="J43" s="143">
        <v>6346105.0</v>
      </c>
      <c r="K43" s="145"/>
      <c r="L43" s="146" t="str">
        <f>(COUNTIFS(#REF!,"&gt;="&amp;N43,'TJ List'!D:D,"MLB",'TJ List'!E:E,"P",'TJ List'!S:S,"&gt;=2010",'TJ List'!S:S,"&lt;=2012")+($T$37-M43))/COUNTIFS('TJ List'!D:D,"MLB",'TJ List'!E:E,"P",'TJ List'!S:S,"&gt;=2010",'TJ List'!S:S,"&lt;=2012")</f>
        <v>#VALUE!</v>
      </c>
      <c r="M43" s="4" t="str">
        <f>COUNTIFS(#REF!,"&gt;="&amp;N43,'TJ List'!D:D,"MLB",'TJ List'!E:E,"P",'TJ List'!S:S,"&gt;=2010",'TJ List'!S:S,"&lt;=2012",#REF!,1)</f>
        <v>#VALUE!</v>
      </c>
      <c r="N43" s="4">
        <v>60.0</v>
      </c>
      <c r="O43" s="145" t="str">
        <f>COUNTIFS(#REF!,"&gt;="&amp;N43,'TJ List'!D:D,"MLB",'TJ List'!E:E,"P",'TJ List'!S:S,"&gt;=2010",'TJ List'!S:S,"&lt;=2012")/COUNTIFS('TJ List'!D:D,"MLB",'TJ List'!E:E,"P",'TJ List'!S:S,"&gt;=2010",'TJ List'!S:S,"&lt;=2012")</f>
        <v>#VALUE!</v>
      </c>
      <c r="P43" s="145" t="str">
        <f>COUNTIFS(#REF!,"&gt;="&amp;Q43,'TJ List'!D:D,"MLB",'TJ List'!E:E,"P",'TJ List'!S:S,"&gt;=2010",'TJ List'!S:S,"&lt;=2012")/COUNTIFS('TJ List'!D:D,"MLB",'TJ List'!E:E,"P",'TJ List'!S:S,"&gt;=2010",'TJ List'!S:S,"&lt;=2012")</f>
        <v>#VALUE!</v>
      </c>
      <c r="Q43" s="4">
        <f t="shared" si="5"/>
        <v>300</v>
      </c>
      <c r="R43" t="str">
        <f>COUNTIFS(#REF!,"&gt;="&amp;Q43,'TJ List'!D:D,"MLB",'TJ List'!E:E,"P",'TJ List'!S:S,"&gt;=2010",'TJ List'!S:S,"&lt;=2012",#REF!,1)</f>
        <v>#VALUE!</v>
      </c>
      <c r="S43" s="145" t="str">
        <f>(COUNTIFS(#REF!,"&gt;="&amp;Q43,'TJ List'!D:D,"MLB",'TJ List'!E:E,"P",'TJ List'!S:S,"&gt;=2010",'TJ List'!S:S,"&lt;=2012")+($T$37-R43))/COUNTIFS('TJ List'!D:D,"MLB",'TJ List'!E:E,"P",'TJ List'!S:S,"&gt;=2010",'TJ List'!S:S,"&lt;=2012")</f>
        <v>#VALUE!</v>
      </c>
      <c r="W43" s="4"/>
      <c r="X43" s="140"/>
    </row>
    <row r="44">
      <c r="B44" s="14"/>
      <c r="C44" s="14"/>
      <c r="E44" s="4" t="s">
        <v>157</v>
      </c>
      <c r="F44" s="11">
        <v>1.0</v>
      </c>
      <c r="G44" s="11">
        <v>0.0</v>
      </c>
      <c r="H44" s="14">
        <f>COUNTIF('TJ List'!H:H,E44)</f>
        <v>114</v>
      </c>
      <c r="I44" s="142">
        <f>COUNTIFS('TJ List'!H:H,E44,'TJ List'!E:E,"P")</f>
        <v>103</v>
      </c>
      <c r="J44" s="143">
        <v>2.5145561E7</v>
      </c>
      <c r="K44" s="145"/>
      <c r="L44" s="146" t="str">
        <f>(COUNTIFS(#REF!,"&gt;="&amp;N44,'TJ List'!D:D,"MLB",'TJ List'!E:E,"P",'TJ List'!S:S,"&gt;=2010",'TJ List'!S:S,"&lt;=2012")+($T$37-M44))/COUNTIFS('TJ List'!D:D,"MLB",'TJ List'!E:E,"P",'TJ List'!S:S,"&gt;=2010",'TJ List'!S:S,"&lt;=2012")</f>
        <v>#VALUE!</v>
      </c>
      <c r="M44" s="4" t="str">
        <f>COUNTIFS(#REF!,"&gt;="&amp;N44,'TJ List'!D:D,"MLB",'TJ List'!E:E,"P",'TJ List'!S:S,"&gt;=2010",'TJ List'!S:S,"&lt;=2012",#REF!,1)</f>
        <v>#VALUE!</v>
      </c>
      <c r="N44" s="4">
        <v>70.0</v>
      </c>
      <c r="O44" s="145" t="str">
        <f>COUNTIFS(#REF!,"&gt;="&amp;N44,'TJ List'!D:D,"MLB",'TJ List'!E:E,"P",'TJ List'!S:S,"&gt;=2010",'TJ List'!S:S,"&lt;=2012")/COUNTIFS('TJ List'!D:D,"MLB",'TJ List'!E:E,"P",'TJ List'!S:S,"&gt;=2010",'TJ List'!S:S,"&lt;=2012")</f>
        <v>#VALUE!</v>
      </c>
      <c r="P44" s="145" t="str">
        <f>COUNTIFS(#REF!,"&gt;="&amp;Q44,'TJ List'!D:D,"MLB",'TJ List'!E:E,"P",'TJ List'!S:S,"&gt;=2010",'TJ List'!S:S,"&lt;=2012")/COUNTIFS('TJ List'!D:D,"MLB",'TJ List'!E:E,"P",'TJ List'!S:S,"&gt;=2010",'TJ List'!S:S,"&lt;=2012")</f>
        <v>#VALUE!</v>
      </c>
      <c r="Q44" s="4">
        <f t="shared" si="5"/>
        <v>350</v>
      </c>
      <c r="R44" t="str">
        <f>COUNTIFS(#REF!,"&gt;="&amp;Q44,'TJ List'!D:D,"MLB",'TJ List'!E:E,"P",'TJ List'!S:S,"&gt;=2010",'TJ List'!S:S,"&lt;=2012",#REF!,1)</f>
        <v>#VALUE!</v>
      </c>
      <c r="S44" s="145" t="str">
        <f>(COUNTIFS(#REF!,"&gt;="&amp;Q44,'TJ List'!D:D,"MLB",'TJ List'!E:E,"P",'TJ List'!S:S,"&gt;=2010",'TJ List'!S:S,"&lt;=2012")+($T$37-R44))/COUNTIFS('TJ List'!D:D,"MLB",'TJ List'!E:E,"P",'TJ List'!S:S,"&gt;=2010",'TJ List'!S:S,"&lt;=2012")</f>
        <v>#VALUE!</v>
      </c>
      <c r="W44" s="4"/>
      <c r="X44" s="140"/>
    </row>
    <row r="45">
      <c r="B45" s="14"/>
      <c r="C45" s="14"/>
      <c r="E45" s="4" t="s">
        <v>843</v>
      </c>
      <c r="F45" s="11">
        <v>1.0</v>
      </c>
      <c r="G45" s="11">
        <v>0.0</v>
      </c>
      <c r="H45" s="14">
        <f>COUNTIF('TJ List'!H:H,E45)</f>
        <v>3</v>
      </c>
      <c r="I45" s="142">
        <f>COUNTIFS('TJ List'!H:H,E45,'TJ List'!E:E,"P")</f>
        <v>3</v>
      </c>
      <c r="J45" s="143">
        <v>2763885.0</v>
      </c>
      <c r="K45" s="145"/>
      <c r="L45" s="146" t="str">
        <f>(COUNTIFS(#REF!,"&gt;="&amp;N45,'TJ List'!D:D,"MLB",'TJ List'!E:E,"P",'TJ List'!S:S,"&gt;=2010",'TJ List'!S:S,"&lt;=2012")+($T$37-M45))/COUNTIFS('TJ List'!D:D,"MLB",'TJ List'!E:E,"P",'TJ List'!S:S,"&gt;=2010",'TJ List'!S:S,"&lt;=2012")</f>
        <v>#VALUE!</v>
      </c>
      <c r="M45" s="4" t="str">
        <f>COUNTIFS(#REF!,"&gt;="&amp;N45,'TJ List'!D:D,"MLB",'TJ List'!E:E,"P",'TJ List'!S:S,"&gt;=2010",'TJ List'!S:S,"&lt;=2012",#REF!,1)</f>
        <v>#VALUE!</v>
      </c>
      <c r="N45" s="4">
        <v>80.0</v>
      </c>
      <c r="O45" s="145" t="str">
        <f>COUNTIFS(#REF!,"&gt;="&amp;N45,'TJ List'!D:D,"MLB",'TJ List'!E:E,"P",'TJ List'!S:S,"&gt;=2010",'TJ List'!S:S,"&lt;=2012")/COUNTIFS('TJ List'!D:D,"MLB",'TJ List'!E:E,"P",'TJ List'!S:S,"&gt;=2010",'TJ List'!S:S,"&lt;=2012")</f>
        <v>#VALUE!</v>
      </c>
      <c r="P45" s="145" t="str">
        <f>COUNTIFS(#REF!,"&gt;="&amp;Q45,'TJ List'!D:D,"MLB",'TJ List'!E:E,"P",'TJ List'!S:S,"&gt;=2010",'TJ List'!S:S,"&lt;=2012")/COUNTIFS('TJ List'!D:D,"MLB",'TJ List'!E:E,"P",'TJ List'!S:S,"&gt;=2010",'TJ List'!S:S,"&lt;=2012")</f>
        <v>#VALUE!</v>
      </c>
      <c r="Q45" s="4">
        <f t="shared" si="5"/>
        <v>400</v>
      </c>
      <c r="R45" t="str">
        <f>COUNTIFS(#REF!,"&gt;="&amp;Q45,'TJ List'!D:D,"MLB",'TJ List'!E:E,"P",'TJ List'!S:S,"&gt;=2010",'TJ List'!S:S,"&lt;=2012",#REF!,1)</f>
        <v>#VALUE!</v>
      </c>
      <c r="S45" s="145" t="str">
        <f>(COUNTIFS(#REF!,"&gt;="&amp;Q45,'TJ List'!D:D,"MLB",'TJ List'!E:E,"P",'TJ List'!S:S,"&gt;=2010",'TJ List'!S:S,"&lt;=2012")+($T$37-R45))/COUNTIFS('TJ List'!D:D,"MLB",'TJ List'!E:E,"P",'TJ List'!S:S,"&gt;=2010",'TJ List'!S:S,"&lt;=2012")</f>
        <v>#VALUE!</v>
      </c>
      <c r="W45" s="4"/>
      <c r="X45" s="140"/>
    </row>
    <row r="46">
      <c r="B46" s="14"/>
      <c r="C46" s="14"/>
      <c r="E46" s="4" t="s">
        <v>3151</v>
      </c>
      <c r="F46" s="11">
        <v>1.0</v>
      </c>
      <c r="G46" s="11">
        <v>1.0</v>
      </c>
      <c r="H46" s="14">
        <f>COUNTIF('TJ List'!H:H,E46)</f>
        <v>0</v>
      </c>
      <c r="I46" s="142">
        <f>COUNTIFS('TJ List'!H:H,E46,'TJ List'!E:E,"P")</f>
        <v>0</v>
      </c>
      <c r="J46" s="143">
        <v>625741.0</v>
      </c>
      <c r="K46" s="145"/>
      <c r="L46" s="146" t="str">
        <f>(COUNTIFS(#REF!,"&gt;="&amp;N46,'TJ List'!D:D,"MLB",'TJ List'!E:E,"P",'TJ List'!S:S,"&gt;=2010",'TJ List'!S:S,"&lt;=2012")+($T$37-M46))/COUNTIFS('TJ List'!D:D,"MLB",'TJ List'!E:E,"P",'TJ List'!S:S,"&gt;=2010",'TJ List'!S:S,"&lt;=2012")</f>
        <v>#VALUE!</v>
      </c>
      <c r="M46" s="4" t="str">
        <f>COUNTIFS(#REF!,"&gt;="&amp;N46,'TJ List'!D:D,"MLB",'TJ List'!E:E,"P",'TJ List'!S:S,"&gt;=2010",'TJ List'!S:S,"&lt;=2012",#REF!,1)</f>
        <v>#VALUE!</v>
      </c>
      <c r="N46" s="4">
        <v>90.0</v>
      </c>
      <c r="O46" s="145" t="str">
        <f>COUNTIFS(#REF!,"&gt;="&amp;N46,'TJ List'!D:D,"MLB",'TJ List'!E:E,"P",'TJ List'!S:S,"&gt;=2010",'TJ List'!S:S,"&lt;=2012")/COUNTIFS('TJ List'!D:D,"MLB",'TJ List'!E:E,"P",'TJ List'!S:S,"&gt;=2010",'TJ List'!S:S,"&lt;=2012")</f>
        <v>#VALUE!</v>
      </c>
      <c r="P46" s="145" t="str">
        <f>COUNTIFS(#REF!,"&gt;="&amp;Q46,'TJ List'!D:D,"MLB",'TJ List'!E:E,"P",'TJ List'!S:S,"&gt;=2010",'TJ List'!S:S,"&lt;=2012")/COUNTIFS('TJ List'!D:D,"MLB",'TJ List'!E:E,"P",'TJ List'!S:S,"&gt;=2010",'TJ List'!S:S,"&lt;=2012")</f>
        <v>#VALUE!</v>
      </c>
      <c r="Q46" s="4">
        <f t="shared" si="5"/>
        <v>450</v>
      </c>
      <c r="R46" t="str">
        <f>COUNTIFS(#REF!,"&gt;="&amp;Q46,'TJ List'!D:D,"MLB",'TJ List'!E:E,"P",'TJ List'!S:S,"&gt;=2010",'TJ List'!S:S,"&lt;=2012",#REF!,1)</f>
        <v>#VALUE!</v>
      </c>
      <c r="S46" s="145" t="str">
        <f>(COUNTIFS(#REF!,"&gt;="&amp;Q46,'TJ List'!D:D,"MLB",'TJ List'!E:E,"P",'TJ List'!S:S,"&gt;=2010",'TJ List'!S:S,"&lt;=2012")+($T$37-R46))/COUNTIFS('TJ List'!D:D,"MLB",'TJ List'!E:E,"P",'TJ List'!S:S,"&gt;=2010",'TJ List'!S:S,"&lt;=2012")</f>
        <v>#VALUE!</v>
      </c>
      <c r="W46" s="4"/>
      <c r="X46" s="140"/>
    </row>
    <row r="47">
      <c r="B47" s="14"/>
      <c r="C47" s="14"/>
      <c r="E47" s="4" t="s">
        <v>416</v>
      </c>
      <c r="F47" s="11">
        <v>1.0</v>
      </c>
      <c r="G47" s="11">
        <v>0.0</v>
      </c>
      <c r="H47" s="14">
        <f>COUNTIF('TJ List'!H:H,E47)</f>
        <v>20</v>
      </c>
      <c r="I47" s="142">
        <f>COUNTIFS('TJ List'!H:H,E47,'TJ List'!E:E,"P")</f>
        <v>18</v>
      </c>
      <c r="J47" s="143">
        <v>8001024.0</v>
      </c>
      <c r="K47" s="145"/>
      <c r="L47" s="146" t="str">
        <f>(COUNTIFS(#REF!,"&gt;="&amp;N47,'TJ List'!D:D,"MLB",'TJ List'!E:E,"P",'TJ List'!S:S,"&gt;=2010",'TJ List'!S:S,"&lt;=2012")+($T$37-M47))/COUNTIFS('TJ List'!D:D,"MLB",'TJ List'!E:E,"P",'TJ List'!S:S,"&gt;=2010",'TJ List'!S:S,"&lt;=2012")</f>
        <v>#VALUE!</v>
      </c>
      <c r="M47" s="4" t="str">
        <f>COUNTIFS(#REF!,"&gt;="&amp;N47,'TJ List'!D:D,"MLB",'TJ List'!E:E,"P",'TJ List'!S:S,"&gt;=2010",'TJ List'!S:S,"&lt;=2012",#REF!,1)</f>
        <v>#VALUE!</v>
      </c>
      <c r="N47" s="4">
        <v>100.0</v>
      </c>
      <c r="O47" s="145" t="str">
        <f>COUNTIFS(#REF!,"&gt;="&amp;N47,'TJ List'!D:D,"MLB",'TJ List'!E:E,"P",'TJ List'!S:S,"&gt;=2010",'TJ List'!S:S,"&lt;=2012")/COUNTIFS('TJ List'!D:D,"MLB",'TJ List'!E:E,"P",'TJ List'!S:S,"&gt;=2010",'TJ List'!S:S,"&lt;=2012")</f>
        <v>#VALUE!</v>
      </c>
      <c r="P47" s="145" t="str">
        <f>COUNTIFS(#REF!,"&gt;="&amp;Q47,'TJ List'!D:D,"MLB",'TJ List'!E:E,"P",'TJ List'!S:S,"&gt;=2010",'TJ List'!S:S,"&lt;=2012")/COUNTIFS('TJ List'!D:D,"MLB",'TJ List'!E:E,"P",'TJ List'!S:S,"&gt;=2010",'TJ List'!S:S,"&lt;=2012")</f>
        <v>#VALUE!</v>
      </c>
      <c r="Q47" s="4">
        <f t="shared" si="5"/>
        <v>500</v>
      </c>
      <c r="R47" t="str">
        <f>COUNTIFS(#REF!,"&gt;="&amp;Q47,'TJ List'!D:D,"MLB",'TJ List'!E:E,"P",'TJ List'!S:S,"&gt;=2010",'TJ List'!S:S,"&lt;=2012",#REF!,1)</f>
        <v>#VALUE!</v>
      </c>
      <c r="S47" s="145" t="str">
        <f>(COUNTIFS(#REF!,"&gt;="&amp;Q47,'TJ List'!D:D,"MLB",'TJ List'!E:E,"P",'TJ List'!S:S,"&gt;=2010",'TJ List'!S:S,"&lt;=2012")+($T$37-R47))/COUNTIFS('TJ List'!D:D,"MLB",'TJ List'!E:E,"P",'TJ List'!S:S,"&gt;=2010",'TJ List'!S:S,"&lt;=2012")</f>
        <v>#VALUE!</v>
      </c>
      <c r="W47" s="4"/>
      <c r="X47" s="140"/>
    </row>
    <row r="48">
      <c r="B48" s="14"/>
      <c r="C48" s="14"/>
      <c r="E48" s="4" t="s">
        <v>316</v>
      </c>
      <c r="F48" s="11">
        <v>1.0</v>
      </c>
      <c r="G48" s="11">
        <v>1.0</v>
      </c>
      <c r="H48" s="14">
        <f>COUNTIF('TJ List'!H:H,E48)</f>
        <v>28</v>
      </c>
      <c r="I48" s="142">
        <f>COUNTIFS('TJ List'!H:H,E48,'TJ List'!E:E,"P")</f>
        <v>26</v>
      </c>
      <c r="J48" s="143">
        <v>6724540.0</v>
      </c>
      <c r="W48" s="4"/>
      <c r="X48" s="140"/>
    </row>
    <row r="49">
      <c r="B49" s="14"/>
      <c r="C49" s="14"/>
      <c r="E49" s="4" t="s">
        <v>240</v>
      </c>
      <c r="F49" s="11">
        <v>0.0</v>
      </c>
      <c r="G49" s="11">
        <v>0.0</v>
      </c>
      <c r="H49" s="14">
        <f>COUNTIF('TJ List'!H:H,E49)</f>
        <v>3</v>
      </c>
      <c r="I49" s="142">
        <f>COUNTIFS('TJ List'!H:H,E49,'TJ List'!E:E,"P")</f>
        <v>3</v>
      </c>
      <c r="J49" s="143">
        <v>1852994.0</v>
      </c>
      <c r="W49" s="4"/>
      <c r="X49" s="140"/>
    </row>
    <row r="50">
      <c r="B50" s="14"/>
      <c r="C50" s="14"/>
      <c r="E50" s="4" t="s">
        <v>291</v>
      </c>
      <c r="F50" s="11">
        <v>1.0</v>
      </c>
      <c r="G50" s="11">
        <v>1.0</v>
      </c>
      <c r="H50" s="14">
        <f>COUNTIF('TJ List'!H:H,E50)</f>
        <v>10</v>
      </c>
      <c r="I50" s="142">
        <f>COUNTIFS('TJ List'!H:H,E50,'TJ List'!E:E,"P")</f>
        <v>10</v>
      </c>
      <c r="J50" s="143">
        <v>5686986.0</v>
      </c>
      <c r="N50" s="4" t="s">
        <v>35</v>
      </c>
      <c r="O50" s="4" t="s">
        <v>3154</v>
      </c>
      <c r="Q50" s="4" t="s">
        <v>37</v>
      </c>
      <c r="W50" s="4"/>
      <c r="X50" s="140"/>
    </row>
    <row r="51">
      <c r="B51" s="14"/>
      <c r="C51" s="14"/>
      <c r="E51" s="4" t="s">
        <v>3155</v>
      </c>
      <c r="F51" s="11">
        <v>0.0</v>
      </c>
      <c r="G51" s="11">
        <v>0.0</v>
      </c>
      <c r="H51" s="14">
        <f>COUNTIF('TJ List'!H:H,E51)</f>
        <v>0</v>
      </c>
      <c r="I51" s="142">
        <f>COUNTIFS('TJ List'!H:H,E51,'TJ List'!E:E,"P")</f>
        <v>0</v>
      </c>
      <c r="J51" s="143">
        <v>563626.0</v>
      </c>
      <c r="N51" s="4">
        <v>1.0</v>
      </c>
      <c r="O51" s="146" t="str">
        <f>COUNTIFS(#REF!,"&gt;="&amp;N51,'TJ List'!D:D,"MLB",'TJ List'!E:E,"P",'TJ List'!S:S,"&lt;=2009",'TJ List'!J:J,"&gt;=16",'TJ List'!J:J,"&lt;=23")/COUNTIFS('TJ List'!D:D,"MLB",'TJ List'!E:E,"P",'TJ List'!S:S,"&lt;=2009",'TJ List'!J:J,"&gt;=16",'TJ List'!J:J,"&lt;=23")</f>
        <v>#VALUE!</v>
      </c>
      <c r="P51" s="145" t="str">
        <f>COUNTIFS(#REF!,"&gt;="&amp;Q51,'TJ List'!D:D,"MLB",'TJ List'!E:E,"P",'TJ List'!S:S,"&lt;=2009",'TJ List'!J:J,"&gt;=16",'TJ List'!J:J,"&lt;=23")/COUNTIFS('TJ List'!D:D,"MLB",'TJ List'!E:E,"P",'TJ List'!S:S,"&lt;=2009",'TJ List'!J:J,"&gt;=16",'TJ List'!J:J,"&lt;=23")</f>
        <v>#VALUE!</v>
      </c>
      <c r="Q51" s="4">
        <f>N51*5</f>
        <v>5</v>
      </c>
      <c r="W51" s="4"/>
      <c r="X51" s="140"/>
    </row>
    <row r="52">
      <c r="B52" s="14"/>
      <c r="C52" s="14"/>
      <c r="F52" s="14"/>
      <c r="G52" s="14"/>
      <c r="H52" s="14"/>
      <c r="I52" s="142"/>
      <c r="J52" s="143"/>
      <c r="N52" s="4">
        <v>10.0</v>
      </c>
      <c r="O52" s="146" t="str">
        <f>COUNTIFS(#REF!,"&gt;="&amp;N52,'TJ List'!D:D,"MLB",'TJ List'!E:E,"P",'TJ List'!S:S,"&lt;=2009",'TJ List'!J:J,"&gt;=16",'TJ List'!J:J,"&lt;=23")/COUNTIFS('TJ List'!D:D,"MLB",'TJ List'!E:E,"P",'TJ List'!S:S,"&lt;=2009",'TJ List'!J:J,"&gt;=16",'TJ List'!J:J,"&lt;=23")</f>
        <v>#VALUE!</v>
      </c>
      <c r="P52" s="145" t="str">
        <f>COUNTIFS(#REF!,"&gt;="&amp;Q52,'TJ List'!D:D,"MLB",'TJ List'!E:E,"P",'TJ List'!S:S,"&lt;=2009",'TJ List'!J:J,"&gt;=16",'TJ List'!J:J,"&lt;=23")/COUNTIFS('TJ List'!D:D,"MLB",'TJ List'!E:E,"P",'TJ List'!S:S,"&lt;=2009",'TJ List'!J:J,"&gt;=16",'TJ List'!J:J,"&lt;=23")</f>
        <v>#VALUE!</v>
      </c>
      <c r="Q52" s="4">
        <v>50.0</v>
      </c>
    </row>
    <row r="53">
      <c r="B53" s="14"/>
      <c r="C53" s="14"/>
      <c r="F53" s="14"/>
      <c r="G53" s="14"/>
      <c r="H53" s="14"/>
      <c r="I53" s="142"/>
      <c r="J53" s="143"/>
      <c r="N53" s="4">
        <v>20.0</v>
      </c>
      <c r="O53" s="146" t="str">
        <f>COUNTIFS(#REF!,"&gt;="&amp;N53,'TJ List'!D:D,"MLB",'TJ List'!E:E,"P",'TJ List'!S:S,"&lt;=2009",'TJ List'!J:J,"&gt;=16",'TJ List'!J:J,"&lt;=23")/COUNTIFS('TJ List'!D:D,"MLB",'TJ List'!E:E,"P",'TJ List'!S:S,"&lt;=2009",'TJ List'!J:J,"&gt;=16",'TJ List'!J:J,"&lt;=23")</f>
        <v>#VALUE!</v>
      </c>
      <c r="P53" s="145" t="str">
        <f>COUNTIFS(#REF!,"&gt;="&amp;Q53,'TJ List'!D:D,"MLB",'TJ List'!E:E,"P",'TJ List'!S:S,"&lt;=2009",'TJ List'!J:J,"&gt;=16",'TJ List'!J:J,"&lt;=23")/COUNTIFS('TJ List'!D:D,"MLB",'TJ List'!E:E,"P",'TJ List'!S:S,"&lt;=2009",'TJ List'!J:J,"&gt;=16",'TJ List'!J:J,"&lt;=23")</f>
        <v>#VALUE!</v>
      </c>
      <c r="Q53" s="4">
        <f t="shared" ref="Q53:Q55" si="6">N53*5</f>
        <v>100</v>
      </c>
    </row>
    <row r="54">
      <c r="B54" s="14"/>
      <c r="C54" s="14"/>
      <c r="F54" s="14"/>
      <c r="G54" s="14"/>
      <c r="H54" s="14"/>
      <c r="I54" s="142"/>
      <c r="J54" s="143"/>
      <c r="N54" s="4">
        <v>30.0</v>
      </c>
      <c r="O54" s="146" t="str">
        <f>COUNTIFS(#REF!,"&gt;="&amp;N54,'TJ List'!D:D,"MLB",'TJ List'!E:E,"P",'TJ List'!S:S,"&lt;=2009",'TJ List'!J:J,"&gt;=16",'TJ List'!J:J,"&lt;=23")/COUNTIFS('TJ List'!D:D,"MLB",'TJ List'!E:E,"P",'TJ List'!S:S,"&lt;=2009",'TJ List'!J:J,"&gt;=16",'TJ List'!J:J,"&lt;=23")</f>
        <v>#VALUE!</v>
      </c>
      <c r="P54" s="145" t="str">
        <f>COUNTIFS(#REF!,"&gt;="&amp;Q54,'TJ List'!D:D,"MLB",'TJ List'!E:E,"P",'TJ List'!S:S,"&lt;=2009",'TJ List'!J:J,"&gt;=16",'TJ List'!J:J,"&lt;=23")/COUNTIFS('TJ List'!D:D,"MLB",'TJ List'!E:E,"P",'TJ List'!S:S,"&lt;=2009",'TJ List'!J:J,"&gt;=16",'TJ List'!J:J,"&lt;=23")</f>
        <v>#VALUE!</v>
      </c>
      <c r="Q54" s="4">
        <f t="shared" si="6"/>
        <v>150</v>
      </c>
    </row>
    <row r="55">
      <c r="B55" s="14"/>
      <c r="C55" s="14"/>
      <c r="F55" s="14"/>
      <c r="G55" s="14"/>
      <c r="H55" s="14"/>
      <c r="I55" s="142"/>
      <c r="J55" s="143"/>
      <c r="N55" s="4">
        <v>40.0</v>
      </c>
      <c r="O55" s="146" t="str">
        <f>COUNTIFS(#REF!,"&gt;="&amp;N55,'TJ List'!D:D,"MLB",'TJ List'!E:E,"P",'TJ List'!S:S,"&lt;=2009",'TJ List'!J:J,"&gt;=16",'TJ List'!J:J,"&lt;=23")/COUNTIFS('TJ List'!D:D,"MLB",'TJ List'!E:E,"P",'TJ List'!S:S,"&lt;=2009",'TJ List'!J:J,"&gt;=16",'TJ List'!J:J,"&lt;=23")</f>
        <v>#VALUE!</v>
      </c>
      <c r="P55" s="145" t="str">
        <f>COUNTIFS(#REF!,"&gt;="&amp;Q55,'TJ List'!D:D,"MLB",'TJ List'!E:E,"P",'TJ List'!S:S,"&lt;=2009",'TJ List'!J:J,"&gt;=16",'TJ List'!J:J,"&lt;=23")/COUNTIFS('TJ List'!D:D,"MLB",'TJ List'!E:E,"P",'TJ List'!S:S,"&lt;=2009",'TJ List'!J:J,"&gt;=16",'TJ List'!J:J,"&lt;=23")</f>
        <v>#VALUE!</v>
      </c>
      <c r="Q55" s="4">
        <f t="shared" si="6"/>
        <v>200</v>
      </c>
    </row>
    <row r="56">
      <c r="B56" s="14"/>
      <c r="C56" s="14"/>
      <c r="F56" s="14"/>
      <c r="G56" s="14"/>
      <c r="H56" s="14"/>
      <c r="I56" s="142"/>
      <c r="J56" s="143"/>
      <c r="N56" s="4">
        <v>50.0</v>
      </c>
      <c r="O56" s="146" t="str">
        <f>COUNTIFS(#REF!,"&gt;="&amp;N56,'TJ List'!D:D,"MLB",'TJ List'!E:E,"P",'TJ List'!S:S,"&lt;=2009",'TJ List'!J:J,"&gt;=16",'TJ List'!J:J,"&lt;=23")/COUNTIFS('TJ List'!D:D,"MLB",'TJ List'!E:E,"P",'TJ List'!S:S,"&lt;=2009",'TJ List'!J:J,"&gt;=16",'TJ List'!J:J,"&lt;=23")</f>
        <v>#VALUE!</v>
      </c>
      <c r="P56" s="145" t="str">
        <f>COUNTIFS(#REF!,"&gt;="&amp;Q56,'TJ List'!D:D,"MLB",'TJ List'!E:E,"P",'TJ List'!S:S,"&lt;=2009",'TJ List'!J:J,"&gt;=16",'TJ List'!J:J,"&lt;=23")/COUNTIFS('TJ List'!D:D,"MLB",'TJ List'!E:E,"P",'TJ List'!S:S,"&lt;=2009",'TJ List'!J:J,"&gt;=16",'TJ List'!J:J,"&lt;=23")</f>
        <v>#VALUE!</v>
      </c>
      <c r="Q56" s="4">
        <v>250.0</v>
      </c>
    </row>
    <row r="57">
      <c r="B57" s="14"/>
      <c r="C57" s="14"/>
      <c r="F57" s="14"/>
      <c r="G57" s="14"/>
      <c r="H57" s="14"/>
      <c r="I57" s="142"/>
      <c r="J57" s="143"/>
      <c r="N57" s="4">
        <v>60.0</v>
      </c>
      <c r="O57" s="146" t="str">
        <f>COUNTIFS(#REF!,"&gt;="&amp;N57,'TJ List'!D:D,"MLB",'TJ List'!E:E,"P",'TJ List'!S:S,"&lt;=2009",'TJ List'!J:J,"&gt;=16",'TJ List'!J:J,"&lt;=23")/COUNTIFS('TJ List'!D:D,"MLB",'TJ List'!E:E,"P",'TJ List'!S:S,"&lt;=2009",'TJ List'!J:J,"&gt;=16",'TJ List'!J:J,"&lt;=23")</f>
        <v>#VALUE!</v>
      </c>
      <c r="P57" s="145" t="str">
        <f>COUNTIFS(#REF!,"&gt;="&amp;Q57,'TJ List'!D:D,"MLB",'TJ List'!E:E,"P",'TJ List'!S:S,"&lt;=2009",'TJ List'!J:J,"&gt;=16",'TJ List'!J:J,"&lt;=23")/COUNTIFS('TJ List'!D:D,"MLB",'TJ List'!E:E,"P",'TJ List'!S:S,"&lt;=2009",'TJ List'!J:J,"&gt;=16",'TJ List'!J:J,"&lt;=23")</f>
        <v>#VALUE!</v>
      </c>
      <c r="Q57" s="4">
        <f t="shared" ref="Q57:Q61" si="7">N57*5</f>
        <v>300</v>
      </c>
    </row>
    <row r="58">
      <c r="B58" s="14"/>
      <c r="C58" s="14"/>
      <c r="F58" s="14"/>
      <c r="G58" s="14"/>
      <c r="H58" s="14"/>
      <c r="I58" s="142"/>
      <c r="J58" s="143"/>
      <c r="N58" s="4">
        <v>70.0</v>
      </c>
      <c r="O58" s="146" t="str">
        <f>COUNTIFS(#REF!,"&gt;="&amp;N58,'TJ List'!D:D,"MLB",'TJ List'!E:E,"P",'TJ List'!S:S,"&lt;=2009",'TJ List'!J:J,"&gt;=16",'TJ List'!J:J,"&lt;=23")/COUNTIFS('TJ List'!D:D,"MLB",'TJ List'!E:E,"P",'TJ List'!S:S,"&lt;=2009",'TJ List'!J:J,"&gt;=16",'TJ List'!J:J,"&lt;=23")</f>
        <v>#VALUE!</v>
      </c>
      <c r="P58" s="145" t="str">
        <f>COUNTIFS(#REF!,"&gt;="&amp;Q58,'TJ List'!D:D,"MLB",'TJ List'!E:E,"P",'TJ List'!S:S,"&lt;=2009",'TJ List'!J:J,"&gt;=16",'TJ List'!J:J,"&lt;=23")/COUNTIFS('TJ List'!D:D,"MLB",'TJ List'!E:E,"P",'TJ List'!S:S,"&lt;=2009",'TJ List'!J:J,"&gt;=16",'TJ List'!J:J,"&lt;=23")</f>
        <v>#VALUE!</v>
      </c>
      <c r="Q58" s="4">
        <f t="shared" si="7"/>
        <v>350</v>
      </c>
    </row>
    <row r="59">
      <c r="B59" s="14"/>
      <c r="C59" s="14"/>
      <c r="F59" s="14"/>
      <c r="G59" s="14"/>
      <c r="H59" s="14"/>
      <c r="I59" s="142"/>
      <c r="J59" s="143"/>
      <c r="N59" s="4">
        <v>80.0</v>
      </c>
      <c r="O59" s="146" t="str">
        <f>COUNTIFS(#REF!,"&gt;="&amp;N59,'TJ List'!D:D,"MLB",'TJ List'!E:E,"P",'TJ List'!S:S,"&lt;=2009",'TJ List'!J:J,"&gt;=16",'TJ List'!J:J,"&lt;=23")/COUNTIFS('TJ List'!D:D,"MLB",'TJ List'!E:E,"P",'TJ List'!S:S,"&lt;=2009",'TJ List'!J:J,"&gt;=16",'TJ List'!J:J,"&lt;=23")</f>
        <v>#VALUE!</v>
      </c>
      <c r="P59" s="145" t="str">
        <f>COUNTIFS(#REF!,"&gt;="&amp;Q59,'TJ List'!D:D,"MLB",'TJ List'!E:E,"P",'TJ List'!S:S,"&lt;=2009",'TJ List'!J:J,"&gt;=16",'TJ List'!J:J,"&lt;=23")/COUNTIFS('TJ List'!D:D,"MLB",'TJ List'!E:E,"P",'TJ List'!S:S,"&lt;=2009",'TJ List'!J:J,"&gt;=16",'TJ List'!J:J,"&lt;=23")</f>
        <v>#VALUE!</v>
      </c>
      <c r="Q59" s="4">
        <f t="shared" si="7"/>
        <v>400</v>
      </c>
    </row>
    <row r="60">
      <c r="B60" s="14"/>
      <c r="C60" s="14"/>
      <c r="F60" s="14"/>
      <c r="G60" s="14"/>
      <c r="H60" s="14"/>
      <c r="I60" s="142"/>
      <c r="J60" s="143"/>
      <c r="N60" s="30">
        <v>90.0</v>
      </c>
      <c r="O60" s="146" t="str">
        <f>COUNTIFS(#REF!,"&gt;="&amp;N60,'TJ List'!D:D,"MLB",'TJ List'!E:E,"P",'TJ List'!S:S,"&lt;=2009",'TJ List'!J:J,"&gt;=16",'TJ List'!J:J,"&lt;=23")/COUNTIFS('TJ List'!D:D,"MLB",'TJ List'!E:E,"P",'TJ List'!S:S,"&lt;=2009",'TJ List'!J:J,"&gt;=16",'TJ List'!J:J,"&lt;=23")</f>
        <v>#VALUE!</v>
      </c>
      <c r="P60" s="145" t="str">
        <f>COUNTIFS(#REF!,"&gt;="&amp;Q60,'TJ List'!D:D,"MLB",'TJ List'!E:E,"P",'TJ List'!S:S,"&lt;=2009",'TJ List'!J:J,"&gt;=16",'TJ List'!J:J,"&lt;=23")/COUNTIFS('TJ List'!D:D,"MLB",'TJ List'!E:E,"P",'TJ List'!S:S,"&lt;=2009",'TJ List'!J:J,"&gt;=16",'TJ List'!J:J,"&lt;=23")</f>
        <v>#VALUE!</v>
      </c>
      <c r="Q60" s="4">
        <f t="shared" si="7"/>
        <v>450</v>
      </c>
    </row>
    <row r="61">
      <c r="B61" s="14"/>
      <c r="C61" s="14"/>
      <c r="F61" s="14"/>
      <c r="G61" s="14"/>
      <c r="H61" s="14"/>
      <c r="I61" s="142"/>
      <c r="J61" s="143"/>
      <c r="N61" s="4">
        <v>100.0</v>
      </c>
      <c r="O61" s="146" t="str">
        <f>COUNTIFS(#REF!,"&gt;="&amp;N61,'TJ List'!D:D,"MLB",'TJ List'!E:E,"P",'TJ List'!S:S,"&lt;=2009",'TJ List'!J:J,"&gt;=16",'TJ List'!J:J,"&lt;=23")/COUNTIFS('TJ List'!D:D,"MLB",'TJ List'!E:E,"P",'TJ List'!S:S,"&lt;=2009",'TJ List'!J:J,"&gt;=16",'TJ List'!J:J,"&lt;=23")</f>
        <v>#VALUE!</v>
      </c>
      <c r="P61" s="145" t="str">
        <f>COUNTIFS(#REF!,"&gt;="&amp;Q61,'TJ List'!D:D,"MLB",'TJ List'!E:E,"P",'TJ List'!S:S,"&lt;=2009",'TJ List'!J:J,"&gt;=16",'TJ List'!J:J,"&lt;=23")/COUNTIFS('TJ List'!D:D,"MLB",'TJ List'!E:E,"P",'TJ List'!S:S,"&lt;=2009",'TJ List'!J:J,"&gt;=16",'TJ List'!J:J,"&lt;=23")</f>
        <v>#VALUE!</v>
      </c>
      <c r="Q61" s="4">
        <f t="shared" si="7"/>
        <v>500</v>
      </c>
    </row>
    <row r="62">
      <c r="B62" s="14"/>
      <c r="C62" s="14"/>
      <c r="F62" s="14"/>
      <c r="G62" s="14"/>
      <c r="H62" s="14"/>
      <c r="I62" s="142"/>
      <c r="J62" s="143"/>
    </row>
    <row r="63">
      <c r="B63" s="14"/>
      <c r="C63" s="14"/>
      <c r="F63" s="14"/>
      <c r="G63" s="14"/>
      <c r="H63" s="14"/>
      <c r="I63" s="142"/>
      <c r="J63" s="143"/>
      <c r="N63" s="4" t="s">
        <v>35</v>
      </c>
      <c r="O63" s="4" t="s">
        <v>3164</v>
      </c>
      <c r="Q63" s="4" t="s">
        <v>37</v>
      </c>
    </row>
    <row r="64">
      <c r="B64" s="14"/>
      <c r="C64" s="14"/>
      <c r="F64" s="14"/>
      <c r="G64" s="14"/>
      <c r="H64" s="14"/>
      <c r="I64" s="142"/>
      <c r="J64" s="143"/>
      <c r="N64" s="4">
        <v>1.0</v>
      </c>
      <c r="O64" s="146" t="str">
        <f>COUNTIFS(#REF!,"&gt;="&amp;N64,'TJ List'!D:D,"MLB",'TJ List'!E:E,"P",'TJ List'!S:S,"&lt;=2009",'TJ List'!J:J,"&gt;=24",'TJ List'!J:J,"&lt;=27")/COUNTIFS('TJ List'!D:D,"MLB",'TJ List'!E:E,"P",'TJ List'!S:S,"&lt;=2009",'TJ List'!J:J,"&gt;=24",'TJ List'!J:J,"&lt;=27")</f>
        <v>#VALUE!</v>
      </c>
      <c r="P64" s="145" t="str">
        <f>COUNTIFS(#REF!,"&gt;="&amp;Q64,'TJ List'!D:D,"MLB",'TJ List'!E:E,"P",'TJ List'!S:S,"&lt;=2009",'TJ List'!J:J,"&gt;=24",'TJ List'!J:J,"&lt;=27")/COUNTIFS('TJ List'!D:D,"MLB",'TJ List'!E:E,"P",'TJ List'!S:S,"&lt;=2009",'TJ List'!J:J,"&gt;=24",'TJ List'!J:J,"&lt;=27")</f>
        <v>#VALUE!</v>
      </c>
      <c r="Q64" s="4">
        <f>N64*5</f>
        <v>5</v>
      </c>
    </row>
    <row r="65">
      <c r="B65" s="14"/>
      <c r="C65" s="14"/>
      <c r="F65" s="14"/>
      <c r="G65" s="14"/>
      <c r="H65" s="14"/>
      <c r="I65" s="142"/>
      <c r="J65" s="143"/>
      <c r="N65" s="4">
        <v>10.0</v>
      </c>
      <c r="O65" s="146" t="str">
        <f>COUNTIFS(#REF!,"&gt;="&amp;N65,'TJ List'!D:D,"MLB",'TJ List'!E:E,"P",'TJ List'!S:S,"&lt;=2009",'TJ List'!J:J,"&gt;=24",'TJ List'!J:J,"&lt;=27")/COUNTIFS('TJ List'!D:D,"MLB",'TJ List'!E:E,"P",'TJ List'!S:S,"&lt;=2009",'TJ List'!J:J,"&gt;=24",'TJ List'!J:J,"&lt;=27")</f>
        <v>#VALUE!</v>
      </c>
      <c r="P65" s="145" t="str">
        <f>COUNTIFS(#REF!,"&gt;="&amp;Q65,'TJ List'!D:D,"MLB",'TJ List'!E:E,"P",'TJ List'!S:S,"&lt;=2009",'TJ List'!J:J,"&gt;=24",'TJ List'!J:J,"&lt;=27")/COUNTIFS('TJ List'!D:D,"MLB",'TJ List'!E:E,"P",'TJ List'!S:S,"&lt;=2009",'TJ List'!J:J,"&gt;=24",'TJ List'!J:J,"&lt;=27")</f>
        <v>#VALUE!</v>
      </c>
      <c r="Q65" s="4">
        <v>50.0</v>
      </c>
    </row>
    <row r="66">
      <c r="B66" s="14"/>
      <c r="C66" s="14"/>
      <c r="F66" s="14"/>
      <c r="G66" s="14"/>
      <c r="H66" s="14"/>
      <c r="I66" s="142"/>
      <c r="J66" s="143"/>
      <c r="N66" s="4">
        <v>20.0</v>
      </c>
      <c r="O66" s="146" t="str">
        <f>COUNTIFS(#REF!,"&gt;="&amp;N66,'TJ List'!D:D,"MLB",'TJ List'!E:E,"P",'TJ List'!S:S,"&lt;=2009",'TJ List'!J:J,"&gt;=24",'TJ List'!J:J,"&lt;=27")/COUNTIFS('TJ List'!D:D,"MLB",'TJ List'!E:E,"P",'TJ List'!S:S,"&lt;=2009",'TJ List'!J:J,"&gt;=24",'TJ List'!J:J,"&lt;=27")</f>
        <v>#VALUE!</v>
      </c>
      <c r="P66" s="145" t="str">
        <f>COUNTIFS(#REF!,"&gt;="&amp;Q66,'TJ List'!D:D,"MLB",'TJ List'!E:E,"P",'TJ List'!S:S,"&lt;=2009",'TJ List'!J:J,"&gt;=24",'TJ List'!J:J,"&lt;=27")/COUNTIFS('TJ List'!D:D,"MLB",'TJ List'!E:E,"P",'TJ List'!S:S,"&lt;=2009",'TJ List'!J:J,"&gt;=24",'TJ List'!J:J,"&lt;=27")</f>
        <v>#VALUE!</v>
      </c>
      <c r="Q66" s="4">
        <f>N66*5</f>
        <v>100</v>
      </c>
    </row>
    <row r="67">
      <c r="B67" s="14"/>
      <c r="C67" s="14"/>
      <c r="F67" s="14"/>
      <c r="G67" s="14"/>
      <c r="H67" s="14"/>
      <c r="I67" s="142"/>
      <c r="J67" s="143"/>
      <c r="N67" s="4">
        <v>30.0</v>
      </c>
      <c r="O67" s="146" t="str">
        <f>COUNTIFS(#REF!,"&gt;="&amp;N67,'TJ List'!D:D,"MLB",'TJ List'!E:E,"P",'TJ List'!S:S,"&lt;=2009",'TJ List'!J:J,"&gt;=24",'TJ List'!J:J,"&lt;=27")/COUNTIFS('TJ List'!D:D,"MLB",'TJ List'!E:E,"P",'TJ List'!S:S,"&lt;=2009",'TJ List'!J:J,"&gt;=24",'TJ List'!J:J,"&lt;=27")</f>
        <v>#VALUE!</v>
      </c>
      <c r="P67" s="145" t="str">
        <f>COUNTIFS(#REF!,"&gt;="&amp;Q67,'TJ List'!D:D,"MLB",'TJ List'!E:E,"P",'TJ List'!S:S,"&lt;=2009",'TJ List'!J:J,"&gt;=24",'TJ List'!J:J,"&lt;=27")/COUNTIFS('TJ List'!D:D,"MLB",'TJ List'!E:E,"P",'TJ List'!S:S,"&lt;=2009",'TJ List'!J:J,"&gt;=24",'TJ List'!J:J,"&lt;=27")</f>
        <v>#VALUE!</v>
      </c>
      <c r="Q67" s="4">
        <v>150.0</v>
      </c>
    </row>
    <row r="68">
      <c r="B68" s="14"/>
      <c r="C68" s="14"/>
      <c r="F68" s="14"/>
      <c r="G68" s="14"/>
      <c r="H68" s="14"/>
      <c r="I68" s="142"/>
      <c r="J68" s="143"/>
      <c r="N68" s="4">
        <v>40.0</v>
      </c>
      <c r="O68" s="146" t="str">
        <f>COUNTIFS(#REF!,"&gt;="&amp;N68,'TJ List'!D:D,"MLB",'TJ List'!E:E,"P",'TJ List'!S:S,"&lt;=2009",'TJ List'!J:J,"&gt;=24",'TJ List'!J:J,"&lt;=27")/COUNTIFS('TJ List'!D:D,"MLB",'TJ List'!E:E,"P",'TJ List'!S:S,"&lt;=2009",'TJ List'!J:J,"&gt;=24",'TJ List'!J:J,"&lt;=27")</f>
        <v>#VALUE!</v>
      </c>
      <c r="P68" s="145" t="str">
        <f>COUNTIFS(#REF!,"&gt;="&amp;Q68,'TJ List'!D:D,"MLB",'TJ List'!E:E,"P",'TJ List'!S:S,"&lt;=2009",'TJ List'!J:J,"&gt;=24",'TJ List'!J:J,"&lt;=27")/COUNTIFS('TJ List'!D:D,"MLB",'TJ List'!E:E,"P",'TJ List'!S:S,"&lt;=2009",'TJ List'!J:J,"&gt;=24",'TJ List'!J:J,"&lt;=27")</f>
        <v>#VALUE!</v>
      </c>
      <c r="Q68" s="4">
        <f t="shared" ref="Q68:Q74" si="8">N68*5</f>
        <v>200</v>
      </c>
    </row>
    <row r="69">
      <c r="B69" s="14"/>
      <c r="C69" s="14"/>
      <c r="F69" s="14"/>
      <c r="G69" s="14"/>
      <c r="H69" s="14"/>
      <c r="I69" s="142"/>
      <c r="J69" s="143"/>
      <c r="N69" s="4">
        <v>50.0</v>
      </c>
      <c r="O69" s="146" t="str">
        <f>COUNTIFS(#REF!,"&gt;="&amp;N69,'TJ List'!D:D,"MLB",'TJ List'!E:E,"P",'TJ List'!S:S,"&lt;=2009",'TJ List'!J:J,"&gt;=24",'TJ List'!J:J,"&lt;=27")/COUNTIFS('TJ List'!D:D,"MLB",'TJ List'!E:E,"P",'TJ List'!S:S,"&lt;=2009",'TJ List'!J:J,"&gt;=24",'TJ List'!J:J,"&lt;=27")</f>
        <v>#VALUE!</v>
      </c>
      <c r="P69" s="145" t="str">
        <f>COUNTIFS(#REF!,"&gt;="&amp;Q69,'TJ List'!D:D,"MLB",'TJ List'!E:E,"P",'TJ List'!S:S,"&lt;=2009",'TJ List'!J:J,"&gt;=24",'TJ List'!J:J,"&lt;=27")/COUNTIFS('TJ List'!D:D,"MLB",'TJ List'!E:E,"P",'TJ List'!S:S,"&lt;=2009",'TJ List'!J:J,"&gt;=24",'TJ List'!J:J,"&lt;=27")</f>
        <v>#VALUE!</v>
      </c>
      <c r="Q69" s="4">
        <f t="shared" si="8"/>
        <v>250</v>
      </c>
    </row>
    <row r="70">
      <c r="B70" s="14"/>
      <c r="C70" s="14"/>
      <c r="F70" s="14"/>
      <c r="G70" s="14"/>
      <c r="H70" s="14"/>
      <c r="I70" s="142"/>
      <c r="J70" s="143"/>
      <c r="N70" s="4">
        <v>60.0</v>
      </c>
      <c r="O70" s="146" t="str">
        <f>COUNTIFS(#REF!,"&gt;="&amp;N70,'TJ List'!D:D,"MLB",'TJ List'!E:E,"P",'TJ List'!S:S,"&lt;=2009",'TJ List'!J:J,"&gt;=24",'TJ List'!J:J,"&lt;=27")/COUNTIFS('TJ List'!D:D,"MLB",'TJ List'!E:E,"P",'TJ List'!S:S,"&lt;=2009",'TJ List'!J:J,"&gt;=24",'TJ List'!J:J,"&lt;=27")</f>
        <v>#VALUE!</v>
      </c>
      <c r="P70" s="145" t="str">
        <f>COUNTIFS(#REF!,"&gt;="&amp;Q70,'TJ List'!D:D,"MLB",'TJ List'!E:E,"P",'TJ List'!S:S,"&lt;=2009",'TJ List'!J:J,"&gt;=24",'TJ List'!J:J,"&lt;=27")/COUNTIFS('TJ List'!D:D,"MLB",'TJ List'!E:E,"P",'TJ List'!S:S,"&lt;=2009",'TJ List'!J:J,"&gt;=24",'TJ List'!J:J,"&lt;=27")</f>
        <v>#VALUE!</v>
      </c>
      <c r="Q70" s="4">
        <f t="shared" si="8"/>
        <v>300</v>
      </c>
    </row>
    <row r="71">
      <c r="B71" s="14"/>
      <c r="C71" s="14"/>
      <c r="F71" s="14"/>
      <c r="G71" s="14"/>
      <c r="H71" s="14"/>
      <c r="I71" s="142"/>
      <c r="J71" s="143"/>
      <c r="N71" s="4">
        <v>70.0</v>
      </c>
      <c r="O71" s="146" t="str">
        <f>COUNTIFS(#REF!,"&gt;="&amp;N71,'TJ List'!D:D,"MLB",'TJ List'!E:E,"P",'TJ List'!S:S,"&lt;=2009",'TJ List'!J:J,"&gt;=24",'TJ List'!J:J,"&lt;=27")/COUNTIFS('TJ List'!D:D,"MLB",'TJ List'!E:E,"P",'TJ List'!S:S,"&lt;=2009",'TJ List'!J:J,"&gt;=24",'TJ List'!J:J,"&lt;=27")</f>
        <v>#VALUE!</v>
      </c>
      <c r="P71" s="145" t="str">
        <f>COUNTIFS(#REF!,"&gt;="&amp;Q71,'TJ List'!D:D,"MLB",'TJ List'!E:E,"P",'TJ List'!S:S,"&lt;=2009",'TJ List'!J:J,"&gt;=24",'TJ List'!J:J,"&lt;=27")/COUNTIFS('TJ List'!D:D,"MLB",'TJ List'!E:E,"P",'TJ List'!S:S,"&lt;=2009",'TJ List'!J:J,"&gt;=24",'TJ List'!J:J,"&lt;=27")</f>
        <v>#VALUE!</v>
      </c>
      <c r="Q71" s="4">
        <f t="shared" si="8"/>
        <v>350</v>
      </c>
    </row>
    <row r="72">
      <c r="B72" s="14"/>
      <c r="C72" s="14"/>
      <c r="F72" s="14"/>
      <c r="G72" s="14"/>
      <c r="H72" s="14"/>
      <c r="I72" s="142"/>
      <c r="J72" s="143"/>
      <c r="N72" s="4">
        <v>80.0</v>
      </c>
      <c r="O72" s="146" t="str">
        <f>COUNTIFS(#REF!,"&gt;="&amp;N72,'TJ List'!D:D,"MLB",'TJ List'!E:E,"P",'TJ List'!S:S,"&lt;=2009",'TJ List'!J:J,"&gt;=24",'TJ List'!J:J,"&lt;=27")/COUNTIFS('TJ List'!D:D,"MLB",'TJ List'!E:E,"P",'TJ List'!S:S,"&lt;=2009",'TJ List'!J:J,"&gt;=24",'TJ List'!J:J,"&lt;=27")</f>
        <v>#VALUE!</v>
      </c>
      <c r="P72" s="145" t="str">
        <f>COUNTIFS(#REF!,"&gt;="&amp;Q72,'TJ List'!D:D,"MLB",'TJ List'!E:E,"P",'TJ List'!S:S,"&lt;=2009",'TJ List'!J:J,"&gt;=24",'TJ List'!J:J,"&lt;=27")/COUNTIFS('TJ List'!D:D,"MLB",'TJ List'!E:E,"P",'TJ List'!S:S,"&lt;=2009",'TJ List'!J:J,"&gt;=24",'TJ List'!J:J,"&lt;=27")</f>
        <v>#VALUE!</v>
      </c>
      <c r="Q72" s="4">
        <f t="shared" si="8"/>
        <v>400</v>
      </c>
    </row>
    <row r="73">
      <c r="B73" s="14"/>
      <c r="C73" s="14"/>
      <c r="F73" s="14"/>
      <c r="G73" s="14"/>
      <c r="H73" s="14"/>
      <c r="I73" s="142"/>
      <c r="J73" s="143"/>
      <c r="N73" s="30">
        <v>90.0</v>
      </c>
      <c r="O73" s="146" t="str">
        <f>COUNTIFS(#REF!,"&gt;="&amp;N73,'TJ List'!D:D,"MLB",'TJ List'!E:E,"P",'TJ List'!S:S,"&lt;=2009",'TJ List'!J:J,"&gt;=24",'TJ List'!J:J,"&lt;=27")/COUNTIFS('TJ List'!D:D,"MLB",'TJ List'!E:E,"P",'TJ List'!S:S,"&lt;=2009",'TJ List'!J:J,"&gt;=24",'TJ List'!J:J,"&lt;=27")</f>
        <v>#VALUE!</v>
      </c>
      <c r="P73" s="145" t="str">
        <f>COUNTIFS(#REF!,"&gt;="&amp;Q73,'TJ List'!D:D,"MLB",'TJ List'!E:E,"P",'TJ List'!S:S,"&lt;=2009",'TJ List'!J:J,"&gt;=24",'TJ List'!J:J,"&lt;=27")/COUNTIFS('TJ List'!D:D,"MLB",'TJ List'!E:E,"P",'TJ List'!S:S,"&lt;=2009",'TJ List'!J:J,"&gt;=24",'TJ List'!J:J,"&lt;=27")</f>
        <v>#VALUE!</v>
      </c>
      <c r="Q73" s="4">
        <f t="shared" si="8"/>
        <v>450</v>
      </c>
    </row>
    <row r="74">
      <c r="B74" s="14"/>
      <c r="C74" s="14"/>
      <c r="F74" s="14"/>
      <c r="G74" s="14"/>
      <c r="H74" s="14"/>
      <c r="I74" s="142"/>
      <c r="J74" s="143"/>
      <c r="N74" s="4">
        <v>100.0</v>
      </c>
      <c r="O74" s="146" t="str">
        <f>COUNTIFS(#REF!,"&gt;="&amp;N74,'TJ List'!D:D,"MLB",'TJ List'!E:E,"P",'TJ List'!S:S,"&lt;=2009",'TJ List'!J:J,"&gt;=24",'TJ List'!J:J,"&lt;=27")/COUNTIFS('TJ List'!D:D,"MLB",'TJ List'!E:E,"P",'TJ List'!S:S,"&lt;=2009",'TJ List'!J:J,"&gt;=24",'TJ List'!J:J,"&lt;=27")</f>
        <v>#VALUE!</v>
      </c>
      <c r="P74" s="145" t="str">
        <f>COUNTIFS(#REF!,"&gt;="&amp;Q74,'TJ List'!D:D,"MLB",'TJ List'!E:E,"P",'TJ List'!S:S,"&lt;=2009",'TJ List'!J:J,"&gt;=24",'TJ List'!J:J,"&lt;=27")/COUNTIFS('TJ List'!D:D,"MLB",'TJ List'!E:E,"P",'TJ List'!S:S,"&lt;=2009",'TJ List'!J:J,"&gt;=24",'TJ List'!J:J,"&lt;=27")</f>
        <v>#VALUE!</v>
      </c>
      <c r="Q74" s="4">
        <f t="shared" si="8"/>
        <v>500</v>
      </c>
    </row>
    <row r="75">
      <c r="B75" s="14"/>
      <c r="C75" s="14"/>
      <c r="F75" s="14"/>
      <c r="G75" s="14"/>
      <c r="H75" s="14"/>
      <c r="I75" s="142"/>
      <c r="J75" s="143"/>
    </row>
    <row r="76">
      <c r="B76" s="14"/>
      <c r="C76" s="14"/>
      <c r="F76" s="14"/>
      <c r="G76" s="14"/>
      <c r="H76" s="14"/>
      <c r="I76" s="142"/>
      <c r="J76" s="143"/>
      <c r="N76" s="4" t="s">
        <v>35</v>
      </c>
      <c r="O76" s="4" t="s">
        <v>3170</v>
      </c>
      <c r="Q76" s="4" t="s">
        <v>37</v>
      </c>
    </row>
    <row r="77">
      <c r="B77" s="14"/>
      <c r="C77" s="14"/>
      <c r="F77" s="14"/>
      <c r="G77" s="14"/>
      <c r="H77" s="14"/>
      <c r="I77" s="142"/>
      <c r="J77" s="143"/>
      <c r="N77" s="4">
        <v>1.0</v>
      </c>
      <c r="O77" s="146" t="str">
        <f>COUNTIFS(#REF!,"&gt;="&amp;N77,'TJ List'!D:D,"MLB",'TJ List'!E:E,"P",'TJ List'!S:S,"&lt;=2009",'TJ List'!J:J,"&gt;=28",'TJ List'!J:J,"&lt;=31")/COUNTIFS('TJ List'!D:D,"MLB",'TJ List'!E:E,"P",'TJ List'!S:S,"&lt;=2009",'TJ List'!J:J,"&gt;=28",'TJ List'!J:J,"&lt;=31")</f>
        <v>#VALUE!</v>
      </c>
      <c r="P77" s="145" t="str">
        <f>COUNTIFS(#REF!,"&gt;="&amp;Q77,'TJ List'!D:D,"MLB",'TJ List'!E:E,"P",'TJ List'!S:S,"&lt;=2009",'TJ List'!J:J,"&gt;=28",'TJ List'!J:J,"&lt;=31")/COUNTIFS('TJ List'!D:D,"MLB",'TJ List'!E:E,"P",'TJ List'!S:S,"&lt;=2009",'TJ List'!J:J,"&gt;=28",'TJ List'!J:J,"&lt;=31")</f>
        <v>#VALUE!</v>
      </c>
      <c r="Q77" s="4">
        <f>N77*5</f>
        <v>5</v>
      </c>
    </row>
    <row r="78">
      <c r="B78" s="14"/>
      <c r="C78" s="14"/>
      <c r="F78" s="14"/>
      <c r="G78" s="14"/>
      <c r="H78" s="14"/>
      <c r="I78" s="142"/>
      <c r="J78" s="143"/>
      <c r="N78" s="4">
        <v>10.0</v>
      </c>
      <c r="O78" s="146" t="str">
        <f>COUNTIFS(#REF!,"&gt;="&amp;N78,'TJ List'!D:D,"MLB",'TJ List'!E:E,"P",'TJ List'!S:S,"&lt;=2009",'TJ List'!J:J,"&gt;=28",'TJ List'!J:J,"&lt;=31")/COUNTIFS('TJ List'!D:D,"MLB",'TJ List'!E:E,"P",'TJ List'!S:S,"&lt;=2009",'TJ List'!J:J,"&gt;=28",'TJ List'!J:J,"&lt;=31")</f>
        <v>#VALUE!</v>
      </c>
      <c r="P78" s="145" t="str">
        <f>COUNTIFS(#REF!,"&gt;="&amp;Q78,'TJ List'!D:D,"MLB",'TJ List'!E:E,"P",'TJ List'!S:S,"&lt;=2009",'TJ List'!J:J,"&gt;=28",'TJ List'!J:J,"&lt;=31")/COUNTIFS('TJ List'!D:D,"MLB",'TJ List'!E:E,"P",'TJ List'!S:S,"&lt;=2009",'TJ List'!J:J,"&gt;=28",'TJ List'!J:J,"&lt;=31")</f>
        <v>#VALUE!</v>
      </c>
      <c r="Q78" s="4">
        <v>50.0</v>
      </c>
    </row>
    <row r="79">
      <c r="B79" s="14"/>
      <c r="C79" s="14"/>
      <c r="F79" s="14"/>
      <c r="G79" s="14"/>
      <c r="H79" s="14"/>
      <c r="I79" s="142"/>
      <c r="J79" s="143"/>
      <c r="N79" s="4">
        <v>20.0</v>
      </c>
      <c r="O79" s="146" t="str">
        <f>COUNTIFS(#REF!,"&gt;="&amp;N79,'TJ List'!D:D,"MLB",'TJ List'!E:E,"P",'TJ List'!S:S,"&lt;=2009",'TJ List'!J:J,"&gt;=28",'TJ List'!J:J,"&lt;=31")/COUNTIFS('TJ List'!D:D,"MLB",'TJ List'!E:E,"P",'TJ List'!S:S,"&lt;=2009",'TJ List'!J:J,"&gt;=28",'TJ List'!J:J,"&lt;=31")</f>
        <v>#VALUE!</v>
      </c>
      <c r="P79" s="145" t="str">
        <f>COUNTIFS(#REF!,"&gt;="&amp;Q79,'TJ List'!D:D,"MLB",'TJ List'!E:E,"P",'TJ List'!S:S,"&lt;=2009",'TJ List'!J:J,"&gt;=28",'TJ List'!J:J,"&lt;=31")/COUNTIFS('TJ List'!D:D,"MLB",'TJ List'!E:E,"P",'TJ List'!S:S,"&lt;=2009",'TJ List'!J:J,"&gt;=28",'TJ List'!J:J,"&lt;=31")</f>
        <v>#VALUE!</v>
      </c>
      <c r="Q79" s="4">
        <f>N79*5</f>
        <v>100</v>
      </c>
    </row>
    <row r="80">
      <c r="B80" s="14"/>
      <c r="C80" s="14"/>
      <c r="F80" s="14"/>
      <c r="G80" s="14"/>
      <c r="H80" s="14"/>
      <c r="I80" s="142"/>
      <c r="J80" s="143"/>
      <c r="N80" s="4">
        <v>30.0</v>
      </c>
      <c r="O80" s="146" t="str">
        <f>COUNTIFS(#REF!,"&gt;="&amp;N80,'TJ List'!D:D,"MLB",'TJ List'!E:E,"P",'TJ List'!S:S,"&lt;=2009",'TJ List'!J:J,"&gt;=28",'TJ List'!J:J,"&lt;=31")/COUNTIFS('TJ List'!D:D,"MLB",'TJ List'!E:E,"P",'TJ List'!S:S,"&lt;=2009",'TJ List'!J:J,"&gt;=28",'TJ List'!J:J,"&lt;=31")</f>
        <v>#VALUE!</v>
      </c>
      <c r="P80" s="145" t="str">
        <f>COUNTIFS(#REF!,"&gt;="&amp;Q80,'TJ List'!D:D,"MLB",'TJ List'!E:E,"P",'TJ List'!S:S,"&lt;=2009",'TJ List'!J:J,"&gt;=28",'TJ List'!J:J,"&lt;=31")/COUNTIFS('TJ List'!D:D,"MLB",'TJ List'!E:E,"P",'TJ List'!S:S,"&lt;=2009",'TJ List'!J:J,"&gt;=28",'TJ List'!J:J,"&lt;=31")</f>
        <v>#VALUE!</v>
      </c>
      <c r="Q80" s="4">
        <v>150.0</v>
      </c>
    </row>
    <row r="81">
      <c r="B81" s="14"/>
      <c r="C81" s="14"/>
      <c r="F81" s="14"/>
      <c r="G81" s="14"/>
      <c r="H81" s="14"/>
      <c r="I81" s="142"/>
      <c r="J81" s="143"/>
      <c r="N81" s="4">
        <v>40.0</v>
      </c>
      <c r="O81" s="146" t="str">
        <f>COUNTIFS(#REF!,"&gt;="&amp;N81,'TJ List'!D:D,"MLB",'TJ List'!E:E,"P",'TJ List'!S:S,"&lt;=2009",'TJ List'!J:J,"&gt;=28",'TJ List'!J:J,"&lt;=31")/COUNTIFS('TJ List'!D:D,"MLB",'TJ List'!E:E,"P",'TJ List'!S:S,"&lt;=2009",'TJ List'!J:J,"&gt;=28",'TJ List'!J:J,"&lt;=31")</f>
        <v>#VALUE!</v>
      </c>
      <c r="P81" s="145" t="str">
        <f>COUNTIFS(#REF!,"&gt;="&amp;Q81,'TJ List'!D:D,"MLB",'TJ List'!E:E,"P",'TJ List'!S:S,"&lt;=2009",'TJ List'!J:J,"&gt;=28",'TJ List'!J:J,"&lt;=31")/COUNTIFS('TJ List'!D:D,"MLB",'TJ List'!E:E,"P",'TJ List'!S:S,"&lt;=2009",'TJ List'!J:J,"&gt;=28",'TJ List'!J:J,"&lt;=31")</f>
        <v>#VALUE!</v>
      </c>
      <c r="Q81" s="4">
        <f t="shared" ref="Q81:Q87" si="9">N81*5</f>
        <v>200</v>
      </c>
    </row>
    <row r="82">
      <c r="B82" s="14"/>
      <c r="C82" s="14"/>
      <c r="F82" s="14"/>
      <c r="G82" s="14"/>
      <c r="H82" s="14"/>
      <c r="I82" s="142"/>
      <c r="J82" s="143"/>
      <c r="N82" s="4">
        <v>50.0</v>
      </c>
      <c r="O82" s="146" t="str">
        <f>COUNTIFS(#REF!,"&gt;="&amp;N82,'TJ List'!D:D,"MLB",'TJ List'!E:E,"P",'TJ List'!S:S,"&lt;=2009",'TJ List'!J:J,"&gt;=28",'TJ List'!J:J,"&lt;=31")/COUNTIFS('TJ List'!D:D,"MLB",'TJ List'!E:E,"P",'TJ List'!S:S,"&lt;=2009",'TJ List'!J:J,"&gt;=28",'TJ List'!J:J,"&lt;=31")</f>
        <v>#VALUE!</v>
      </c>
      <c r="P82" s="145" t="str">
        <f>COUNTIFS(#REF!,"&gt;="&amp;Q82,'TJ List'!D:D,"MLB",'TJ List'!E:E,"P",'TJ List'!S:S,"&lt;=2009",'TJ List'!J:J,"&gt;=28",'TJ List'!J:J,"&lt;=31")/COUNTIFS('TJ List'!D:D,"MLB",'TJ List'!E:E,"P",'TJ List'!S:S,"&lt;=2009",'TJ List'!J:J,"&gt;=28",'TJ List'!J:J,"&lt;=31")</f>
        <v>#VALUE!</v>
      </c>
      <c r="Q82" s="4">
        <f t="shared" si="9"/>
        <v>250</v>
      </c>
    </row>
    <row r="83">
      <c r="B83" s="14"/>
      <c r="C83" s="14"/>
      <c r="F83" s="14"/>
      <c r="G83" s="14"/>
      <c r="H83" s="14"/>
      <c r="I83" s="142"/>
      <c r="J83" s="143"/>
      <c r="N83" s="4">
        <v>60.0</v>
      </c>
      <c r="O83" s="146" t="str">
        <f>COUNTIFS(#REF!,"&gt;="&amp;N83,'TJ List'!D:D,"MLB",'TJ List'!E:E,"P",'TJ List'!S:S,"&lt;=2009",'TJ List'!J:J,"&gt;=28",'TJ List'!J:J,"&lt;=31")/COUNTIFS('TJ List'!D:D,"MLB",'TJ List'!E:E,"P",'TJ List'!S:S,"&lt;=2009",'TJ List'!J:J,"&gt;=28",'TJ List'!J:J,"&lt;=31")</f>
        <v>#VALUE!</v>
      </c>
      <c r="P83" s="145" t="str">
        <f>COUNTIFS(#REF!,"&gt;="&amp;Q83,'TJ List'!D:D,"MLB",'TJ List'!E:E,"P",'TJ List'!S:S,"&lt;=2009",'TJ List'!J:J,"&gt;=28",'TJ List'!J:J,"&lt;=31")/COUNTIFS('TJ List'!D:D,"MLB",'TJ List'!E:E,"P",'TJ List'!S:S,"&lt;=2009",'TJ List'!J:J,"&gt;=28",'TJ List'!J:J,"&lt;=31")</f>
        <v>#VALUE!</v>
      </c>
      <c r="Q83" s="4">
        <f t="shared" si="9"/>
        <v>300</v>
      </c>
    </row>
    <row r="84">
      <c r="B84" s="14"/>
      <c r="C84" s="14"/>
      <c r="F84" s="14"/>
      <c r="G84" s="14"/>
      <c r="H84" s="14"/>
      <c r="I84" s="142"/>
      <c r="J84" s="143"/>
      <c r="N84" s="4">
        <v>70.0</v>
      </c>
      <c r="O84" s="146" t="str">
        <f>COUNTIFS(#REF!,"&gt;="&amp;N84,'TJ List'!D:D,"MLB",'TJ List'!E:E,"P",'TJ List'!S:S,"&lt;=2009",'TJ List'!J:J,"&gt;=28",'TJ List'!J:J,"&lt;=31")/COUNTIFS('TJ List'!D:D,"MLB",'TJ List'!E:E,"P",'TJ List'!S:S,"&lt;=2009",'TJ List'!J:J,"&gt;=28",'TJ List'!J:J,"&lt;=31")</f>
        <v>#VALUE!</v>
      </c>
      <c r="P84" s="145" t="str">
        <f>COUNTIFS(#REF!,"&gt;="&amp;Q84,'TJ List'!D:D,"MLB",'TJ List'!E:E,"P",'TJ List'!S:S,"&lt;=2009",'TJ List'!J:J,"&gt;=28",'TJ List'!J:J,"&lt;=31")/COUNTIFS('TJ List'!D:D,"MLB",'TJ List'!E:E,"P",'TJ List'!S:S,"&lt;=2009",'TJ List'!J:J,"&gt;=28",'TJ List'!J:J,"&lt;=31")</f>
        <v>#VALUE!</v>
      </c>
      <c r="Q84" s="4">
        <f t="shared" si="9"/>
        <v>350</v>
      </c>
    </row>
    <row r="85">
      <c r="B85" s="14"/>
      <c r="C85" s="14"/>
      <c r="F85" s="14"/>
      <c r="G85" s="14"/>
      <c r="H85" s="14"/>
      <c r="I85" s="142"/>
      <c r="J85" s="143"/>
      <c r="N85" s="4">
        <v>80.0</v>
      </c>
      <c r="O85" s="146" t="str">
        <f>COUNTIFS(#REF!,"&gt;="&amp;N85,'TJ List'!D:D,"MLB",'TJ List'!E:E,"P",'TJ List'!S:S,"&lt;=2009",'TJ List'!J:J,"&gt;=28",'TJ List'!J:J,"&lt;=31")/COUNTIFS('TJ List'!D:D,"MLB",'TJ List'!E:E,"P",'TJ List'!S:S,"&lt;=2009",'TJ List'!J:J,"&gt;=28",'TJ List'!J:J,"&lt;=31")</f>
        <v>#VALUE!</v>
      </c>
      <c r="P85" s="145" t="str">
        <f>COUNTIFS(#REF!,"&gt;="&amp;Q85,'TJ List'!D:D,"MLB",'TJ List'!E:E,"P",'TJ List'!S:S,"&lt;=2009",'TJ List'!J:J,"&gt;=28",'TJ List'!J:J,"&lt;=31")/COUNTIFS('TJ List'!D:D,"MLB",'TJ List'!E:E,"P",'TJ List'!S:S,"&lt;=2009",'TJ List'!J:J,"&gt;=28",'TJ List'!J:J,"&lt;=31")</f>
        <v>#VALUE!</v>
      </c>
      <c r="Q85" s="4">
        <f t="shared" si="9"/>
        <v>400</v>
      </c>
    </row>
    <row r="86">
      <c r="B86" s="14"/>
      <c r="C86" s="14"/>
      <c r="F86" s="14"/>
      <c r="G86" s="14"/>
      <c r="H86" s="14"/>
      <c r="I86" s="142"/>
      <c r="J86" s="143"/>
      <c r="N86" s="30">
        <v>90.0</v>
      </c>
      <c r="O86" s="146" t="str">
        <f>COUNTIFS(#REF!,"&gt;="&amp;N86,'TJ List'!D:D,"MLB",'TJ List'!E:E,"P",'TJ List'!S:S,"&lt;=2009",'TJ List'!J:J,"&gt;=28",'TJ List'!J:J,"&lt;=31")/COUNTIFS('TJ List'!D:D,"MLB",'TJ List'!E:E,"P",'TJ List'!S:S,"&lt;=2009",'TJ List'!J:J,"&gt;=28",'TJ List'!J:J,"&lt;=31")</f>
        <v>#VALUE!</v>
      </c>
      <c r="P86" s="145" t="str">
        <f>COUNTIFS(#REF!,"&gt;="&amp;Q86,'TJ List'!D:D,"MLB",'TJ List'!E:E,"P",'TJ List'!S:S,"&lt;=2009",'TJ List'!J:J,"&gt;=28",'TJ List'!J:J,"&lt;=31")/COUNTIFS('TJ List'!D:D,"MLB",'TJ List'!E:E,"P",'TJ List'!S:S,"&lt;=2009",'TJ List'!J:J,"&gt;=28",'TJ List'!J:J,"&lt;=31")</f>
        <v>#VALUE!</v>
      </c>
      <c r="Q86" s="4">
        <f t="shared" si="9"/>
        <v>450</v>
      </c>
    </row>
    <row r="87">
      <c r="B87" s="14"/>
      <c r="C87" s="14"/>
      <c r="F87" s="14"/>
      <c r="G87" s="14"/>
      <c r="H87" s="14"/>
      <c r="I87" s="142"/>
      <c r="J87" s="143"/>
      <c r="N87" s="4">
        <v>100.0</v>
      </c>
      <c r="O87" s="146" t="str">
        <f>COUNTIFS(#REF!,"&gt;="&amp;N87,'TJ List'!D:D,"MLB",'TJ List'!E:E,"P",'TJ List'!S:S,"&lt;=2009",'TJ List'!J:J,"&gt;=28",'TJ List'!J:J,"&lt;=31")/COUNTIFS('TJ List'!D:D,"MLB",'TJ List'!E:E,"P",'TJ List'!S:S,"&lt;=2009",'TJ List'!J:J,"&gt;=28",'TJ List'!J:J,"&lt;=31")</f>
        <v>#VALUE!</v>
      </c>
      <c r="P87" s="145" t="str">
        <f>COUNTIFS(#REF!,"&gt;="&amp;Q87,'TJ List'!D:D,"MLB",'TJ List'!E:E,"P",'TJ List'!S:S,"&lt;=2009",'TJ List'!J:J,"&gt;=28",'TJ List'!J:J,"&lt;=31")/COUNTIFS('TJ List'!D:D,"MLB",'TJ List'!E:E,"P",'TJ List'!S:S,"&lt;=2009",'TJ List'!J:J,"&gt;=28",'TJ List'!J:J,"&lt;=31")</f>
        <v>#VALUE!</v>
      </c>
      <c r="Q87" s="4">
        <f t="shared" si="9"/>
        <v>500</v>
      </c>
    </row>
    <row r="88">
      <c r="B88" s="14"/>
      <c r="C88" s="14"/>
      <c r="F88" s="14"/>
      <c r="G88" s="14"/>
      <c r="H88" s="14"/>
      <c r="I88" s="142"/>
      <c r="J88" s="143"/>
    </row>
    <row r="89">
      <c r="B89" s="14"/>
      <c r="C89" s="14"/>
      <c r="F89" s="14"/>
      <c r="G89" s="14"/>
      <c r="H89" s="14"/>
      <c r="I89" s="142"/>
      <c r="J89" s="143"/>
      <c r="N89" s="4" t="s">
        <v>35</v>
      </c>
      <c r="O89" s="4" t="s">
        <v>3173</v>
      </c>
      <c r="Q89" s="4" t="s">
        <v>37</v>
      </c>
    </row>
    <row r="90">
      <c r="B90" s="14"/>
      <c r="C90" s="14"/>
      <c r="F90" s="14"/>
      <c r="G90" s="14"/>
      <c r="H90" s="14"/>
      <c r="I90" s="142"/>
      <c r="J90" s="143"/>
      <c r="N90" s="4">
        <v>1.0</v>
      </c>
      <c r="O90" s="146" t="str">
        <f>COUNTIFS(#REF!,"&gt;="&amp;N90,'TJ List'!D:D,"MLB",'TJ List'!E:E,"P",'TJ List'!S:S,"&lt;=2009",'TJ List'!J:J,"&gt;=32",'TJ List'!J:J,"&lt;=50")/COUNTIFS('TJ List'!D:D,"MLB",'TJ List'!E:E,"P",'TJ List'!S:S,"&lt;=2009",'TJ List'!J:J,"&gt;=32",'TJ List'!J:J,"&lt;=50")</f>
        <v>#VALUE!</v>
      </c>
      <c r="P90" s="145" t="str">
        <f>COUNTIFS(#REF!,"&gt;="&amp;Q90,'TJ List'!D:D,"MLB",'TJ List'!E:E,"P",'TJ List'!S:S,"&lt;=2009",'TJ List'!J:J,"&gt;=32",'TJ List'!J:J,"&lt;=50")/COUNTIFS('TJ List'!D:D,"MLB",'TJ List'!E:E,"P",'TJ List'!S:S,"&lt;=2009",'TJ List'!J:J,"&gt;=32",'TJ List'!J:J,"&lt;=50")</f>
        <v>#VALUE!</v>
      </c>
      <c r="Q90" s="4">
        <f>N90*5</f>
        <v>5</v>
      </c>
    </row>
    <row r="91">
      <c r="B91" s="14"/>
      <c r="C91" s="14"/>
      <c r="F91" s="14"/>
      <c r="G91" s="14"/>
      <c r="H91" s="14"/>
      <c r="I91" s="142"/>
      <c r="J91" s="143"/>
      <c r="N91" s="4">
        <v>10.0</v>
      </c>
      <c r="O91" s="146" t="str">
        <f>COUNTIFS(#REF!,"&gt;="&amp;N91,'TJ List'!D:D,"MLB",'TJ List'!E:E,"P",'TJ List'!S:S,"&lt;=2009",'TJ List'!J:J,"&gt;=32",'TJ List'!J:J,"&lt;=50")/COUNTIFS('TJ List'!D:D,"MLB",'TJ List'!E:E,"P",'TJ List'!S:S,"&lt;=2009",'TJ List'!J:J,"&gt;=32",'TJ List'!J:J,"&lt;=50")</f>
        <v>#VALUE!</v>
      </c>
      <c r="P91" s="145" t="str">
        <f>COUNTIFS(#REF!,"&gt;="&amp;Q91,'TJ List'!D:D,"MLB",'TJ List'!E:E,"P",'TJ List'!S:S,"&lt;=2009",'TJ List'!J:J,"&gt;=32",'TJ List'!J:J,"&lt;=50")/COUNTIFS('TJ List'!D:D,"MLB",'TJ List'!E:E,"P",'TJ List'!S:S,"&lt;=2009",'TJ List'!J:J,"&gt;=32",'TJ List'!J:J,"&lt;=50")</f>
        <v>#VALUE!</v>
      </c>
      <c r="Q91" s="4">
        <v>50.0</v>
      </c>
    </row>
    <row r="92">
      <c r="B92" s="14"/>
      <c r="C92" s="14"/>
      <c r="F92" s="14"/>
      <c r="G92" s="14"/>
      <c r="H92" s="14"/>
      <c r="I92" s="142"/>
      <c r="J92" s="143"/>
      <c r="N92" s="4">
        <v>20.0</v>
      </c>
      <c r="O92" s="146" t="str">
        <f>COUNTIFS(#REF!,"&gt;="&amp;N92,'TJ List'!D:D,"MLB",'TJ List'!E:E,"P",'TJ List'!S:S,"&lt;=2009",'TJ List'!J:J,"&gt;=32",'TJ List'!J:J,"&lt;=50")/COUNTIFS('TJ List'!D:D,"MLB",'TJ List'!E:E,"P",'TJ List'!S:S,"&lt;=2009",'TJ List'!J:J,"&gt;=32",'TJ List'!J:J,"&lt;=50")</f>
        <v>#VALUE!</v>
      </c>
      <c r="P92" s="145" t="str">
        <f>COUNTIFS(#REF!,"&gt;="&amp;Q92,'TJ List'!D:D,"MLB",'TJ List'!E:E,"P",'TJ List'!S:S,"&lt;=2009",'TJ List'!J:J,"&gt;=32",'TJ List'!J:J,"&lt;=50")/COUNTIFS('TJ List'!D:D,"MLB",'TJ List'!E:E,"P",'TJ List'!S:S,"&lt;=2009",'TJ List'!J:J,"&gt;=32",'TJ List'!J:J,"&lt;=50")</f>
        <v>#VALUE!</v>
      </c>
      <c r="Q92" s="4">
        <f t="shared" ref="Q92:Q100" si="10">N92*5</f>
        <v>100</v>
      </c>
    </row>
    <row r="93">
      <c r="B93" s="14"/>
      <c r="C93" s="14"/>
      <c r="F93" s="14"/>
      <c r="G93" s="14"/>
      <c r="H93" s="14"/>
      <c r="I93" s="142"/>
      <c r="J93" s="143"/>
      <c r="N93" s="4">
        <v>30.0</v>
      </c>
      <c r="O93" s="146" t="str">
        <f>COUNTIFS(#REF!,"&gt;="&amp;N93,'TJ List'!D:D,"MLB",'TJ List'!E:E,"P",'TJ List'!S:S,"&lt;=2009",'TJ List'!J:J,"&gt;=32",'TJ List'!J:J,"&lt;=50")/COUNTIFS('TJ List'!D:D,"MLB",'TJ List'!E:E,"P",'TJ List'!S:S,"&lt;=2009",'TJ List'!J:J,"&gt;=32",'TJ List'!J:J,"&lt;=50")</f>
        <v>#VALUE!</v>
      </c>
      <c r="P93" s="145" t="str">
        <f>COUNTIFS(#REF!,"&gt;="&amp;Q93,'TJ List'!D:D,"MLB",'TJ List'!E:E,"P",'TJ List'!S:S,"&lt;=2009",'TJ List'!J:J,"&gt;=32",'TJ List'!J:J,"&lt;=50")/COUNTIFS('TJ List'!D:D,"MLB",'TJ List'!E:E,"P",'TJ List'!S:S,"&lt;=2009",'TJ List'!J:J,"&gt;=32",'TJ List'!J:J,"&lt;=50")</f>
        <v>#VALUE!</v>
      </c>
      <c r="Q93" s="4">
        <f t="shared" si="10"/>
        <v>150</v>
      </c>
    </row>
    <row r="94">
      <c r="B94" s="14"/>
      <c r="C94" s="14"/>
      <c r="F94" s="14"/>
      <c r="G94" s="14"/>
      <c r="H94" s="14"/>
      <c r="I94" s="142"/>
      <c r="J94" s="143"/>
      <c r="N94" s="4">
        <v>40.0</v>
      </c>
      <c r="O94" s="146" t="str">
        <f>COUNTIFS(#REF!,"&gt;="&amp;N94,'TJ List'!D:D,"MLB",'TJ List'!E:E,"P",'TJ List'!S:S,"&lt;=2009",'TJ List'!J:J,"&gt;=32",'TJ List'!J:J,"&lt;=50")/COUNTIFS('TJ List'!D:D,"MLB",'TJ List'!E:E,"P",'TJ List'!S:S,"&lt;=2009",'TJ List'!J:J,"&gt;=32",'TJ List'!J:J,"&lt;=50")</f>
        <v>#VALUE!</v>
      </c>
      <c r="P94" s="145" t="str">
        <f>COUNTIFS(#REF!,"&gt;="&amp;Q94,'TJ List'!D:D,"MLB",'TJ List'!E:E,"P",'TJ List'!S:S,"&lt;=2009",'TJ List'!J:J,"&gt;=32",'TJ List'!J:J,"&lt;=50")/COUNTIFS('TJ List'!D:D,"MLB",'TJ List'!E:E,"P",'TJ List'!S:S,"&lt;=2009",'TJ List'!J:J,"&gt;=32",'TJ List'!J:J,"&lt;=50")</f>
        <v>#VALUE!</v>
      </c>
      <c r="Q94" s="4">
        <f t="shared" si="10"/>
        <v>200</v>
      </c>
    </row>
    <row r="95">
      <c r="B95" s="14"/>
      <c r="C95" s="14"/>
      <c r="F95" s="14"/>
      <c r="G95" s="14"/>
      <c r="H95" s="14"/>
      <c r="I95" s="142"/>
      <c r="J95" s="143"/>
      <c r="N95" s="4">
        <v>50.0</v>
      </c>
      <c r="O95" s="146" t="str">
        <f>COUNTIFS(#REF!,"&gt;="&amp;N95,'TJ List'!D:D,"MLB",'TJ List'!E:E,"P",'TJ List'!S:S,"&lt;=2009",'TJ List'!J:J,"&gt;=32",'TJ List'!J:J,"&lt;=50")/COUNTIFS('TJ List'!D:D,"MLB",'TJ List'!E:E,"P",'TJ List'!S:S,"&lt;=2009",'TJ List'!J:J,"&gt;=32",'TJ List'!J:J,"&lt;=50")</f>
        <v>#VALUE!</v>
      </c>
      <c r="P95" s="145" t="str">
        <f>COUNTIFS(#REF!,"&gt;="&amp;Q95,'TJ List'!D:D,"MLB",'TJ List'!E:E,"P",'TJ List'!S:S,"&lt;=2009",'TJ List'!J:J,"&gt;=32",'TJ List'!J:J,"&lt;=50")/COUNTIFS('TJ List'!D:D,"MLB",'TJ List'!E:E,"P",'TJ List'!S:S,"&lt;=2009",'TJ List'!J:J,"&gt;=32",'TJ List'!J:J,"&lt;=50")</f>
        <v>#VALUE!</v>
      </c>
      <c r="Q95" s="4">
        <f t="shared" si="10"/>
        <v>250</v>
      </c>
    </row>
    <row r="96">
      <c r="B96" s="14"/>
      <c r="C96" s="14"/>
      <c r="F96" s="14"/>
      <c r="G96" s="14"/>
      <c r="H96" s="14"/>
      <c r="I96" s="142"/>
      <c r="J96" s="143"/>
      <c r="N96" s="4">
        <v>60.0</v>
      </c>
      <c r="O96" s="146" t="str">
        <f>COUNTIFS(#REF!,"&gt;="&amp;N96,'TJ List'!D:D,"MLB",'TJ List'!E:E,"P",'TJ List'!S:S,"&lt;=2009",'TJ List'!J:J,"&gt;=32",'TJ List'!J:J,"&lt;=50")/COUNTIFS('TJ List'!D:D,"MLB",'TJ List'!E:E,"P",'TJ List'!S:S,"&lt;=2009",'TJ List'!J:J,"&gt;=32",'TJ List'!J:J,"&lt;=50")</f>
        <v>#VALUE!</v>
      </c>
      <c r="P96" s="145" t="str">
        <f>COUNTIFS(#REF!,"&gt;="&amp;Q96,'TJ List'!D:D,"MLB",'TJ List'!E:E,"P",'TJ List'!S:S,"&lt;=2009",'TJ List'!J:J,"&gt;=32",'TJ List'!J:J,"&lt;=50")/COUNTIFS('TJ List'!D:D,"MLB",'TJ List'!E:E,"P",'TJ List'!S:S,"&lt;=2009",'TJ List'!J:J,"&gt;=32",'TJ List'!J:J,"&lt;=50")</f>
        <v>#VALUE!</v>
      </c>
      <c r="Q96" s="4">
        <f t="shared" si="10"/>
        <v>300</v>
      </c>
    </row>
    <row r="97">
      <c r="B97" s="14"/>
      <c r="C97" s="14"/>
      <c r="F97" s="14"/>
      <c r="G97" s="14"/>
      <c r="H97" s="14"/>
      <c r="I97" s="142"/>
      <c r="J97" s="143"/>
      <c r="N97" s="4">
        <v>70.0</v>
      </c>
      <c r="O97" s="146" t="str">
        <f>COUNTIFS(#REF!,"&gt;="&amp;N97,'TJ List'!D:D,"MLB",'TJ List'!E:E,"P",'TJ List'!S:S,"&lt;=2009",'TJ List'!J:J,"&gt;=32",'TJ List'!J:J,"&lt;=50")/COUNTIFS('TJ List'!D:D,"MLB",'TJ List'!E:E,"P",'TJ List'!S:S,"&lt;=2009",'TJ List'!J:J,"&gt;=32",'TJ List'!J:J,"&lt;=50")</f>
        <v>#VALUE!</v>
      </c>
      <c r="P97" s="145" t="str">
        <f>COUNTIFS(#REF!,"&gt;="&amp;Q97,'TJ List'!D:D,"MLB",'TJ List'!E:E,"P",'TJ List'!S:S,"&lt;=2009",'TJ List'!J:J,"&gt;=32",'TJ List'!J:J,"&lt;=50")/COUNTIFS('TJ List'!D:D,"MLB",'TJ List'!E:E,"P",'TJ List'!S:S,"&lt;=2009",'TJ List'!J:J,"&gt;=32",'TJ List'!J:J,"&lt;=50")</f>
        <v>#VALUE!</v>
      </c>
      <c r="Q97" s="4">
        <f t="shared" si="10"/>
        <v>350</v>
      </c>
    </row>
    <row r="98">
      <c r="B98" s="14"/>
      <c r="C98" s="14"/>
      <c r="F98" s="14"/>
      <c r="G98" s="14"/>
      <c r="H98" s="14"/>
      <c r="I98" s="142"/>
      <c r="J98" s="143"/>
      <c r="N98" s="4">
        <v>80.0</v>
      </c>
      <c r="O98" s="146" t="str">
        <f>COUNTIFS(#REF!,"&gt;="&amp;N98,'TJ List'!D:D,"MLB",'TJ List'!E:E,"P",'TJ List'!S:S,"&lt;=2009",'TJ List'!J:J,"&gt;=32",'TJ List'!J:J,"&lt;=50")/COUNTIFS('TJ List'!D:D,"MLB",'TJ List'!E:E,"P",'TJ List'!S:S,"&lt;=2009",'TJ List'!J:J,"&gt;=32",'TJ List'!J:J,"&lt;=50")</f>
        <v>#VALUE!</v>
      </c>
      <c r="P98" s="145" t="str">
        <f>COUNTIFS(#REF!,"&gt;="&amp;Q98,'TJ List'!D:D,"MLB",'TJ List'!E:E,"P",'TJ List'!S:S,"&lt;=2009",'TJ List'!J:J,"&gt;=32",'TJ List'!J:J,"&lt;=50")/COUNTIFS('TJ List'!D:D,"MLB",'TJ List'!E:E,"P",'TJ List'!S:S,"&lt;=2009",'TJ List'!J:J,"&gt;=32",'TJ List'!J:J,"&lt;=50")</f>
        <v>#VALUE!</v>
      </c>
      <c r="Q98" s="4">
        <f t="shared" si="10"/>
        <v>400</v>
      </c>
    </row>
    <row r="99">
      <c r="B99" s="14"/>
      <c r="C99" s="14"/>
      <c r="F99" s="14"/>
      <c r="G99" s="14"/>
      <c r="H99" s="14"/>
      <c r="I99" s="142"/>
      <c r="J99" s="143"/>
      <c r="N99" s="30">
        <v>90.0</v>
      </c>
      <c r="O99" s="146" t="str">
        <f>COUNTIFS(#REF!,"&gt;="&amp;N99,'TJ List'!D:D,"MLB",'TJ List'!E:E,"P",'TJ List'!S:S,"&lt;=2009",'TJ List'!J:J,"&gt;=32",'TJ List'!J:J,"&lt;=50")/COUNTIFS('TJ List'!D:D,"MLB",'TJ List'!E:E,"P",'TJ List'!S:S,"&lt;=2009",'TJ List'!J:J,"&gt;=32",'TJ List'!J:J,"&lt;=50")</f>
        <v>#VALUE!</v>
      </c>
      <c r="P99" s="145" t="str">
        <f>COUNTIFS(#REF!,"&gt;="&amp;Q99,'TJ List'!D:D,"MLB",'TJ List'!E:E,"P",'TJ List'!S:S,"&lt;=2009",'TJ List'!J:J,"&gt;=32",'TJ List'!J:J,"&lt;=50")/COUNTIFS('TJ List'!D:D,"MLB",'TJ List'!E:E,"P",'TJ List'!S:S,"&lt;=2009",'TJ List'!J:J,"&gt;=32",'TJ List'!J:J,"&lt;=50")</f>
        <v>#VALUE!</v>
      </c>
      <c r="Q99" s="4">
        <f t="shared" si="10"/>
        <v>450</v>
      </c>
    </row>
    <row r="100">
      <c r="B100" s="14"/>
      <c r="C100" s="14"/>
      <c r="F100" s="14"/>
      <c r="G100" s="14"/>
      <c r="H100" s="14"/>
      <c r="I100" s="142"/>
      <c r="J100" s="143"/>
      <c r="N100" s="30">
        <v>100.0</v>
      </c>
      <c r="O100" s="146" t="str">
        <f>COUNTIFS(#REF!,"&gt;="&amp;N100,'TJ List'!D:D,"MLB",'TJ List'!E:E,"P",'TJ List'!S:S,"&lt;=2009",'TJ List'!J:J,"&gt;=32",'TJ List'!J:J,"&lt;=50")/COUNTIFS('TJ List'!D:D,"MLB",'TJ List'!E:E,"P",'TJ List'!S:S,"&lt;=2009",'TJ List'!J:J,"&gt;=32",'TJ List'!J:J,"&lt;=50")</f>
        <v>#VALUE!</v>
      </c>
      <c r="P100" s="145" t="str">
        <f>COUNTIFS(#REF!,"&gt;="&amp;Q100,'TJ List'!D:D,"MLB",'TJ List'!E:E,"P",'TJ List'!S:S,"&lt;=2009",'TJ List'!J:J,"&gt;=32",'TJ List'!J:J,"&lt;=50")/COUNTIFS('TJ List'!D:D,"MLB",'TJ List'!E:E,"P",'TJ List'!S:S,"&lt;=2009",'TJ List'!J:J,"&gt;=32",'TJ List'!J:J,"&lt;=50")</f>
        <v>#VALUE!</v>
      </c>
      <c r="Q100" s="4">
        <f t="shared" si="10"/>
        <v>500</v>
      </c>
    </row>
    <row r="101">
      <c r="B101" s="14"/>
      <c r="C101" s="14"/>
      <c r="F101" s="14"/>
      <c r="G101" s="14"/>
      <c r="H101" s="14"/>
      <c r="I101" s="142"/>
      <c r="J101" s="143"/>
    </row>
    <row r="102">
      <c r="B102" s="14"/>
      <c r="C102" s="14"/>
      <c r="F102" s="14"/>
      <c r="G102" s="14"/>
      <c r="H102" s="14"/>
      <c r="I102" s="142"/>
      <c r="J102" s="143"/>
      <c r="N102" s="4" t="s">
        <v>35</v>
      </c>
      <c r="O102" s="4" t="s">
        <v>3179</v>
      </c>
      <c r="P102" s="4" t="s">
        <v>3179</v>
      </c>
      <c r="Q102" s="4" t="s">
        <v>37</v>
      </c>
    </row>
    <row r="103">
      <c r="B103" s="14"/>
      <c r="C103" s="14"/>
      <c r="F103" s="14"/>
      <c r="G103" s="14"/>
      <c r="H103" s="14"/>
      <c r="I103" s="142"/>
      <c r="J103" s="143"/>
      <c r="N103" s="4">
        <v>1.0</v>
      </c>
      <c r="O103" s="146" t="str">
        <f>COUNTIFS(#REF!,"&gt;="&amp;N103,'TJ List'!D:D,"MLB",'TJ List'!E:E,"P",'TJ List'!S:S,"&lt;=2009",'TJ List'!L:L,"&gt;=1",'TJ List'!L:L,"&lt;=11")/COUNTIFS('TJ List'!D:D,"MLB",'TJ List'!E:E,"P",'TJ List'!S:S,"&lt;=2009",'TJ List'!L:L,"&gt;=1",'TJ List'!L:L,"&lt;=11")</f>
        <v>#VALUE!</v>
      </c>
      <c r="P103" s="145" t="str">
        <f>COUNTIFS(#REF!,"&gt;="&amp;Q103,'TJ List'!D:D,"MLB",'TJ List'!E:E,"P",'TJ List'!S:S,"&lt;=2009",'TJ List'!L:L,"&gt;=1",'TJ List'!L:L,"&lt;=11")/COUNTIFS('TJ List'!D:D,"MLB",'TJ List'!E:E,"P",'TJ List'!S:S,"&lt;=2009",'TJ List'!L:L,"&gt;=1",'TJ List'!L:L,"&lt;=11")</f>
        <v>#VALUE!</v>
      </c>
      <c r="Q103" s="4">
        <v>5.0</v>
      </c>
    </row>
    <row r="104">
      <c r="B104" s="14"/>
      <c r="C104" s="14"/>
      <c r="F104" s="14"/>
      <c r="G104" s="14"/>
      <c r="H104" s="14"/>
      <c r="I104" s="142"/>
      <c r="J104" s="143"/>
      <c r="N104" s="4">
        <v>20.0</v>
      </c>
      <c r="O104" s="146" t="str">
        <f>COUNTIFS(#REF!,"&gt;="&amp;N104,'TJ List'!D:D,"MLB",'TJ List'!E:E,"P",'TJ List'!S:S,"&lt;=2009",'TJ List'!L:L,"&gt;=1",'TJ List'!L:L,"&lt;=11")/COUNTIFS('TJ List'!D:D,"MLB",'TJ List'!E:E,"P",'TJ List'!S:S,"&lt;=2009",'TJ List'!L:L,"&gt;=1",'TJ List'!L:L,"&lt;=11")</f>
        <v>#VALUE!</v>
      </c>
      <c r="P104" s="145" t="str">
        <f>COUNTIFS(#REF!,"&gt;="&amp;Q104,'TJ List'!D:D,"MLB",'TJ List'!E:E,"P",'TJ List'!S:S,"&lt;=2009",'TJ List'!L:L,"&gt;=1",'TJ List'!L:L,"&lt;=11")/COUNTIFS('TJ List'!D:D,"MLB",'TJ List'!E:E,"P",'TJ List'!S:S,"&lt;=2009",'TJ List'!L:L,"&gt;=1",'TJ List'!L:L,"&lt;=11")</f>
        <v>#VALUE!</v>
      </c>
      <c r="Q104" s="4">
        <v>50.0</v>
      </c>
    </row>
    <row r="105">
      <c r="B105" s="14"/>
      <c r="C105" s="14"/>
      <c r="F105" s="14"/>
      <c r="G105" s="14"/>
      <c r="H105" s="14"/>
      <c r="I105" s="142"/>
      <c r="J105" s="143"/>
      <c r="N105" s="4">
        <v>40.0</v>
      </c>
      <c r="O105" s="146" t="str">
        <f>COUNTIFS(#REF!,"&gt;="&amp;N105,'TJ List'!D:D,"MLB",'TJ List'!E:E,"P",'TJ List'!S:S,"&lt;=2009",'TJ List'!L:L,"&gt;=1",'TJ List'!L:L,"&lt;=11")/COUNTIFS('TJ List'!D:D,"MLB",'TJ List'!E:E,"P",'TJ List'!S:S,"&lt;=2009",'TJ List'!L:L,"&gt;=1",'TJ List'!L:L,"&lt;=11")</f>
        <v>#VALUE!</v>
      </c>
      <c r="P105" s="145" t="str">
        <f>COUNTIFS(#REF!,"&gt;="&amp;Q105,'TJ List'!D:D,"MLB",'TJ List'!E:E,"P",'TJ List'!S:S,"&lt;=2009",'TJ List'!L:L,"&gt;=1",'TJ List'!L:L,"&lt;=11")/COUNTIFS('TJ List'!D:D,"MLB",'TJ List'!E:E,"P",'TJ List'!S:S,"&lt;=2009",'TJ List'!L:L,"&gt;=1",'TJ List'!L:L,"&lt;=11")</f>
        <v>#VALUE!</v>
      </c>
      <c r="Q105" s="4">
        <v>100.0</v>
      </c>
    </row>
    <row r="106">
      <c r="B106" s="14"/>
      <c r="C106" s="14"/>
      <c r="F106" s="14"/>
      <c r="G106" s="14"/>
      <c r="H106" s="14"/>
      <c r="I106" s="142"/>
      <c r="J106" s="143"/>
      <c r="N106" s="4">
        <v>60.0</v>
      </c>
      <c r="O106" s="146" t="str">
        <f>COUNTIFS(#REF!,"&gt;="&amp;N106,'TJ List'!D:D,"MLB",'TJ List'!E:E,"P",'TJ List'!S:S,"&lt;=2009",'TJ List'!L:L,"&gt;=1",'TJ List'!L:L,"&lt;=11")/COUNTIFS('TJ List'!D:D,"MLB",'TJ List'!E:E,"P",'TJ List'!S:S,"&lt;=2009",'TJ List'!L:L,"&gt;=1",'TJ List'!L:L,"&lt;=11")</f>
        <v>#VALUE!</v>
      </c>
      <c r="P106" s="145" t="str">
        <f>COUNTIFS(#REF!,"&gt;="&amp;Q106,'TJ List'!D:D,"MLB",'TJ List'!E:E,"P",'TJ List'!S:S,"&lt;=2009",'TJ List'!L:L,"&gt;=1",'TJ List'!L:L,"&lt;=11")/COUNTIFS('TJ List'!D:D,"MLB",'TJ List'!E:E,"P",'TJ List'!S:S,"&lt;=2009",'TJ List'!L:L,"&gt;=1",'TJ List'!L:L,"&lt;=11")</f>
        <v>#VALUE!</v>
      </c>
      <c r="Q106" s="4">
        <v>150.0</v>
      </c>
    </row>
    <row r="107">
      <c r="B107" s="14"/>
      <c r="C107" s="14"/>
      <c r="F107" s="14"/>
      <c r="G107" s="14"/>
      <c r="H107" s="14"/>
      <c r="I107" s="142"/>
      <c r="J107" s="143"/>
      <c r="N107" s="4">
        <v>80.0</v>
      </c>
      <c r="O107" s="146" t="str">
        <f>COUNTIFS(#REF!,"&gt;="&amp;N107,'TJ List'!D:D,"MLB",'TJ List'!E:E,"P",'TJ List'!S:S,"&lt;=2009",'TJ List'!L:L,"&gt;=1",'TJ List'!L:L,"&lt;=11")/COUNTIFS('TJ List'!D:D,"MLB",'TJ List'!E:E,"P",'TJ List'!S:S,"&lt;=2009",'TJ List'!L:L,"&gt;=1",'TJ List'!L:L,"&lt;=11")</f>
        <v>#VALUE!</v>
      </c>
      <c r="P107" s="145" t="str">
        <f>COUNTIFS(#REF!,"&gt;="&amp;Q107,'TJ List'!D:D,"MLB",'TJ List'!E:E,"P",'TJ List'!S:S,"&lt;=2009",'TJ List'!L:L,"&gt;=1",'TJ List'!L:L,"&lt;=11")/COUNTIFS('TJ List'!D:D,"MLB",'TJ List'!E:E,"P",'TJ List'!S:S,"&lt;=2009",'TJ List'!L:L,"&gt;=1",'TJ List'!L:L,"&lt;=11")</f>
        <v>#VALUE!</v>
      </c>
      <c r="Q107" s="4">
        <v>200.0</v>
      </c>
    </row>
    <row r="108">
      <c r="B108" s="14"/>
      <c r="C108" s="14"/>
      <c r="F108" s="14"/>
      <c r="G108" s="14"/>
      <c r="H108" s="14"/>
      <c r="I108" s="142"/>
      <c r="J108" s="143"/>
      <c r="N108" s="4">
        <v>100.0</v>
      </c>
      <c r="O108" s="146" t="str">
        <f>COUNTIFS(#REF!,"&gt;="&amp;N108,'TJ List'!D:D,"MLB",'TJ List'!E:E,"P",'TJ List'!S:S,"&lt;=2009",'TJ List'!L:L,"&gt;=1",'TJ List'!L:L,"&lt;=11")/COUNTIFS('TJ List'!D:D,"MLB",'TJ List'!E:E,"P",'TJ List'!S:S,"&lt;=2009",'TJ List'!L:L,"&gt;=1",'TJ List'!L:L,"&lt;=11")</f>
        <v>#VALUE!</v>
      </c>
      <c r="P108" s="145" t="str">
        <f>COUNTIFS(#REF!,"&gt;="&amp;Q108,'TJ List'!D:D,"MLB",'TJ List'!E:E,"P",'TJ List'!S:S,"&lt;=2009",'TJ List'!L:L,"&gt;=1",'TJ List'!L:L,"&lt;=11")/COUNTIFS('TJ List'!D:D,"MLB",'TJ List'!E:E,"P",'TJ List'!S:S,"&lt;=2009",'TJ List'!L:L,"&gt;=1",'TJ List'!L:L,"&lt;=11")</f>
        <v>#VALUE!</v>
      </c>
      <c r="Q108" s="4">
        <v>250.0</v>
      </c>
    </row>
    <row r="109">
      <c r="B109" s="14"/>
      <c r="C109" s="14"/>
      <c r="F109" s="14"/>
      <c r="G109" s="14"/>
      <c r="H109" s="14"/>
      <c r="I109" s="142"/>
      <c r="J109" s="143"/>
      <c r="N109" s="4">
        <v>120.0</v>
      </c>
      <c r="O109" s="146" t="str">
        <f>COUNTIFS(#REF!,"&gt;="&amp;N109,'TJ List'!D:D,"MLB",'TJ List'!E:E,"P",'TJ List'!S:S,"&lt;=2009",'TJ List'!L:L,"&gt;=1",'TJ List'!L:L,"&lt;=11")/COUNTIFS('TJ List'!D:D,"MLB",'TJ List'!E:E,"P",'TJ List'!S:S,"&lt;=2009",'TJ List'!L:L,"&gt;=1",'TJ List'!L:L,"&lt;=11")</f>
        <v>#VALUE!</v>
      </c>
      <c r="P109" s="145" t="str">
        <f>COUNTIFS(#REF!,"&gt;="&amp;Q109,'TJ List'!D:D,"MLB",'TJ List'!E:E,"P",'TJ List'!S:S,"&lt;=2009",'TJ List'!L:L,"&gt;=1",'TJ List'!L:L,"&lt;=11")/COUNTIFS('TJ List'!D:D,"MLB",'TJ List'!E:E,"P",'TJ List'!S:S,"&lt;=2009",'TJ List'!L:L,"&gt;=1",'TJ List'!L:L,"&lt;=11")</f>
        <v>#VALUE!</v>
      </c>
      <c r="Q109" s="4">
        <v>300.0</v>
      </c>
    </row>
    <row r="110">
      <c r="B110" s="14"/>
      <c r="C110" s="14"/>
      <c r="F110" s="14"/>
      <c r="G110" s="14"/>
      <c r="H110" s="14"/>
      <c r="I110" s="142"/>
      <c r="J110" s="143"/>
      <c r="N110" s="4">
        <v>140.0</v>
      </c>
      <c r="O110" s="146" t="str">
        <f>COUNTIFS(#REF!,"&gt;="&amp;N110,'TJ List'!D:D,"MLB",'TJ List'!E:E,"P",'TJ List'!S:S,"&lt;=2009",'TJ List'!L:L,"&gt;=1",'TJ List'!L:L,"&lt;=11")/COUNTIFS('TJ List'!D:D,"MLB",'TJ List'!E:E,"P",'TJ List'!S:S,"&lt;=2009",'TJ List'!L:L,"&gt;=1",'TJ List'!L:L,"&lt;=11")</f>
        <v>#VALUE!</v>
      </c>
      <c r="P110" s="145" t="str">
        <f>COUNTIFS(#REF!,"&gt;="&amp;Q110,'TJ List'!D:D,"MLB",'TJ List'!E:E,"P",'TJ List'!S:S,"&lt;=2009",'TJ List'!L:L,"&gt;=1",'TJ List'!L:L,"&lt;=11")/COUNTIFS('TJ List'!D:D,"MLB",'TJ List'!E:E,"P",'TJ List'!S:S,"&lt;=2009",'TJ List'!L:L,"&gt;=1",'TJ List'!L:L,"&lt;=11")</f>
        <v>#VALUE!</v>
      </c>
      <c r="Q110" s="4">
        <v>350.0</v>
      </c>
    </row>
    <row r="111">
      <c r="B111" s="14"/>
      <c r="C111" s="14"/>
      <c r="F111" s="14"/>
      <c r="G111" s="14"/>
      <c r="H111" s="14"/>
      <c r="I111" s="142"/>
      <c r="J111" s="143"/>
      <c r="N111" s="4">
        <v>160.0</v>
      </c>
      <c r="O111" s="146" t="str">
        <f>COUNTIFS(#REF!,"&gt;="&amp;N111,'TJ List'!D:D,"MLB",'TJ List'!E:E,"P",'TJ List'!S:S,"&lt;=2009",'TJ List'!L:L,"&gt;=1",'TJ List'!L:L,"&lt;=11")/COUNTIFS('TJ List'!D:D,"MLB",'TJ List'!E:E,"P",'TJ List'!S:S,"&lt;=2009",'TJ List'!L:L,"&gt;=1",'TJ List'!L:L,"&lt;=11")</f>
        <v>#VALUE!</v>
      </c>
      <c r="P111" s="145" t="str">
        <f>COUNTIFS(#REF!,"&gt;="&amp;Q111,'TJ List'!D:D,"MLB",'TJ List'!E:E,"P",'TJ List'!S:S,"&lt;=2009",'TJ List'!L:L,"&gt;=1",'TJ List'!L:L,"&lt;=11")/COUNTIFS('TJ List'!D:D,"MLB",'TJ List'!E:E,"P",'TJ List'!S:S,"&lt;=2009",'TJ List'!L:L,"&gt;=1",'TJ List'!L:L,"&lt;=11")</f>
        <v>#VALUE!</v>
      </c>
      <c r="Q111" s="4">
        <v>400.0</v>
      </c>
    </row>
    <row r="112">
      <c r="B112" s="14"/>
      <c r="C112" s="14"/>
      <c r="F112" s="14"/>
      <c r="G112" s="14"/>
      <c r="H112" s="14"/>
      <c r="I112" s="142"/>
      <c r="J112" s="143"/>
      <c r="N112" s="4">
        <v>180.0</v>
      </c>
      <c r="O112" s="146" t="str">
        <f>COUNTIFS(#REF!,"&gt;="&amp;N112,'TJ List'!D:D,"MLB",'TJ List'!E:E,"P",'TJ List'!S:S,"&lt;=2009",'TJ List'!L:L,"&gt;=1",'TJ List'!L:L,"&lt;=11")/COUNTIFS('TJ List'!D:D,"MLB",'TJ List'!E:E,"P",'TJ List'!S:S,"&lt;=2009",'TJ List'!L:L,"&gt;=1",'TJ List'!L:L,"&lt;=11")</f>
        <v>#VALUE!</v>
      </c>
      <c r="P112" s="145" t="str">
        <f>COUNTIFS(#REF!,"&gt;="&amp;Q112,'TJ List'!D:D,"MLB",'TJ List'!E:E,"P",'TJ List'!S:S,"&lt;=2009",'TJ List'!L:L,"&gt;=1",'TJ List'!L:L,"&lt;=11")/COUNTIFS('TJ List'!D:D,"MLB",'TJ List'!E:E,"P",'TJ List'!S:S,"&lt;=2009",'TJ List'!L:L,"&gt;=1",'TJ List'!L:L,"&lt;=11")</f>
        <v>#VALUE!</v>
      </c>
      <c r="Q112" s="4">
        <v>450.0</v>
      </c>
    </row>
    <row r="113">
      <c r="B113" s="14"/>
      <c r="C113" s="14"/>
      <c r="F113" s="14"/>
      <c r="G113" s="14"/>
      <c r="H113" s="14"/>
      <c r="I113" s="142"/>
      <c r="J113" s="143"/>
      <c r="N113" s="4">
        <v>200.0</v>
      </c>
      <c r="O113" s="146" t="str">
        <f>COUNTIFS(#REF!,"&gt;="&amp;N113,'TJ List'!D:D,"MLB",'TJ List'!E:E,"P",'TJ List'!S:S,"&lt;=2009",'TJ List'!L:L,"&gt;=1",'TJ List'!L:L,"&lt;=11")/COUNTIFS('TJ List'!D:D,"MLB",'TJ List'!E:E,"P",'TJ List'!S:S,"&lt;=2009",'TJ List'!L:L,"&gt;=1",'TJ List'!L:L,"&lt;=11")</f>
        <v>#VALUE!</v>
      </c>
      <c r="P113" s="145" t="str">
        <f>COUNTIFS(#REF!,"&gt;="&amp;Q113,'TJ List'!D:D,"MLB",'TJ List'!E:E,"P",'TJ List'!S:S,"&lt;=2009",'TJ List'!L:L,"&gt;=1",'TJ List'!L:L,"&lt;=11")/COUNTIFS('TJ List'!D:D,"MLB",'TJ List'!E:E,"P",'TJ List'!S:S,"&lt;=2009",'TJ List'!L:L,"&gt;=1",'TJ List'!L:L,"&lt;=11")</f>
        <v>#VALUE!</v>
      </c>
      <c r="Q113" s="4">
        <v>500.0</v>
      </c>
    </row>
    <row r="114">
      <c r="B114" s="14"/>
      <c r="C114" s="14"/>
      <c r="F114" s="14"/>
      <c r="G114" s="14"/>
      <c r="H114" s="14"/>
      <c r="I114" s="142"/>
      <c r="J114" s="143"/>
    </row>
    <row r="115">
      <c r="B115" s="14"/>
      <c r="C115" s="14"/>
      <c r="F115" s="14"/>
      <c r="G115" s="14"/>
      <c r="H115" s="14"/>
      <c r="I115" s="142"/>
      <c r="J115" s="143"/>
      <c r="N115" s="4" t="s">
        <v>35</v>
      </c>
      <c r="O115" s="4" t="s">
        <v>3189</v>
      </c>
      <c r="P115" s="4" t="s">
        <v>3189</v>
      </c>
      <c r="Q115" s="4" t="s">
        <v>37</v>
      </c>
    </row>
    <row r="116">
      <c r="B116" s="14"/>
      <c r="C116" s="14"/>
      <c r="F116" s="14"/>
      <c r="G116" s="14"/>
      <c r="H116" s="14"/>
      <c r="I116" s="142"/>
      <c r="J116" s="143"/>
      <c r="N116" s="4">
        <v>1.0</v>
      </c>
      <c r="O116" s="146" t="str">
        <f>COUNTIFS(#REF!,"&gt;="&amp;N116,'TJ List'!D:D,"MLB",'TJ List'!E:E,"P",'TJ List'!S:S,"&lt;=2009",'TJ List'!L:L,"&gt;=13",'TJ List'!L:L,"&lt;=23")/COUNTIFS('TJ List'!D:D,"MLB",'TJ List'!E:E,"P",'TJ List'!S:S,"&lt;=2009",'TJ List'!L:L,"&gt;=13",'TJ List'!L:L,"&lt;=23")</f>
        <v>#VALUE!</v>
      </c>
      <c r="P116" s="145" t="str">
        <f>COUNTIFS(#REF!,"&gt;="&amp;Q116,'TJ List'!D:D,"MLB",'TJ List'!E:E,"P",'TJ List'!S:S,"&lt;=2009",'TJ List'!L:L,"&gt;=13",'TJ List'!L:L,"&lt;=23")/COUNTIFS('TJ List'!D:D,"MLB",'TJ List'!E:E,"P",'TJ List'!S:S,"&lt;=2009",'TJ List'!L:L,"&gt;=13",'TJ List'!L:L,"&lt;=23")</f>
        <v>#VALUE!</v>
      </c>
      <c r="Q116" s="4">
        <v>5.0</v>
      </c>
    </row>
    <row r="117">
      <c r="B117" s="14"/>
      <c r="C117" s="14"/>
      <c r="F117" s="14"/>
      <c r="G117" s="14"/>
      <c r="H117" s="14"/>
      <c r="I117" s="142"/>
      <c r="J117" s="143"/>
      <c r="N117" s="4">
        <v>20.0</v>
      </c>
      <c r="O117" s="146" t="str">
        <f>COUNTIFS(#REF!,"&gt;="&amp;N117,'TJ List'!D:D,"MLB",'TJ List'!E:E,"P",'TJ List'!S:S,"&lt;=2009",'TJ List'!L:L,"&gt;=13",'TJ List'!L:L,"&lt;=23")/COUNTIFS('TJ List'!D:D,"MLB",'TJ List'!E:E,"P",'TJ List'!S:S,"&lt;=2009",'TJ List'!L:L,"&gt;=13",'TJ List'!L:L,"&lt;=23")</f>
        <v>#VALUE!</v>
      </c>
      <c r="P117" s="145" t="str">
        <f>COUNTIFS(#REF!,"&gt;="&amp;Q117,'TJ List'!D:D,"MLB",'TJ List'!E:E,"P",'TJ List'!S:S,"&lt;=2009",'TJ List'!L:L,"&gt;=13",'TJ List'!L:L,"&lt;=23")/COUNTIFS('TJ List'!D:D,"MLB",'TJ List'!E:E,"P",'TJ List'!S:S,"&lt;=2009",'TJ List'!L:L,"&gt;=13",'TJ List'!L:L,"&lt;=23")</f>
        <v>#VALUE!</v>
      </c>
      <c r="Q117" s="4">
        <v>50.0</v>
      </c>
    </row>
    <row r="118">
      <c r="B118" s="14"/>
      <c r="C118" s="14"/>
      <c r="F118" s="14"/>
      <c r="G118" s="14"/>
      <c r="H118" s="14"/>
      <c r="I118" s="142"/>
      <c r="J118" s="143"/>
      <c r="N118" s="4">
        <v>40.0</v>
      </c>
      <c r="O118" s="146" t="str">
        <f>COUNTIFS(#REF!,"&gt;="&amp;N118,'TJ List'!D:D,"MLB",'TJ List'!E:E,"P",'TJ List'!S:S,"&lt;=2009",'TJ List'!L:L,"&gt;=13",'TJ List'!L:L,"&lt;=23")/COUNTIFS('TJ List'!D:D,"MLB",'TJ List'!E:E,"P",'TJ List'!S:S,"&lt;=2009",'TJ List'!L:L,"&gt;=13",'TJ List'!L:L,"&lt;=23")</f>
        <v>#VALUE!</v>
      </c>
      <c r="P118" s="145" t="str">
        <f>COUNTIFS(#REF!,"&gt;="&amp;Q118,'TJ List'!D:D,"MLB",'TJ List'!E:E,"P",'TJ List'!S:S,"&lt;=2009",'TJ List'!L:L,"&gt;=13",'TJ List'!L:L,"&lt;=23")/COUNTIFS('TJ List'!D:D,"MLB",'TJ List'!E:E,"P",'TJ List'!S:S,"&lt;=2009",'TJ List'!L:L,"&gt;=13",'TJ List'!L:L,"&lt;=23")</f>
        <v>#VALUE!</v>
      </c>
      <c r="Q118" s="4">
        <v>100.0</v>
      </c>
    </row>
    <row r="119">
      <c r="B119" s="14"/>
      <c r="C119" s="14"/>
      <c r="F119" s="14"/>
      <c r="G119" s="14"/>
      <c r="H119" s="14"/>
      <c r="I119" s="142"/>
      <c r="J119" s="143"/>
      <c r="N119" s="4">
        <v>60.0</v>
      </c>
      <c r="O119" s="146" t="str">
        <f>COUNTIFS(#REF!,"&gt;="&amp;N119,'TJ List'!D:D,"MLB",'TJ List'!E:E,"P",'TJ List'!S:S,"&lt;=2009",'TJ List'!L:L,"&gt;=13",'TJ List'!L:L,"&lt;=23")/COUNTIFS('TJ List'!D:D,"MLB",'TJ List'!E:E,"P",'TJ List'!S:S,"&lt;=2009",'TJ List'!L:L,"&gt;=13",'TJ List'!L:L,"&lt;=23")</f>
        <v>#VALUE!</v>
      </c>
      <c r="P119" s="145" t="str">
        <f>COUNTIFS(#REF!,"&gt;="&amp;Q119,'TJ List'!D:D,"MLB",'TJ List'!E:E,"P",'TJ List'!S:S,"&lt;=2009",'TJ List'!L:L,"&gt;=13",'TJ List'!L:L,"&lt;=23")/COUNTIFS('TJ List'!D:D,"MLB",'TJ List'!E:E,"P",'TJ List'!S:S,"&lt;=2009",'TJ List'!L:L,"&gt;=13",'TJ List'!L:L,"&lt;=23")</f>
        <v>#VALUE!</v>
      </c>
      <c r="Q119" s="4">
        <v>150.0</v>
      </c>
    </row>
    <row r="120">
      <c r="B120" s="14"/>
      <c r="C120" s="14"/>
      <c r="F120" s="14"/>
      <c r="G120" s="14"/>
      <c r="H120" s="14"/>
      <c r="I120" s="142"/>
      <c r="J120" s="143"/>
      <c r="N120" s="4">
        <v>80.0</v>
      </c>
      <c r="O120" s="146" t="str">
        <f>COUNTIFS(#REF!,"&gt;="&amp;N120,'TJ List'!D:D,"MLB",'TJ List'!E:E,"P",'TJ List'!S:S,"&lt;=2009",'TJ List'!L:L,"&gt;=13",'TJ List'!L:L,"&lt;=23")/COUNTIFS('TJ List'!D:D,"MLB",'TJ List'!E:E,"P",'TJ List'!S:S,"&lt;=2009",'TJ List'!L:L,"&gt;=13",'TJ List'!L:L,"&lt;=23")</f>
        <v>#VALUE!</v>
      </c>
      <c r="P120" s="145" t="str">
        <f>COUNTIFS(#REF!,"&gt;="&amp;Q120,'TJ List'!D:D,"MLB",'TJ List'!E:E,"P",'TJ List'!S:S,"&lt;=2009",'TJ List'!L:L,"&gt;=13",'TJ List'!L:L,"&lt;=23")/COUNTIFS('TJ List'!D:D,"MLB",'TJ List'!E:E,"P",'TJ List'!S:S,"&lt;=2009",'TJ List'!L:L,"&gt;=13",'TJ List'!L:L,"&lt;=23")</f>
        <v>#VALUE!</v>
      </c>
      <c r="Q120" s="4">
        <v>200.0</v>
      </c>
    </row>
    <row r="121">
      <c r="B121" s="14"/>
      <c r="C121" s="14"/>
      <c r="F121" s="14"/>
      <c r="G121" s="14"/>
      <c r="H121" s="14"/>
      <c r="I121" s="142"/>
      <c r="J121" s="143"/>
      <c r="N121" s="4">
        <v>100.0</v>
      </c>
      <c r="O121" s="146" t="str">
        <f>COUNTIFS(#REF!,"&gt;="&amp;N121,'TJ List'!D:D,"MLB",'TJ List'!E:E,"P",'TJ List'!S:S,"&lt;=2009",'TJ List'!L:L,"&gt;=13",'TJ List'!L:L,"&lt;=23")/COUNTIFS('TJ List'!D:D,"MLB",'TJ List'!E:E,"P",'TJ List'!S:S,"&lt;=2009",'TJ List'!L:L,"&gt;=13",'TJ List'!L:L,"&lt;=23")</f>
        <v>#VALUE!</v>
      </c>
      <c r="P121" s="145" t="str">
        <f>COUNTIFS(#REF!,"&gt;="&amp;Q121,'TJ List'!D:D,"MLB",'TJ List'!E:E,"P",'TJ List'!S:S,"&lt;=2009",'TJ List'!L:L,"&gt;=13",'TJ List'!L:L,"&lt;=23")/COUNTIFS('TJ List'!D:D,"MLB",'TJ List'!E:E,"P",'TJ List'!S:S,"&lt;=2009",'TJ List'!L:L,"&gt;=13",'TJ List'!L:L,"&lt;=23")</f>
        <v>#VALUE!</v>
      </c>
      <c r="Q121" s="4">
        <v>250.0</v>
      </c>
    </row>
    <row r="122">
      <c r="B122" s="14"/>
      <c r="C122" s="14"/>
      <c r="F122" s="14"/>
      <c r="G122" s="14"/>
      <c r="H122" s="14"/>
      <c r="I122" s="142"/>
      <c r="J122" s="143"/>
      <c r="N122" s="4">
        <v>120.0</v>
      </c>
      <c r="O122" s="146" t="str">
        <f>COUNTIFS(#REF!,"&gt;="&amp;N122,'TJ List'!D:D,"MLB",'TJ List'!E:E,"P",'TJ List'!S:S,"&lt;=2009",'TJ List'!L:L,"&gt;=13",'TJ List'!L:L,"&lt;=23")/COUNTIFS('TJ List'!D:D,"MLB",'TJ List'!E:E,"P",'TJ List'!S:S,"&lt;=2009",'TJ List'!L:L,"&gt;=13",'TJ List'!L:L,"&lt;=23")</f>
        <v>#VALUE!</v>
      </c>
      <c r="P122" s="145" t="str">
        <f>COUNTIFS(#REF!,"&gt;="&amp;Q122,'TJ List'!D:D,"MLB",'TJ List'!E:E,"P",'TJ List'!S:S,"&lt;=2009",'TJ List'!L:L,"&gt;=13",'TJ List'!L:L,"&lt;=23")/COUNTIFS('TJ List'!D:D,"MLB",'TJ List'!E:E,"P",'TJ List'!S:S,"&lt;=2009",'TJ List'!L:L,"&gt;=13",'TJ List'!L:L,"&lt;=23")</f>
        <v>#VALUE!</v>
      </c>
      <c r="Q122" s="4">
        <v>300.0</v>
      </c>
    </row>
    <row r="123">
      <c r="B123" s="14"/>
      <c r="C123" s="14"/>
      <c r="F123" s="14"/>
      <c r="G123" s="14"/>
      <c r="H123" s="14"/>
      <c r="I123" s="142"/>
      <c r="J123" s="143"/>
      <c r="N123" s="4">
        <v>140.0</v>
      </c>
      <c r="O123" s="146" t="str">
        <f>COUNTIFS(#REF!,"&gt;="&amp;N123,'TJ List'!D:D,"MLB",'TJ List'!E:E,"P",'TJ List'!S:S,"&lt;=2009",'TJ List'!L:L,"&gt;=13",'TJ List'!L:L,"&lt;=23")/COUNTIFS('TJ List'!D:D,"MLB",'TJ List'!E:E,"P",'TJ List'!S:S,"&lt;=2009",'TJ List'!L:L,"&gt;=13",'TJ List'!L:L,"&lt;=23")</f>
        <v>#VALUE!</v>
      </c>
      <c r="P123" s="145" t="str">
        <f>COUNTIFS(#REF!,"&gt;="&amp;Q123,'TJ List'!D:D,"MLB",'TJ List'!E:E,"P",'TJ List'!S:S,"&lt;=2009",'TJ List'!L:L,"&gt;=13",'TJ List'!L:L,"&lt;=23")/COUNTIFS('TJ List'!D:D,"MLB",'TJ List'!E:E,"P",'TJ List'!S:S,"&lt;=2009",'TJ List'!L:L,"&gt;=13",'TJ List'!L:L,"&lt;=23")</f>
        <v>#VALUE!</v>
      </c>
      <c r="Q123" s="4">
        <v>350.0</v>
      </c>
    </row>
    <row r="124">
      <c r="B124" s="14"/>
      <c r="C124" s="14"/>
      <c r="F124" s="14"/>
      <c r="G124" s="14"/>
      <c r="H124" s="14"/>
      <c r="I124" s="142"/>
      <c r="J124" s="143"/>
      <c r="N124" s="4">
        <v>160.0</v>
      </c>
      <c r="O124" s="146" t="str">
        <f>COUNTIFS(#REF!,"&gt;="&amp;N124,'TJ List'!D:D,"MLB",'TJ List'!E:E,"P",'TJ List'!S:S,"&lt;=2009",'TJ List'!L:L,"&gt;=13",'TJ List'!L:L,"&lt;=23")/COUNTIFS('TJ List'!D:D,"MLB",'TJ List'!E:E,"P",'TJ List'!S:S,"&lt;=2009",'TJ List'!L:L,"&gt;=13",'TJ List'!L:L,"&lt;=23")</f>
        <v>#VALUE!</v>
      </c>
      <c r="P124" s="145" t="str">
        <f>COUNTIFS(#REF!,"&gt;="&amp;Q124,'TJ List'!D:D,"MLB",'TJ List'!E:E,"P",'TJ List'!S:S,"&lt;=2009",'TJ List'!L:L,"&gt;=13",'TJ List'!L:L,"&lt;=23")/COUNTIFS('TJ List'!D:D,"MLB",'TJ List'!E:E,"P",'TJ List'!S:S,"&lt;=2009",'TJ List'!L:L,"&gt;=13",'TJ List'!L:L,"&lt;=23")</f>
        <v>#VALUE!</v>
      </c>
      <c r="Q124" s="4">
        <v>400.0</v>
      </c>
    </row>
    <row r="125">
      <c r="B125" s="14"/>
      <c r="C125" s="14"/>
      <c r="F125" s="14"/>
      <c r="G125" s="14"/>
      <c r="H125" s="14"/>
      <c r="I125" s="142"/>
      <c r="J125" s="143"/>
      <c r="N125" s="4">
        <v>180.0</v>
      </c>
      <c r="O125" s="146" t="str">
        <f>COUNTIFS(#REF!,"&gt;="&amp;N125,'TJ List'!D:D,"MLB",'TJ List'!E:E,"P",'TJ List'!S:S,"&lt;=2009",'TJ List'!L:L,"&gt;=13",'TJ List'!L:L,"&lt;=23")/COUNTIFS('TJ List'!D:D,"MLB",'TJ List'!E:E,"P",'TJ List'!S:S,"&lt;=2009",'TJ List'!L:L,"&gt;=13",'TJ List'!L:L,"&lt;=23")</f>
        <v>#VALUE!</v>
      </c>
      <c r="P125" s="145" t="str">
        <f>COUNTIFS(#REF!,"&gt;="&amp;Q125,'TJ List'!D:D,"MLB",'TJ List'!E:E,"P",'TJ List'!S:S,"&lt;=2009",'TJ List'!L:L,"&gt;=13",'TJ List'!L:L,"&lt;=23")/COUNTIFS('TJ List'!D:D,"MLB",'TJ List'!E:E,"P",'TJ List'!S:S,"&lt;=2009",'TJ List'!L:L,"&gt;=13",'TJ List'!L:L,"&lt;=23")</f>
        <v>#VALUE!</v>
      </c>
      <c r="Q125" s="4">
        <v>450.0</v>
      </c>
    </row>
    <row r="126">
      <c r="B126" s="14"/>
      <c r="C126" s="14"/>
      <c r="F126" s="14"/>
      <c r="G126" s="14"/>
      <c r="H126" s="14"/>
      <c r="I126" s="142"/>
      <c r="J126" s="143"/>
      <c r="N126" s="4">
        <v>200.0</v>
      </c>
      <c r="O126" s="146" t="str">
        <f>COUNTIFS(#REF!,"&gt;="&amp;N126,'TJ List'!D:D,"MLB",'TJ List'!E:E,"P",'TJ List'!S:S,"&lt;=2009",'TJ List'!L:L,"&gt;=13",'TJ List'!L:L,"&lt;=23")/COUNTIFS('TJ List'!D:D,"MLB",'TJ List'!E:E,"P",'TJ List'!S:S,"&lt;=2009",'TJ List'!L:L,"&gt;=13",'TJ List'!L:L,"&lt;=23")</f>
        <v>#VALUE!</v>
      </c>
      <c r="P126" s="145" t="str">
        <f>COUNTIFS(#REF!,"&gt;="&amp;Q126,'TJ List'!D:D,"MLB",'TJ List'!E:E,"P",'TJ List'!S:S,"&lt;=2009",'TJ List'!L:L,"&gt;=13",'TJ List'!L:L,"&lt;=23")/COUNTIFS('TJ List'!D:D,"MLB",'TJ List'!E:E,"P",'TJ List'!S:S,"&lt;=2009",'TJ List'!L:L,"&gt;=13",'TJ List'!L:L,"&lt;=23")</f>
        <v>#VALUE!</v>
      </c>
      <c r="Q126" s="4">
        <v>500.0</v>
      </c>
    </row>
    <row r="127">
      <c r="B127" s="14"/>
      <c r="C127" s="14"/>
      <c r="F127" s="14"/>
      <c r="G127" s="14"/>
      <c r="H127" s="14"/>
      <c r="I127" s="142"/>
      <c r="J127" s="143"/>
    </row>
    <row r="128">
      <c r="B128" s="14"/>
      <c r="C128" s="14"/>
      <c r="F128" s="14"/>
      <c r="G128" s="14"/>
      <c r="H128" s="14"/>
      <c r="I128" s="142"/>
      <c r="J128" s="143"/>
      <c r="N128" s="4" t="s">
        <v>35</v>
      </c>
      <c r="O128" s="4" t="s">
        <v>3194</v>
      </c>
      <c r="P128" s="4" t="s">
        <v>3194</v>
      </c>
      <c r="Q128" s="4" t="s">
        <v>37</v>
      </c>
    </row>
    <row r="129">
      <c r="B129" s="14"/>
      <c r="C129" s="14"/>
      <c r="F129" s="14"/>
      <c r="G129" s="14"/>
      <c r="H129" s="14"/>
      <c r="I129" s="142"/>
      <c r="J129" s="143"/>
      <c r="N129" s="4">
        <v>1.0</v>
      </c>
      <c r="O129" s="146" t="str">
        <f>COUNTIFS(#REF!,"&gt;="&amp;N129,'TJ List'!D:D,"MLB",'TJ List'!E:E,"P",'TJ List'!S:S,"&lt;=2009",'TJ List'!L:L,"&gt;=24",'TJ List'!L:L,"&lt;=100")/COUNTIFS('TJ List'!D:D,"MLB",'TJ List'!E:E,"P",'TJ List'!S:S,"&lt;=2009",'TJ List'!L:L,"&gt;=24",'TJ List'!L:L,"&lt;=100")</f>
        <v>#VALUE!</v>
      </c>
      <c r="P129" s="145" t="str">
        <f>COUNTIFS(#REF!,"&gt;="&amp;Q129,'TJ List'!D:D,"MLB",'TJ List'!E:E,"P",'TJ List'!S:S,"&lt;=2009",'TJ List'!L:L,"&gt;=24",'TJ List'!L:L,"&lt;=100")/COUNTIFS('TJ List'!D:D,"MLB",'TJ List'!E:E,"P",'TJ List'!S:S,"&lt;=2009",'TJ List'!L:L,"&gt;=24",'TJ List'!L:L,"&lt;=100")</f>
        <v>#VALUE!</v>
      </c>
      <c r="Q129" s="4">
        <v>5.0</v>
      </c>
    </row>
    <row r="130">
      <c r="B130" s="14"/>
      <c r="C130" s="14"/>
      <c r="F130" s="14"/>
      <c r="G130" s="14"/>
      <c r="H130" s="14"/>
      <c r="I130" s="142"/>
      <c r="J130" s="143"/>
      <c r="N130" s="4">
        <v>20.0</v>
      </c>
      <c r="O130" s="146" t="str">
        <f>COUNTIFS(#REF!,"&gt;="&amp;N130,'TJ List'!D:D,"MLB",'TJ List'!E:E,"P",'TJ List'!S:S,"&lt;=2009",'TJ List'!L:L,"&gt;=24",'TJ List'!L:L,"&lt;=100")/COUNTIFS('TJ List'!D:D,"MLB",'TJ List'!E:E,"P",'TJ List'!S:S,"&lt;=2009",'TJ List'!L:L,"&gt;=24",'TJ List'!L:L,"&lt;=100")</f>
        <v>#VALUE!</v>
      </c>
      <c r="P130" s="145" t="str">
        <f>COUNTIFS(#REF!,"&gt;="&amp;Q130,'TJ List'!D:D,"MLB",'TJ List'!E:E,"P",'TJ List'!S:S,"&lt;=2009",'TJ List'!L:L,"&gt;=24",'TJ List'!L:L,"&lt;=100")/COUNTIFS('TJ List'!D:D,"MLB",'TJ List'!E:E,"P",'TJ List'!S:S,"&lt;=2009",'TJ List'!L:L,"&gt;=24",'TJ List'!L:L,"&lt;=100")</f>
        <v>#VALUE!</v>
      </c>
      <c r="Q130" s="4">
        <v>50.0</v>
      </c>
    </row>
    <row r="131">
      <c r="B131" s="14"/>
      <c r="C131" s="14"/>
      <c r="F131" s="14"/>
      <c r="G131" s="14"/>
      <c r="H131" s="14"/>
      <c r="I131" s="142"/>
      <c r="J131" s="143"/>
      <c r="N131" s="4">
        <v>40.0</v>
      </c>
      <c r="O131" s="146" t="str">
        <f>COUNTIFS(#REF!,"&gt;="&amp;N131,'TJ List'!D:D,"MLB",'TJ List'!E:E,"P",'TJ List'!S:S,"&lt;=2009",'TJ List'!L:L,"&gt;=24",'TJ List'!L:L,"&lt;=100")/COUNTIFS('TJ List'!D:D,"MLB",'TJ List'!E:E,"P",'TJ List'!S:S,"&lt;=2009",'TJ List'!L:L,"&gt;=24",'TJ List'!L:L,"&lt;=100")</f>
        <v>#VALUE!</v>
      </c>
      <c r="P131" s="145" t="str">
        <f>COUNTIFS(#REF!,"&gt;="&amp;Q131,'TJ List'!D:D,"MLB",'TJ List'!E:E,"P",'TJ List'!S:S,"&lt;=2009",'TJ List'!L:L,"&gt;=24",'TJ List'!L:L,"&lt;=100")/COUNTIFS('TJ List'!D:D,"MLB",'TJ List'!E:E,"P",'TJ List'!S:S,"&lt;=2009",'TJ List'!L:L,"&gt;=24",'TJ List'!L:L,"&lt;=100")</f>
        <v>#VALUE!</v>
      </c>
      <c r="Q131" s="4">
        <v>100.0</v>
      </c>
    </row>
    <row r="132">
      <c r="B132" s="14"/>
      <c r="C132" s="14"/>
      <c r="F132" s="14"/>
      <c r="G132" s="14"/>
      <c r="H132" s="14"/>
      <c r="I132" s="142"/>
      <c r="J132" s="143"/>
      <c r="N132" s="4">
        <v>60.0</v>
      </c>
      <c r="O132" s="146" t="str">
        <f>COUNTIFS(#REF!,"&gt;="&amp;N132,'TJ List'!D:D,"MLB",'TJ List'!E:E,"P",'TJ List'!S:S,"&lt;=2009",'TJ List'!L:L,"&gt;=24",'TJ List'!L:L,"&lt;=100")/COUNTIFS('TJ List'!D:D,"MLB",'TJ List'!E:E,"P",'TJ List'!S:S,"&lt;=2009",'TJ List'!L:L,"&gt;=24",'TJ List'!L:L,"&lt;=100")</f>
        <v>#VALUE!</v>
      </c>
      <c r="P132" s="145" t="str">
        <f>COUNTIFS(#REF!,"&gt;="&amp;Q132,'TJ List'!D:D,"MLB",'TJ List'!E:E,"P",'TJ List'!S:S,"&lt;=2009",'TJ List'!L:L,"&gt;=24",'TJ List'!L:L,"&lt;=100")/COUNTIFS('TJ List'!D:D,"MLB",'TJ List'!E:E,"P",'TJ List'!S:S,"&lt;=2009",'TJ List'!L:L,"&gt;=24",'TJ List'!L:L,"&lt;=100")</f>
        <v>#VALUE!</v>
      </c>
      <c r="Q132" s="4">
        <v>150.0</v>
      </c>
    </row>
    <row r="133">
      <c r="B133" s="14"/>
      <c r="C133" s="14"/>
      <c r="F133" s="14"/>
      <c r="G133" s="14"/>
      <c r="H133" s="14"/>
      <c r="I133" s="142"/>
      <c r="J133" s="143"/>
      <c r="N133" s="4">
        <v>80.0</v>
      </c>
      <c r="O133" s="146" t="str">
        <f>COUNTIFS(#REF!,"&gt;="&amp;N133,'TJ List'!D:D,"MLB",'TJ List'!E:E,"P",'TJ List'!S:S,"&lt;=2009",'TJ List'!L:L,"&gt;=24",'TJ List'!L:L,"&lt;=100")/COUNTIFS('TJ List'!D:D,"MLB",'TJ List'!E:E,"P",'TJ List'!S:S,"&lt;=2009",'TJ List'!L:L,"&gt;=24",'TJ List'!L:L,"&lt;=100")</f>
        <v>#VALUE!</v>
      </c>
      <c r="P133" s="145" t="str">
        <f>COUNTIFS(#REF!,"&gt;="&amp;Q133,'TJ List'!D:D,"MLB",'TJ List'!E:E,"P",'TJ List'!S:S,"&lt;=2009",'TJ List'!L:L,"&gt;=24",'TJ List'!L:L,"&lt;=100")/COUNTIFS('TJ List'!D:D,"MLB",'TJ List'!E:E,"P",'TJ List'!S:S,"&lt;=2009",'TJ List'!L:L,"&gt;=24",'TJ List'!L:L,"&lt;=100")</f>
        <v>#VALUE!</v>
      </c>
      <c r="Q133" s="4">
        <v>200.0</v>
      </c>
    </row>
    <row r="134">
      <c r="B134" s="14"/>
      <c r="C134" s="14"/>
      <c r="F134" s="14"/>
      <c r="G134" s="14"/>
      <c r="H134" s="14"/>
      <c r="I134" s="142"/>
      <c r="J134" s="143"/>
      <c r="N134" s="4">
        <v>100.0</v>
      </c>
      <c r="O134" s="146" t="str">
        <f>COUNTIFS(#REF!,"&gt;="&amp;N134,'TJ List'!D:D,"MLB",'TJ List'!E:E,"P",'TJ List'!S:S,"&lt;=2009",'TJ List'!L:L,"&gt;=24",'TJ List'!L:L,"&lt;=100")/COUNTIFS('TJ List'!D:D,"MLB",'TJ List'!E:E,"P",'TJ List'!S:S,"&lt;=2009",'TJ List'!L:L,"&gt;=24",'TJ List'!L:L,"&lt;=100")</f>
        <v>#VALUE!</v>
      </c>
      <c r="P134" s="145" t="str">
        <f>COUNTIFS(#REF!,"&gt;="&amp;Q134,'TJ List'!D:D,"MLB",'TJ List'!E:E,"P",'TJ List'!S:S,"&lt;=2009",'TJ List'!L:L,"&gt;=24",'TJ List'!L:L,"&lt;=100")/COUNTIFS('TJ List'!D:D,"MLB",'TJ List'!E:E,"P",'TJ List'!S:S,"&lt;=2009",'TJ List'!L:L,"&gt;=24",'TJ List'!L:L,"&lt;=100")</f>
        <v>#VALUE!</v>
      </c>
      <c r="Q134" s="4">
        <v>250.0</v>
      </c>
    </row>
    <row r="135">
      <c r="B135" s="14"/>
      <c r="C135" s="14"/>
      <c r="F135" s="14"/>
      <c r="G135" s="14"/>
      <c r="H135" s="14"/>
      <c r="I135" s="142"/>
      <c r="J135" s="143"/>
      <c r="N135" s="4">
        <v>120.0</v>
      </c>
      <c r="O135" s="146" t="str">
        <f>COUNTIFS(#REF!,"&gt;="&amp;N135,'TJ List'!D:D,"MLB",'TJ List'!E:E,"P",'TJ List'!S:S,"&lt;=2009",'TJ List'!L:L,"&gt;=24",'TJ List'!L:L,"&lt;=100")/COUNTIFS('TJ List'!D:D,"MLB",'TJ List'!E:E,"P",'TJ List'!S:S,"&lt;=2009",'TJ List'!L:L,"&gt;=24",'TJ List'!L:L,"&lt;=100")</f>
        <v>#VALUE!</v>
      </c>
      <c r="P135" s="145" t="str">
        <f>COUNTIFS(#REF!,"&gt;="&amp;Q135,'TJ List'!D:D,"MLB",'TJ List'!E:E,"P",'TJ List'!S:S,"&lt;=2009",'TJ List'!L:L,"&gt;=24",'TJ List'!L:L,"&lt;=100")/COUNTIFS('TJ List'!D:D,"MLB",'TJ List'!E:E,"P",'TJ List'!S:S,"&lt;=2009",'TJ List'!L:L,"&gt;=24",'TJ List'!L:L,"&lt;=100")</f>
        <v>#VALUE!</v>
      </c>
      <c r="Q135" s="4">
        <v>300.0</v>
      </c>
    </row>
    <row r="136">
      <c r="B136" s="14"/>
      <c r="C136" s="14"/>
      <c r="F136" s="14"/>
      <c r="G136" s="14"/>
      <c r="H136" s="14"/>
      <c r="I136" s="142"/>
      <c r="J136" s="143"/>
      <c r="N136" s="4">
        <v>140.0</v>
      </c>
      <c r="O136" s="146" t="str">
        <f>COUNTIFS(#REF!,"&gt;="&amp;N136,'TJ List'!D:D,"MLB",'TJ List'!E:E,"P",'TJ List'!S:S,"&lt;=2009",'TJ List'!L:L,"&gt;=24",'TJ List'!L:L,"&lt;=100")/COUNTIFS('TJ List'!D:D,"MLB",'TJ List'!E:E,"P",'TJ List'!S:S,"&lt;=2009",'TJ List'!L:L,"&gt;=24",'TJ List'!L:L,"&lt;=100")</f>
        <v>#VALUE!</v>
      </c>
      <c r="P136" s="145" t="str">
        <f>COUNTIFS(#REF!,"&gt;="&amp;Q136,'TJ List'!D:D,"MLB",'TJ List'!E:E,"P",'TJ List'!S:S,"&lt;=2009",'TJ List'!L:L,"&gt;=24",'TJ List'!L:L,"&lt;=100")/COUNTIFS('TJ List'!D:D,"MLB",'TJ List'!E:E,"P",'TJ List'!S:S,"&lt;=2009",'TJ List'!L:L,"&gt;=24",'TJ List'!L:L,"&lt;=100")</f>
        <v>#VALUE!</v>
      </c>
      <c r="Q136" s="4">
        <v>350.0</v>
      </c>
    </row>
    <row r="137">
      <c r="B137" s="14"/>
      <c r="C137" s="14"/>
      <c r="F137" s="14"/>
      <c r="G137" s="14"/>
      <c r="H137" s="14"/>
      <c r="I137" s="142"/>
      <c r="J137" s="143"/>
      <c r="N137" s="4">
        <v>160.0</v>
      </c>
      <c r="O137" s="146" t="str">
        <f>COUNTIFS(#REF!,"&gt;="&amp;N137,'TJ List'!D:D,"MLB",'TJ List'!E:E,"P",'TJ List'!S:S,"&lt;=2009",'TJ List'!L:L,"&gt;=24",'TJ List'!L:L,"&lt;=100")/COUNTIFS('TJ List'!D:D,"MLB",'TJ List'!E:E,"P",'TJ List'!S:S,"&lt;=2009",'TJ List'!L:L,"&gt;=24",'TJ List'!L:L,"&lt;=100")</f>
        <v>#VALUE!</v>
      </c>
      <c r="P137" s="145" t="str">
        <f>COUNTIFS(#REF!,"&gt;="&amp;Q137,'TJ List'!D:D,"MLB",'TJ List'!E:E,"P",'TJ List'!S:S,"&lt;=2009",'TJ List'!L:L,"&gt;=24",'TJ List'!L:L,"&lt;=100")/COUNTIFS('TJ List'!D:D,"MLB",'TJ List'!E:E,"P",'TJ List'!S:S,"&lt;=2009",'TJ List'!L:L,"&gt;=24",'TJ List'!L:L,"&lt;=100")</f>
        <v>#VALUE!</v>
      </c>
      <c r="Q137" s="4">
        <v>400.0</v>
      </c>
    </row>
    <row r="138">
      <c r="B138" s="14"/>
      <c r="C138" s="14"/>
      <c r="F138" s="14"/>
      <c r="G138" s="14"/>
      <c r="H138" s="14"/>
      <c r="I138" s="142"/>
      <c r="J138" s="143"/>
      <c r="N138" s="4">
        <v>180.0</v>
      </c>
      <c r="O138" s="146" t="str">
        <f>COUNTIFS(#REF!,"&gt;="&amp;N138,'TJ List'!D:D,"MLB",'TJ List'!E:E,"P",'TJ List'!S:S,"&lt;=2009",'TJ List'!L:L,"&gt;=24",'TJ List'!L:L,"&lt;=100")/COUNTIFS('TJ List'!D:D,"MLB",'TJ List'!E:E,"P",'TJ List'!S:S,"&lt;=2009",'TJ List'!L:L,"&gt;=24",'TJ List'!L:L,"&lt;=100")</f>
        <v>#VALUE!</v>
      </c>
      <c r="P138" s="145" t="str">
        <f>COUNTIFS(#REF!,"&gt;="&amp;Q138,'TJ List'!D:D,"MLB",'TJ List'!E:E,"P",'TJ List'!S:S,"&lt;=2009",'TJ List'!L:L,"&gt;=24",'TJ List'!L:L,"&lt;=100")/COUNTIFS('TJ List'!D:D,"MLB",'TJ List'!E:E,"P",'TJ List'!S:S,"&lt;=2009",'TJ List'!L:L,"&gt;=24",'TJ List'!L:L,"&lt;=100")</f>
        <v>#VALUE!</v>
      </c>
      <c r="Q138" s="4">
        <v>450.0</v>
      </c>
    </row>
    <row r="139">
      <c r="B139" s="14"/>
      <c r="C139" s="14"/>
      <c r="F139" s="14"/>
      <c r="G139" s="14"/>
      <c r="H139" s="14"/>
      <c r="I139" s="142"/>
      <c r="J139" s="143"/>
      <c r="N139" s="4">
        <v>200.0</v>
      </c>
      <c r="O139" s="146" t="str">
        <f>COUNTIFS(#REF!,"&gt;="&amp;N139,'TJ List'!D:D,"MLB",'TJ List'!E:E,"P",'TJ List'!S:S,"&lt;=2009",'TJ List'!L:L,"&gt;=24",'TJ List'!L:L,"&lt;=100")/COUNTIFS('TJ List'!D:D,"MLB",'TJ List'!E:E,"P",'TJ List'!S:S,"&lt;=2009",'TJ List'!L:L,"&gt;=24",'TJ List'!L:L,"&lt;=100")</f>
        <v>#VALUE!</v>
      </c>
      <c r="P139" s="145" t="str">
        <f>COUNTIFS(#REF!,"&gt;="&amp;Q139,'TJ List'!D:D,"MLB",'TJ List'!E:E,"P",'TJ List'!S:S,"&lt;=2009",'TJ List'!L:L,"&gt;=24",'TJ List'!L:L,"&lt;=100")/COUNTIFS('TJ List'!D:D,"MLB",'TJ List'!E:E,"P",'TJ List'!S:S,"&lt;=2009",'TJ List'!L:L,"&gt;=24",'TJ List'!L:L,"&lt;=100")</f>
        <v>#VALUE!</v>
      </c>
      <c r="Q139" s="4">
        <v>500.0</v>
      </c>
    </row>
    <row r="140">
      <c r="B140" s="14"/>
      <c r="C140" s="14"/>
      <c r="F140" s="14"/>
      <c r="G140" s="14"/>
      <c r="H140" s="14"/>
      <c r="I140" s="142"/>
      <c r="J140" s="143"/>
    </row>
    <row r="141">
      <c r="B141" s="14"/>
      <c r="C141" s="14"/>
      <c r="F141" s="14"/>
      <c r="G141" s="14"/>
      <c r="H141" s="14"/>
      <c r="I141" s="142"/>
      <c r="J141" s="143"/>
      <c r="N141" s="4"/>
      <c r="O141" s="4"/>
      <c r="Q141" s="4"/>
    </row>
    <row r="142">
      <c r="B142" s="14"/>
      <c r="C142" s="14"/>
      <c r="F142" s="14"/>
      <c r="G142" s="14"/>
      <c r="H142" s="14"/>
      <c r="I142" s="142"/>
      <c r="J142" s="143"/>
      <c r="N142" s="4"/>
      <c r="O142" s="146"/>
      <c r="P142" s="145"/>
      <c r="Q142" s="4"/>
    </row>
    <row r="143">
      <c r="B143" s="14"/>
      <c r="C143" s="14"/>
      <c r="F143" s="14"/>
      <c r="G143" s="14"/>
      <c r="H143" s="14"/>
      <c r="I143" s="142"/>
      <c r="J143" s="143"/>
      <c r="N143" s="4"/>
      <c r="O143" s="146"/>
      <c r="P143" s="145"/>
      <c r="Q143" s="4"/>
    </row>
    <row r="144">
      <c r="B144" s="14"/>
      <c r="C144" s="14"/>
      <c r="F144" s="14"/>
      <c r="G144" s="14"/>
      <c r="H144" s="14"/>
      <c r="I144" s="142"/>
      <c r="J144" s="143"/>
      <c r="N144" s="4"/>
      <c r="O144" s="146"/>
      <c r="P144" s="145"/>
      <c r="Q144" s="4"/>
    </row>
    <row r="145">
      <c r="B145" s="14"/>
      <c r="C145" s="14"/>
      <c r="F145" s="14"/>
      <c r="G145" s="14"/>
      <c r="H145" s="14"/>
      <c r="I145" s="142"/>
      <c r="J145" s="143"/>
      <c r="N145" s="4"/>
      <c r="O145" s="146"/>
      <c r="P145" s="145"/>
      <c r="Q145" s="4"/>
    </row>
    <row r="146">
      <c r="B146" s="14"/>
      <c r="C146" s="14"/>
      <c r="F146" s="14"/>
      <c r="G146" s="14"/>
      <c r="H146" s="14"/>
      <c r="I146" s="142"/>
      <c r="J146" s="143"/>
      <c r="N146" s="4"/>
      <c r="O146" s="146"/>
      <c r="P146" s="145"/>
      <c r="Q146" s="4"/>
    </row>
    <row r="147">
      <c r="B147" s="14"/>
      <c r="C147" s="14"/>
      <c r="F147" s="14"/>
      <c r="G147" s="14"/>
      <c r="H147" s="14"/>
      <c r="I147" s="142"/>
      <c r="J147" s="143"/>
      <c r="N147" s="4"/>
      <c r="O147" s="146"/>
      <c r="P147" s="145"/>
      <c r="Q147" s="4"/>
    </row>
    <row r="148">
      <c r="B148" s="14"/>
      <c r="C148" s="14"/>
      <c r="F148" s="14"/>
      <c r="G148" s="14"/>
      <c r="H148" s="14"/>
      <c r="I148" s="142"/>
      <c r="J148" s="143"/>
      <c r="N148" s="4"/>
      <c r="O148" s="146"/>
      <c r="P148" s="145"/>
      <c r="Q148" s="4"/>
    </row>
    <row r="149">
      <c r="B149" s="14"/>
      <c r="C149" s="14"/>
      <c r="F149" s="14"/>
      <c r="G149" s="14"/>
      <c r="H149" s="14"/>
      <c r="I149" s="142"/>
      <c r="J149" s="143"/>
      <c r="N149" s="4"/>
      <c r="O149" s="146"/>
      <c r="P149" s="145"/>
      <c r="Q149" s="4"/>
    </row>
    <row r="150">
      <c r="B150" s="14"/>
      <c r="C150" s="14"/>
      <c r="F150" s="14"/>
      <c r="G150" s="14"/>
      <c r="H150" s="14"/>
      <c r="I150" s="142"/>
      <c r="J150" s="143"/>
      <c r="N150" s="4"/>
      <c r="O150" s="146"/>
      <c r="P150" s="145"/>
      <c r="Q150" s="4"/>
    </row>
    <row r="151">
      <c r="B151" s="14"/>
      <c r="C151" s="14"/>
      <c r="F151" s="14"/>
      <c r="G151" s="14"/>
      <c r="H151" s="14"/>
      <c r="I151" s="142"/>
      <c r="J151" s="143"/>
      <c r="N151" s="4"/>
      <c r="O151" s="146"/>
      <c r="P151" s="145"/>
      <c r="Q151" s="4"/>
    </row>
    <row r="152">
      <c r="B152" s="14"/>
      <c r="C152" s="14"/>
      <c r="F152" s="14"/>
      <c r="G152" s="14"/>
      <c r="H152" s="14"/>
      <c r="I152" s="142"/>
      <c r="J152" s="143"/>
      <c r="N152" s="4"/>
      <c r="O152" s="146"/>
      <c r="P152" s="145"/>
      <c r="Q152" s="4"/>
    </row>
    <row r="153">
      <c r="B153" s="14"/>
      <c r="C153" s="14"/>
      <c r="F153" s="14"/>
      <c r="G153" s="14"/>
      <c r="H153" s="14"/>
      <c r="I153" s="142"/>
      <c r="J153" s="143"/>
    </row>
    <row r="154">
      <c r="B154" s="14"/>
      <c r="C154" s="14"/>
      <c r="F154" s="14"/>
      <c r="G154" s="14"/>
      <c r="H154" s="14"/>
      <c r="I154" s="142"/>
      <c r="J154" s="143"/>
      <c r="N154" s="4"/>
      <c r="O154" s="4"/>
      <c r="Q154" s="4"/>
    </row>
    <row r="155">
      <c r="B155" s="14"/>
      <c r="C155" s="14"/>
      <c r="F155" s="14"/>
      <c r="G155" s="14"/>
      <c r="H155" s="14"/>
      <c r="I155" s="142"/>
      <c r="J155" s="143"/>
      <c r="N155" s="4"/>
      <c r="O155" s="146"/>
      <c r="P155" s="145"/>
      <c r="Q155" s="4"/>
    </row>
    <row r="156">
      <c r="B156" s="14"/>
      <c r="C156" s="14"/>
      <c r="F156" s="14"/>
      <c r="G156" s="14"/>
      <c r="H156" s="14"/>
      <c r="I156" s="142"/>
      <c r="J156" s="143"/>
      <c r="N156" s="4"/>
      <c r="O156" s="146"/>
      <c r="P156" s="145"/>
      <c r="Q156" s="4"/>
    </row>
    <row r="157">
      <c r="B157" s="14"/>
      <c r="C157" s="14"/>
      <c r="F157" s="14"/>
      <c r="G157" s="14"/>
      <c r="H157" s="14"/>
      <c r="I157" s="142"/>
      <c r="J157" s="143"/>
      <c r="N157" s="4"/>
      <c r="O157" s="146"/>
      <c r="P157" s="145"/>
      <c r="Q157" s="4"/>
    </row>
    <row r="158">
      <c r="B158" s="14"/>
      <c r="C158" s="14"/>
      <c r="F158" s="14"/>
      <c r="G158" s="14"/>
      <c r="H158" s="14"/>
      <c r="I158" s="142"/>
      <c r="J158" s="143"/>
      <c r="N158" s="4"/>
      <c r="O158" s="146"/>
      <c r="P158" s="145"/>
      <c r="Q158" s="4"/>
    </row>
    <row r="159">
      <c r="B159" s="14"/>
      <c r="C159" s="14"/>
      <c r="F159" s="14"/>
      <c r="G159" s="14"/>
      <c r="H159" s="14"/>
      <c r="I159" s="142"/>
      <c r="J159" s="143"/>
      <c r="N159" s="4"/>
      <c r="O159" s="146"/>
      <c r="P159" s="145"/>
      <c r="Q159" s="4"/>
    </row>
    <row r="160">
      <c r="B160" s="14"/>
      <c r="C160" s="14"/>
      <c r="F160" s="14"/>
      <c r="G160" s="14"/>
      <c r="H160" s="14"/>
      <c r="I160" s="142"/>
      <c r="J160" s="143"/>
      <c r="N160" s="4"/>
      <c r="O160" s="146"/>
      <c r="P160" s="145"/>
      <c r="Q160" s="4"/>
    </row>
    <row r="161">
      <c r="B161" s="14"/>
      <c r="C161" s="14"/>
      <c r="F161" s="14"/>
      <c r="G161" s="14"/>
      <c r="H161" s="14"/>
      <c r="I161" s="142"/>
      <c r="J161" s="143"/>
      <c r="N161" s="4"/>
      <c r="O161" s="146"/>
      <c r="P161" s="145"/>
      <c r="Q161" s="4"/>
    </row>
    <row r="162">
      <c r="B162" s="14"/>
      <c r="C162" s="14"/>
      <c r="F162" s="14"/>
      <c r="G162" s="14"/>
      <c r="H162" s="14"/>
      <c r="I162" s="142"/>
      <c r="J162" s="143"/>
      <c r="N162" s="4"/>
      <c r="O162" s="146"/>
      <c r="P162" s="145"/>
      <c r="Q162" s="4"/>
    </row>
    <row r="163">
      <c r="B163" s="14"/>
      <c r="C163" s="14"/>
      <c r="F163" s="14"/>
      <c r="G163" s="14"/>
      <c r="H163" s="14"/>
      <c r="I163" s="142"/>
      <c r="J163" s="143"/>
      <c r="N163" s="4"/>
      <c r="O163" s="146"/>
      <c r="P163" s="145"/>
      <c r="Q163" s="4"/>
    </row>
    <row r="164">
      <c r="B164" s="14"/>
      <c r="C164" s="14"/>
      <c r="F164" s="14"/>
      <c r="G164" s="14"/>
      <c r="H164" s="14"/>
      <c r="I164" s="142"/>
      <c r="J164" s="143"/>
      <c r="N164" s="4"/>
      <c r="O164" s="146"/>
      <c r="P164" s="145"/>
      <c r="Q164" s="4"/>
    </row>
    <row r="165">
      <c r="B165" s="14"/>
      <c r="C165" s="14"/>
      <c r="F165" s="14"/>
      <c r="G165" s="14"/>
      <c r="H165" s="14"/>
      <c r="I165" s="142"/>
      <c r="J165" s="143"/>
      <c r="N165" s="4"/>
      <c r="O165" s="146"/>
      <c r="P165" s="145"/>
      <c r="Q165" s="4"/>
    </row>
    <row r="166">
      <c r="B166" s="14"/>
      <c r="C166" s="14"/>
      <c r="F166" s="14"/>
      <c r="G166" s="14"/>
      <c r="H166" s="14"/>
      <c r="I166" s="142"/>
      <c r="J166" s="143"/>
    </row>
    <row r="167">
      <c r="B167" s="14"/>
      <c r="C167" s="14"/>
      <c r="F167" s="14"/>
      <c r="G167" s="14"/>
      <c r="H167" s="14"/>
      <c r="I167" s="142"/>
      <c r="J167" s="143"/>
    </row>
    <row r="168">
      <c r="B168" s="14"/>
      <c r="C168" s="14"/>
      <c r="F168" s="14"/>
      <c r="G168" s="14"/>
      <c r="H168" s="14"/>
      <c r="I168" s="142"/>
      <c r="J168" s="143"/>
    </row>
    <row r="169">
      <c r="B169" s="14"/>
      <c r="C169" s="14"/>
      <c r="F169" s="14"/>
      <c r="G169" s="14"/>
      <c r="H169" s="14"/>
      <c r="I169" s="142"/>
      <c r="J169" s="143"/>
    </row>
    <row r="170">
      <c r="B170" s="14"/>
      <c r="C170" s="14"/>
      <c r="F170" s="14"/>
      <c r="G170" s="14"/>
      <c r="H170" s="14"/>
      <c r="I170" s="142"/>
      <c r="J170" s="143"/>
    </row>
    <row r="171">
      <c r="B171" s="14"/>
      <c r="C171" s="14"/>
      <c r="F171" s="14"/>
      <c r="G171" s="14"/>
      <c r="H171" s="14"/>
      <c r="I171" s="142"/>
      <c r="J171" s="143"/>
    </row>
    <row r="172">
      <c r="B172" s="14"/>
      <c r="C172" s="14"/>
      <c r="F172" s="14"/>
      <c r="G172" s="14"/>
      <c r="H172" s="14"/>
      <c r="I172" s="142"/>
      <c r="J172" s="143"/>
    </row>
    <row r="173">
      <c r="B173" s="14"/>
      <c r="C173" s="14"/>
      <c r="F173" s="14"/>
      <c r="G173" s="14"/>
      <c r="H173" s="14"/>
      <c r="I173" s="142"/>
      <c r="J173" s="143"/>
    </row>
    <row r="174">
      <c r="B174" s="14"/>
      <c r="C174" s="14"/>
      <c r="F174" s="14"/>
      <c r="G174" s="14"/>
      <c r="H174" s="14"/>
      <c r="I174" s="142"/>
      <c r="J174" s="143"/>
    </row>
    <row r="175">
      <c r="B175" s="14"/>
      <c r="C175" s="14"/>
      <c r="F175" s="14"/>
      <c r="G175" s="14"/>
      <c r="H175" s="14"/>
      <c r="I175" s="142"/>
      <c r="J175" s="143"/>
    </row>
    <row r="176">
      <c r="B176" s="14"/>
      <c r="C176" s="14"/>
      <c r="F176" s="14"/>
      <c r="G176" s="14"/>
      <c r="H176" s="14"/>
      <c r="I176" s="142"/>
      <c r="J176" s="143"/>
    </row>
    <row r="177">
      <c r="B177" s="14"/>
      <c r="C177" s="14"/>
      <c r="F177" s="14"/>
      <c r="G177" s="14"/>
      <c r="H177" s="14"/>
      <c r="I177" s="142"/>
      <c r="J177" s="143"/>
    </row>
    <row r="178">
      <c r="B178" s="14"/>
      <c r="C178" s="14"/>
      <c r="F178" s="14"/>
      <c r="G178" s="14"/>
      <c r="H178" s="14"/>
      <c r="I178" s="142"/>
      <c r="J178" s="143"/>
    </row>
    <row r="179">
      <c r="B179" s="14"/>
      <c r="C179" s="14"/>
      <c r="F179" s="14"/>
      <c r="G179" s="14"/>
      <c r="H179" s="14"/>
      <c r="I179" s="142"/>
      <c r="J179" s="143"/>
    </row>
    <row r="180">
      <c r="B180" s="14"/>
      <c r="C180" s="14"/>
      <c r="F180" s="14"/>
      <c r="G180" s="14"/>
      <c r="H180" s="14"/>
      <c r="I180" s="142"/>
      <c r="J180" s="143"/>
    </row>
    <row r="181">
      <c r="B181" s="14"/>
      <c r="C181" s="14"/>
      <c r="F181" s="14"/>
      <c r="G181" s="14"/>
      <c r="H181" s="14"/>
      <c r="I181" s="142"/>
      <c r="J181" s="143"/>
    </row>
    <row r="182">
      <c r="B182" s="14"/>
      <c r="C182" s="14"/>
      <c r="F182" s="14"/>
      <c r="G182" s="14"/>
      <c r="H182" s="14"/>
      <c r="I182" s="142"/>
      <c r="J182" s="143"/>
    </row>
    <row r="183">
      <c r="B183" s="14"/>
      <c r="C183" s="14"/>
      <c r="F183" s="14"/>
      <c r="G183" s="14"/>
      <c r="H183" s="14"/>
      <c r="I183" s="142"/>
      <c r="J183" s="143"/>
    </row>
    <row r="184">
      <c r="B184" s="14"/>
      <c r="C184" s="14"/>
      <c r="F184" s="14"/>
      <c r="G184" s="14"/>
      <c r="H184" s="14"/>
      <c r="I184" s="142"/>
      <c r="J184" s="143"/>
    </row>
    <row r="185">
      <c r="B185" s="14"/>
      <c r="C185" s="14"/>
      <c r="F185" s="14"/>
      <c r="G185" s="14"/>
      <c r="H185" s="14"/>
      <c r="I185" s="142"/>
      <c r="J185" s="143"/>
    </row>
    <row r="186">
      <c r="B186" s="14"/>
      <c r="C186" s="14"/>
      <c r="F186" s="14"/>
      <c r="G186" s="14"/>
      <c r="H186" s="14"/>
      <c r="I186" s="142"/>
      <c r="J186" s="143"/>
    </row>
    <row r="187">
      <c r="B187" s="14"/>
      <c r="C187" s="14"/>
      <c r="F187" s="14"/>
      <c r="G187" s="14"/>
      <c r="H187" s="14"/>
      <c r="I187" s="142"/>
      <c r="J187" s="143"/>
    </row>
    <row r="188">
      <c r="B188" s="14"/>
      <c r="C188" s="14"/>
      <c r="F188" s="14"/>
      <c r="G188" s="14"/>
      <c r="H188" s="14"/>
      <c r="I188" s="142"/>
      <c r="J188" s="143"/>
    </row>
    <row r="189">
      <c r="B189" s="14"/>
      <c r="C189" s="14"/>
      <c r="F189" s="14"/>
      <c r="G189" s="14"/>
      <c r="H189" s="14"/>
      <c r="I189" s="142"/>
      <c r="J189" s="143"/>
    </row>
    <row r="190">
      <c r="B190" s="14"/>
      <c r="C190" s="14"/>
      <c r="F190" s="14"/>
      <c r="G190" s="14"/>
      <c r="H190" s="14"/>
      <c r="I190" s="142"/>
      <c r="J190" s="143"/>
    </row>
    <row r="191">
      <c r="B191" s="14"/>
      <c r="C191" s="14"/>
      <c r="F191" s="14"/>
      <c r="G191" s="14"/>
      <c r="H191" s="14"/>
      <c r="I191" s="142"/>
      <c r="J191" s="143"/>
    </row>
    <row r="192">
      <c r="B192" s="14"/>
      <c r="C192" s="14"/>
      <c r="F192" s="14"/>
      <c r="G192" s="14"/>
      <c r="H192" s="14"/>
      <c r="I192" s="142"/>
      <c r="J192" s="143"/>
    </row>
    <row r="193">
      <c r="B193" s="14"/>
      <c r="C193" s="14"/>
      <c r="F193" s="14"/>
      <c r="G193" s="14"/>
      <c r="H193" s="14"/>
      <c r="I193" s="142"/>
      <c r="J193" s="143"/>
    </row>
    <row r="194">
      <c r="B194" s="14"/>
      <c r="C194" s="14"/>
      <c r="F194" s="14"/>
      <c r="G194" s="14"/>
      <c r="H194" s="14"/>
      <c r="I194" s="142"/>
      <c r="J194" s="143"/>
    </row>
    <row r="195">
      <c r="B195" s="14"/>
      <c r="C195" s="14"/>
      <c r="F195" s="14"/>
      <c r="G195" s="14"/>
      <c r="H195" s="14"/>
      <c r="I195" s="142"/>
      <c r="J195" s="143"/>
    </row>
    <row r="196">
      <c r="B196" s="14"/>
      <c r="C196" s="14"/>
      <c r="F196" s="14"/>
      <c r="G196" s="14"/>
      <c r="H196" s="14"/>
      <c r="I196" s="142"/>
      <c r="J196" s="143"/>
    </row>
    <row r="197">
      <c r="B197" s="14"/>
      <c r="C197" s="14"/>
      <c r="F197" s="14"/>
      <c r="G197" s="14"/>
      <c r="H197" s="14"/>
      <c r="I197" s="142"/>
      <c r="J197" s="143"/>
    </row>
    <row r="198">
      <c r="B198" s="14"/>
      <c r="C198" s="14"/>
      <c r="F198" s="14"/>
      <c r="G198" s="14"/>
      <c r="H198" s="14"/>
      <c r="I198" s="142"/>
      <c r="J198" s="143"/>
    </row>
    <row r="199">
      <c r="B199" s="14"/>
      <c r="C199" s="14"/>
      <c r="F199" s="14"/>
      <c r="G199" s="14"/>
      <c r="H199" s="14"/>
      <c r="I199" s="142"/>
      <c r="J199" s="143"/>
    </row>
    <row r="200">
      <c r="B200" s="14"/>
      <c r="C200" s="14"/>
      <c r="F200" s="14"/>
      <c r="G200" s="14"/>
      <c r="H200" s="14"/>
      <c r="I200" s="142"/>
      <c r="J200" s="143"/>
    </row>
    <row r="201">
      <c r="B201" s="14"/>
      <c r="C201" s="14"/>
      <c r="F201" s="14"/>
      <c r="G201" s="14"/>
      <c r="H201" s="14"/>
      <c r="I201" s="142"/>
      <c r="J201" s="143"/>
    </row>
    <row r="202">
      <c r="B202" s="14"/>
      <c r="C202" s="14"/>
      <c r="F202" s="14"/>
      <c r="G202" s="14"/>
      <c r="H202" s="14"/>
      <c r="I202" s="142"/>
      <c r="J202" s="143"/>
    </row>
    <row r="203">
      <c r="B203" s="14"/>
      <c r="C203" s="14"/>
      <c r="F203" s="14"/>
      <c r="G203" s="14"/>
      <c r="H203" s="14"/>
      <c r="I203" s="142"/>
      <c r="J203" s="143"/>
    </row>
    <row r="204">
      <c r="B204" s="14"/>
      <c r="C204" s="14"/>
      <c r="F204" s="14"/>
      <c r="G204" s="14"/>
      <c r="H204" s="14"/>
      <c r="I204" s="142"/>
      <c r="J204" s="143"/>
    </row>
    <row r="205">
      <c r="B205" s="14"/>
      <c r="C205" s="14"/>
      <c r="F205" s="14"/>
      <c r="G205" s="14"/>
      <c r="H205" s="14"/>
      <c r="I205" s="142"/>
      <c r="J205" s="143"/>
    </row>
    <row r="206">
      <c r="B206" s="14"/>
      <c r="C206" s="14"/>
      <c r="F206" s="14"/>
      <c r="G206" s="14"/>
      <c r="H206" s="14"/>
      <c r="I206" s="142"/>
      <c r="J206" s="143"/>
    </row>
    <row r="207">
      <c r="B207" s="14"/>
      <c r="C207" s="14"/>
      <c r="F207" s="14"/>
      <c r="G207" s="14"/>
      <c r="H207" s="14"/>
      <c r="I207" s="142"/>
      <c r="J207" s="143"/>
    </row>
    <row r="208">
      <c r="B208" s="14"/>
      <c r="C208" s="14"/>
      <c r="F208" s="14"/>
      <c r="G208" s="14"/>
      <c r="H208" s="14"/>
      <c r="I208" s="142"/>
      <c r="J208" s="143"/>
    </row>
    <row r="209">
      <c r="B209" s="14"/>
      <c r="C209" s="14"/>
      <c r="F209" s="14"/>
      <c r="G209" s="14"/>
      <c r="H209" s="14"/>
      <c r="I209" s="142"/>
      <c r="J209" s="143"/>
    </row>
    <row r="210">
      <c r="B210" s="14"/>
      <c r="C210" s="14"/>
      <c r="F210" s="14"/>
      <c r="G210" s="14"/>
      <c r="H210" s="14"/>
      <c r="I210" s="142"/>
      <c r="J210" s="143"/>
    </row>
    <row r="211">
      <c r="B211" s="14"/>
      <c r="C211" s="14"/>
      <c r="F211" s="14"/>
      <c r="G211" s="14"/>
      <c r="H211" s="14"/>
      <c r="I211" s="142"/>
      <c r="J211" s="143"/>
    </row>
    <row r="212">
      <c r="B212" s="14"/>
      <c r="C212" s="14"/>
      <c r="F212" s="14"/>
      <c r="G212" s="14"/>
      <c r="H212" s="14"/>
      <c r="I212" s="142"/>
      <c r="J212" s="143"/>
    </row>
    <row r="213">
      <c r="B213" s="14"/>
      <c r="C213" s="14"/>
      <c r="F213" s="14"/>
      <c r="G213" s="14"/>
      <c r="H213" s="14"/>
      <c r="I213" s="142"/>
      <c r="J213" s="143"/>
    </row>
    <row r="214">
      <c r="B214" s="14"/>
      <c r="C214" s="14"/>
      <c r="F214" s="14"/>
      <c r="G214" s="14"/>
      <c r="H214" s="14"/>
      <c r="I214" s="142"/>
      <c r="J214" s="143"/>
    </row>
    <row r="215">
      <c r="B215" s="14"/>
      <c r="C215" s="14"/>
      <c r="F215" s="14"/>
      <c r="G215" s="14"/>
      <c r="H215" s="14"/>
      <c r="I215" s="142"/>
      <c r="J215" s="143"/>
    </row>
    <row r="216">
      <c r="B216" s="14"/>
      <c r="C216" s="14"/>
      <c r="F216" s="14"/>
      <c r="G216" s="14"/>
      <c r="H216" s="14"/>
      <c r="I216" s="142"/>
      <c r="J216" s="143"/>
    </row>
    <row r="217">
      <c r="B217" s="14"/>
      <c r="C217" s="14"/>
      <c r="F217" s="14"/>
      <c r="G217" s="14"/>
      <c r="H217" s="14"/>
      <c r="I217" s="142"/>
      <c r="J217" s="143"/>
    </row>
    <row r="218">
      <c r="B218" s="14"/>
      <c r="C218" s="14"/>
      <c r="F218" s="14"/>
      <c r="G218" s="14"/>
      <c r="H218" s="14"/>
      <c r="I218" s="142"/>
      <c r="J218" s="143"/>
    </row>
    <row r="219">
      <c r="B219" s="14"/>
      <c r="C219" s="14"/>
      <c r="F219" s="14"/>
      <c r="G219" s="14"/>
      <c r="H219" s="14"/>
      <c r="I219" s="142"/>
      <c r="J219" s="143"/>
    </row>
    <row r="220">
      <c r="B220" s="14"/>
      <c r="C220" s="14"/>
      <c r="F220" s="14"/>
      <c r="G220" s="14"/>
      <c r="H220" s="14"/>
      <c r="I220" s="142"/>
      <c r="J220" s="143"/>
    </row>
    <row r="221">
      <c r="B221" s="14"/>
      <c r="C221" s="14"/>
      <c r="F221" s="14"/>
      <c r="G221" s="14"/>
      <c r="H221" s="14"/>
      <c r="I221" s="142"/>
      <c r="J221" s="143"/>
    </row>
    <row r="222">
      <c r="B222" s="14"/>
      <c r="C222" s="14"/>
      <c r="F222" s="14"/>
      <c r="G222" s="14"/>
      <c r="H222" s="14"/>
      <c r="I222" s="142"/>
      <c r="J222" s="143"/>
    </row>
    <row r="223">
      <c r="B223" s="14"/>
      <c r="C223" s="14"/>
      <c r="F223" s="14"/>
      <c r="G223" s="14"/>
      <c r="H223" s="14"/>
      <c r="I223" s="142"/>
      <c r="J223" s="143"/>
    </row>
    <row r="224">
      <c r="B224" s="14"/>
      <c r="C224" s="14"/>
      <c r="F224" s="14"/>
      <c r="G224" s="14"/>
      <c r="H224" s="14"/>
      <c r="I224" s="142"/>
      <c r="J224" s="143"/>
    </row>
    <row r="225">
      <c r="B225" s="14"/>
      <c r="C225" s="14"/>
      <c r="F225" s="14"/>
      <c r="G225" s="14"/>
      <c r="H225" s="14"/>
      <c r="I225" s="142"/>
      <c r="J225" s="143"/>
    </row>
    <row r="226">
      <c r="B226" s="14"/>
      <c r="C226" s="14"/>
      <c r="F226" s="14"/>
      <c r="G226" s="14"/>
      <c r="H226" s="14"/>
      <c r="I226" s="142"/>
      <c r="J226" s="143"/>
    </row>
    <row r="227">
      <c r="B227" s="14"/>
      <c r="C227" s="14"/>
      <c r="F227" s="14"/>
      <c r="G227" s="14"/>
      <c r="H227" s="14"/>
      <c r="I227" s="142"/>
      <c r="J227" s="143"/>
    </row>
    <row r="228">
      <c r="B228" s="14"/>
      <c r="C228" s="14"/>
      <c r="F228" s="14"/>
      <c r="G228" s="14"/>
      <c r="H228" s="14"/>
      <c r="I228" s="142"/>
      <c r="J228" s="143"/>
    </row>
    <row r="229">
      <c r="B229" s="14"/>
      <c r="C229" s="14"/>
      <c r="F229" s="14"/>
      <c r="G229" s="14"/>
      <c r="H229" s="14"/>
      <c r="I229" s="142"/>
      <c r="J229" s="143"/>
    </row>
    <row r="230">
      <c r="B230" s="14"/>
      <c r="C230" s="14"/>
      <c r="F230" s="14"/>
      <c r="G230" s="14"/>
      <c r="H230" s="14"/>
      <c r="I230" s="142"/>
      <c r="J230" s="143"/>
    </row>
    <row r="231">
      <c r="B231" s="14"/>
      <c r="C231" s="14"/>
      <c r="F231" s="14"/>
      <c r="G231" s="14"/>
      <c r="H231" s="14"/>
      <c r="I231" s="142"/>
      <c r="J231" s="143"/>
    </row>
    <row r="232">
      <c r="B232" s="14"/>
      <c r="C232" s="14"/>
      <c r="F232" s="14"/>
      <c r="G232" s="14"/>
      <c r="H232" s="14"/>
      <c r="I232" s="142"/>
      <c r="J232" s="143"/>
    </row>
    <row r="233">
      <c r="B233" s="14"/>
      <c r="C233" s="14"/>
      <c r="F233" s="14"/>
      <c r="G233" s="14"/>
      <c r="H233" s="14"/>
      <c r="I233" s="142"/>
      <c r="J233" s="143"/>
    </row>
    <row r="234">
      <c r="B234" s="14"/>
      <c r="C234" s="14"/>
      <c r="F234" s="14"/>
      <c r="G234" s="14"/>
      <c r="H234" s="14"/>
      <c r="I234" s="142"/>
      <c r="J234" s="143"/>
    </row>
    <row r="235">
      <c r="B235" s="14"/>
      <c r="C235" s="14"/>
      <c r="F235" s="14"/>
      <c r="G235" s="14"/>
      <c r="H235" s="14"/>
      <c r="I235" s="142"/>
      <c r="J235" s="143"/>
    </row>
    <row r="236">
      <c r="B236" s="14"/>
      <c r="C236" s="14"/>
      <c r="F236" s="14"/>
      <c r="G236" s="14"/>
      <c r="H236" s="14"/>
      <c r="I236" s="142"/>
      <c r="J236" s="143"/>
    </row>
    <row r="237">
      <c r="B237" s="14"/>
      <c r="C237" s="14"/>
      <c r="F237" s="14"/>
      <c r="G237" s="14"/>
      <c r="H237" s="14"/>
      <c r="I237" s="142"/>
      <c r="J237" s="143"/>
    </row>
    <row r="238">
      <c r="B238" s="14"/>
      <c r="C238" s="14"/>
      <c r="F238" s="14"/>
      <c r="G238" s="14"/>
      <c r="H238" s="14"/>
      <c r="I238" s="142"/>
      <c r="J238" s="143"/>
    </row>
    <row r="239">
      <c r="B239" s="14"/>
      <c r="C239" s="14"/>
      <c r="F239" s="14"/>
      <c r="G239" s="14"/>
      <c r="H239" s="14"/>
      <c r="I239" s="142"/>
      <c r="J239" s="143"/>
    </row>
    <row r="240">
      <c r="B240" s="14"/>
      <c r="C240" s="14"/>
      <c r="F240" s="14"/>
      <c r="G240" s="14"/>
      <c r="H240" s="14"/>
      <c r="I240" s="142"/>
      <c r="J240" s="143"/>
    </row>
    <row r="241">
      <c r="B241" s="14"/>
      <c r="C241" s="14"/>
      <c r="F241" s="14"/>
      <c r="G241" s="14"/>
      <c r="H241" s="14"/>
      <c r="I241" s="142"/>
      <c r="J241" s="143"/>
    </row>
    <row r="242">
      <c r="B242" s="14"/>
      <c r="C242" s="14"/>
      <c r="F242" s="14"/>
      <c r="G242" s="14"/>
      <c r="H242" s="14"/>
      <c r="I242" s="142"/>
      <c r="J242" s="143"/>
    </row>
    <row r="243">
      <c r="B243" s="14"/>
      <c r="C243" s="14"/>
      <c r="F243" s="14"/>
      <c r="G243" s="14"/>
      <c r="H243" s="14"/>
      <c r="I243" s="142"/>
      <c r="J243" s="143"/>
    </row>
    <row r="244">
      <c r="B244" s="14"/>
      <c r="C244" s="14"/>
      <c r="F244" s="14"/>
      <c r="G244" s="14"/>
      <c r="H244" s="14"/>
      <c r="I244" s="142"/>
      <c r="J244" s="143"/>
    </row>
    <row r="245">
      <c r="B245" s="14"/>
      <c r="C245" s="14"/>
      <c r="F245" s="14"/>
      <c r="G245" s="14"/>
      <c r="H245" s="14"/>
      <c r="I245" s="142"/>
      <c r="J245" s="143"/>
    </row>
    <row r="246">
      <c r="B246" s="14"/>
      <c r="C246" s="14"/>
      <c r="F246" s="14"/>
      <c r="G246" s="14"/>
      <c r="H246" s="14"/>
      <c r="I246" s="142"/>
      <c r="J246" s="143"/>
    </row>
    <row r="247">
      <c r="B247" s="14"/>
      <c r="C247" s="14"/>
      <c r="F247" s="14"/>
      <c r="G247" s="14"/>
      <c r="H247" s="14"/>
      <c r="I247" s="142"/>
      <c r="J247" s="143"/>
    </row>
    <row r="248">
      <c r="B248" s="14"/>
      <c r="C248" s="14"/>
      <c r="F248" s="14"/>
      <c r="G248" s="14"/>
      <c r="H248" s="14"/>
      <c r="I248" s="142"/>
      <c r="J248" s="143"/>
    </row>
    <row r="249">
      <c r="B249" s="14"/>
      <c r="C249" s="14"/>
      <c r="F249" s="14"/>
      <c r="G249" s="14"/>
      <c r="H249" s="14"/>
      <c r="I249" s="142"/>
      <c r="J249" s="143"/>
    </row>
    <row r="250">
      <c r="B250" s="14"/>
      <c r="C250" s="14"/>
      <c r="F250" s="14"/>
      <c r="G250" s="14"/>
      <c r="H250" s="14"/>
      <c r="I250" s="142"/>
      <c r="J250" s="143"/>
    </row>
    <row r="251">
      <c r="B251" s="14"/>
      <c r="C251" s="14"/>
      <c r="F251" s="14"/>
      <c r="G251" s="14"/>
      <c r="H251" s="14"/>
      <c r="I251" s="142"/>
      <c r="J251" s="143"/>
    </row>
    <row r="252">
      <c r="B252" s="14"/>
      <c r="C252" s="14"/>
      <c r="F252" s="14"/>
      <c r="G252" s="14"/>
      <c r="H252" s="14"/>
      <c r="I252" s="142"/>
      <c r="J252" s="143"/>
    </row>
    <row r="253">
      <c r="B253" s="14"/>
      <c r="C253" s="14"/>
      <c r="F253" s="14"/>
      <c r="G253" s="14"/>
      <c r="H253" s="14"/>
      <c r="I253" s="142"/>
      <c r="J253" s="143"/>
    </row>
    <row r="254">
      <c r="B254" s="14"/>
      <c r="C254" s="14"/>
      <c r="F254" s="14"/>
      <c r="G254" s="14"/>
      <c r="H254" s="14"/>
      <c r="I254" s="142"/>
      <c r="J254" s="143"/>
    </row>
    <row r="255">
      <c r="B255" s="14"/>
      <c r="C255" s="14"/>
      <c r="F255" s="14"/>
      <c r="G255" s="14"/>
      <c r="H255" s="14"/>
      <c r="I255" s="142"/>
      <c r="J255" s="143"/>
    </row>
    <row r="256">
      <c r="B256" s="14"/>
      <c r="C256" s="14"/>
      <c r="F256" s="14"/>
      <c r="G256" s="14"/>
      <c r="H256" s="14"/>
      <c r="I256" s="142"/>
      <c r="J256" s="143"/>
    </row>
    <row r="257">
      <c r="B257" s="14"/>
      <c r="C257" s="14"/>
      <c r="F257" s="14"/>
      <c r="G257" s="14"/>
      <c r="H257" s="14"/>
      <c r="I257" s="142"/>
      <c r="J257" s="143"/>
    </row>
    <row r="258">
      <c r="B258" s="14"/>
      <c r="C258" s="14"/>
      <c r="F258" s="14"/>
      <c r="G258" s="14"/>
      <c r="H258" s="14"/>
      <c r="I258" s="142"/>
      <c r="J258" s="143"/>
    </row>
    <row r="259">
      <c r="B259" s="14"/>
      <c r="C259" s="14"/>
      <c r="F259" s="14"/>
      <c r="G259" s="14"/>
      <c r="H259" s="14"/>
      <c r="I259" s="142"/>
      <c r="J259" s="143"/>
    </row>
    <row r="260">
      <c r="B260" s="14"/>
      <c r="C260" s="14"/>
      <c r="F260" s="14"/>
      <c r="G260" s="14"/>
      <c r="H260" s="14"/>
      <c r="I260" s="142"/>
      <c r="J260" s="143"/>
    </row>
    <row r="261">
      <c r="B261" s="14"/>
      <c r="C261" s="14"/>
      <c r="F261" s="14"/>
      <c r="G261" s="14"/>
      <c r="H261" s="14"/>
      <c r="I261" s="142"/>
      <c r="J261" s="143"/>
    </row>
    <row r="262">
      <c r="B262" s="14"/>
      <c r="C262" s="14"/>
      <c r="F262" s="14"/>
      <c r="G262" s="14"/>
      <c r="H262" s="14"/>
      <c r="I262" s="142"/>
      <c r="J262" s="143"/>
    </row>
    <row r="263">
      <c r="B263" s="14"/>
      <c r="C263" s="14"/>
      <c r="F263" s="14"/>
      <c r="G263" s="14"/>
      <c r="H263" s="14"/>
      <c r="I263" s="142"/>
      <c r="J263" s="143"/>
    </row>
    <row r="264">
      <c r="B264" s="14"/>
      <c r="C264" s="14"/>
      <c r="F264" s="14"/>
      <c r="G264" s="14"/>
      <c r="H264" s="14"/>
      <c r="I264" s="142"/>
      <c r="J264" s="143"/>
    </row>
    <row r="265">
      <c r="B265" s="14"/>
      <c r="C265" s="14"/>
      <c r="F265" s="14"/>
      <c r="G265" s="14"/>
      <c r="H265" s="14"/>
      <c r="I265" s="142"/>
      <c r="J265" s="143"/>
    </row>
    <row r="266">
      <c r="B266" s="14"/>
      <c r="C266" s="14"/>
      <c r="F266" s="14"/>
      <c r="G266" s="14"/>
      <c r="H266" s="14"/>
      <c r="I266" s="142"/>
      <c r="J266" s="143"/>
    </row>
    <row r="267">
      <c r="B267" s="14"/>
      <c r="C267" s="14"/>
      <c r="F267" s="14"/>
      <c r="G267" s="14"/>
      <c r="H267" s="14"/>
      <c r="I267" s="142"/>
      <c r="J267" s="143"/>
    </row>
    <row r="268">
      <c r="B268" s="14"/>
      <c r="C268" s="14"/>
      <c r="F268" s="14"/>
      <c r="G268" s="14"/>
      <c r="H268" s="14"/>
      <c r="I268" s="142"/>
      <c r="J268" s="143"/>
    </row>
    <row r="269">
      <c r="B269" s="14"/>
      <c r="C269" s="14"/>
      <c r="F269" s="14"/>
      <c r="G269" s="14"/>
      <c r="H269" s="14"/>
      <c r="I269" s="142"/>
      <c r="J269" s="143"/>
    </row>
    <row r="270">
      <c r="B270" s="14"/>
      <c r="C270" s="14"/>
      <c r="F270" s="14"/>
      <c r="G270" s="14"/>
      <c r="H270" s="14"/>
      <c r="I270" s="142"/>
      <c r="J270" s="143"/>
    </row>
    <row r="271">
      <c r="B271" s="14"/>
      <c r="C271" s="14"/>
      <c r="F271" s="14"/>
      <c r="G271" s="14"/>
      <c r="H271" s="14"/>
      <c r="I271" s="142"/>
      <c r="J271" s="143"/>
    </row>
    <row r="272">
      <c r="B272" s="14"/>
      <c r="C272" s="14"/>
      <c r="F272" s="14"/>
      <c r="G272" s="14"/>
      <c r="H272" s="14"/>
      <c r="I272" s="142"/>
      <c r="J272" s="143"/>
    </row>
    <row r="273">
      <c r="B273" s="14"/>
      <c r="C273" s="14"/>
      <c r="F273" s="14"/>
      <c r="G273" s="14"/>
      <c r="H273" s="14"/>
      <c r="I273" s="142"/>
      <c r="J273" s="143"/>
    </row>
    <row r="274">
      <c r="B274" s="14"/>
      <c r="C274" s="14"/>
      <c r="F274" s="14"/>
      <c r="G274" s="14"/>
      <c r="H274" s="14"/>
      <c r="I274" s="142"/>
      <c r="J274" s="143"/>
    </row>
    <row r="275">
      <c r="B275" s="14"/>
      <c r="C275" s="14"/>
      <c r="F275" s="14"/>
      <c r="G275" s="14"/>
      <c r="H275" s="14"/>
      <c r="I275" s="142"/>
      <c r="J275" s="143"/>
    </row>
    <row r="276">
      <c r="B276" s="14"/>
      <c r="C276" s="14"/>
      <c r="F276" s="14"/>
      <c r="G276" s="14"/>
      <c r="H276" s="14"/>
      <c r="I276" s="142"/>
      <c r="J276" s="143"/>
    </row>
    <row r="277">
      <c r="B277" s="14"/>
      <c r="C277" s="14"/>
      <c r="F277" s="14"/>
      <c r="G277" s="14"/>
      <c r="H277" s="14"/>
      <c r="I277" s="142"/>
      <c r="J277" s="143"/>
    </row>
    <row r="278">
      <c r="B278" s="14"/>
      <c r="C278" s="14"/>
      <c r="F278" s="14"/>
      <c r="G278" s="14"/>
      <c r="H278" s="14"/>
      <c r="I278" s="142"/>
      <c r="J278" s="143"/>
    </row>
    <row r="279">
      <c r="B279" s="14"/>
      <c r="C279" s="14"/>
      <c r="F279" s="14"/>
      <c r="G279" s="14"/>
      <c r="H279" s="14"/>
      <c r="I279" s="142"/>
      <c r="J279" s="143"/>
    </row>
    <row r="280">
      <c r="B280" s="14"/>
      <c r="C280" s="14"/>
      <c r="F280" s="14"/>
      <c r="G280" s="14"/>
      <c r="H280" s="14"/>
      <c r="I280" s="142"/>
      <c r="J280" s="143"/>
    </row>
    <row r="281">
      <c r="B281" s="14"/>
      <c r="C281" s="14"/>
      <c r="F281" s="14"/>
      <c r="G281" s="14"/>
      <c r="H281" s="14"/>
      <c r="I281" s="142"/>
      <c r="J281" s="143"/>
    </row>
    <row r="282">
      <c r="B282" s="14"/>
      <c r="C282" s="14"/>
      <c r="F282" s="14"/>
      <c r="G282" s="14"/>
      <c r="H282" s="14"/>
      <c r="I282" s="142"/>
      <c r="J282" s="143"/>
    </row>
    <row r="283">
      <c r="B283" s="14"/>
      <c r="C283" s="14"/>
      <c r="F283" s="14"/>
      <c r="G283" s="14"/>
      <c r="H283" s="14"/>
      <c r="I283" s="142"/>
      <c r="J283" s="143"/>
    </row>
    <row r="284">
      <c r="B284" s="14"/>
      <c r="C284" s="14"/>
      <c r="F284" s="14"/>
      <c r="G284" s="14"/>
      <c r="H284" s="14"/>
      <c r="I284" s="142"/>
      <c r="J284" s="143"/>
    </row>
    <row r="285">
      <c r="B285" s="14"/>
      <c r="C285" s="14"/>
      <c r="F285" s="14"/>
      <c r="G285" s="14"/>
      <c r="H285" s="14"/>
      <c r="I285" s="142"/>
      <c r="J285" s="143"/>
    </row>
    <row r="286">
      <c r="B286" s="14"/>
      <c r="C286" s="14"/>
      <c r="F286" s="14"/>
      <c r="G286" s="14"/>
      <c r="H286" s="14"/>
      <c r="I286" s="142"/>
      <c r="J286" s="143"/>
    </row>
    <row r="287">
      <c r="B287" s="14"/>
      <c r="C287" s="14"/>
      <c r="F287" s="14"/>
      <c r="G287" s="14"/>
      <c r="H287" s="14"/>
      <c r="I287" s="142"/>
      <c r="J287" s="143"/>
    </row>
    <row r="288">
      <c r="B288" s="14"/>
      <c r="C288" s="14"/>
      <c r="F288" s="14"/>
      <c r="G288" s="14"/>
      <c r="H288" s="14"/>
      <c r="I288" s="142"/>
      <c r="J288" s="143"/>
    </row>
    <row r="289">
      <c r="B289" s="14"/>
      <c r="C289" s="14"/>
      <c r="F289" s="14"/>
      <c r="G289" s="14"/>
      <c r="H289" s="14"/>
      <c r="I289" s="142"/>
      <c r="J289" s="143"/>
    </row>
    <row r="290">
      <c r="B290" s="14"/>
      <c r="C290" s="14"/>
      <c r="F290" s="14"/>
      <c r="G290" s="14"/>
      <c r="H290" s="14"/>
      <c r="I290" s="142"/>
      <c r="J290" s="143"/>
    </row>
    <row r="291">
      <c r="B291" s="14"/>
      <c r="C291" s="14"/>
      <c r="F291" s="14"/>
      <c r="G291" s="14"/>
      <c r="H291" s="14"/>
      <c r="I291" s="142"/>
      <c r="J291" s="143"/>
    </row>
    <row r="292">
      <c r="B292" s="14"/>
      <c r="C292" s="14"/>
      <c r="F292" s="14"/>
      <c r="G292" s="14"/>
      <c r="H292" s="14"/>
      <c r="I292" s="142"/>
      <c r="J292" s="143"/>
    </row>
    <row r="293">
      <c r="B293" s="14"/>
      <c r="C293" s="14"/>
      <c r="F293" s="14"/>
      <c r="G293" s="14"/>
      <c r="H293" s="14"/>
      <c r="I293" s="142"/>
      <c r="J293" s="143"/>
    </row>
    <row r="294">
      <c r="B294" s="14"/>
      <c r="C294" s="14"/>
      <c r="F294" s="14"/>
      <c r="G294" s="14"/>
      <c r="H294" s="14"/>
      <c r="I294" s="142"/>
      <c r="J294" s="143"/>
    </row>
    <row r="295">
      <c r="B295" s="14"/>
      <c r="C295" s="14"/>
      <c r="F295" s="14"/>
      <c r="G295" s="14"/>
      <c r="H295" s="14"/>
      <c r="I295" s="142"/>
      <c r="J295" s="143"/>
    </row>
    <row r="296">
      <c r="B296" s="14"/>
      <c r="C296" s="14"/>
      <c r="F296" s="14"/>
      <c r="G296" s="14"/>
      <c r="H296" s="14"/>
      <c r="I296" s="142"/>
      <c r="J296" s="143"/>
    </row>
    <row r="297">
      <c r="B297" s="14"/>
      <c r="C297" s="14"/>
      <c r="F297" s="14"/>
      <c r="G297" s="14"/>
      <c r="H297" s="14"/>
      <c r="I297" s="142"/>
      <c r="J297" s="143"/>
    </row>
    <row r="298">
      <c r="B298" s="14"/>
      <c r="C298" s="14"/>
      <c r="F298" s="14"/>
      <c r="G298" s="14"/>
      <c r="H298" s="14"/>
      <c r="I298" s="142"/>
      <c r="J298" s="143"/>
    </row>
    <row r="299">
      <c r="B299" s="14"/>
      <c r="C299" s="14"/>
      <c r="F299" s="14"/>
      <c r="G299" s="14"/>
      <c r="H299" s="14"/>
      <c r="I299" s="142"/>
      <c r="J299" s="143"/>
    </row>
    <row r="300">
      <c r="B300" s="14"/>
      <c r="C300" s="14"/>
      <c r="F300" s="14"/>
      <c r="G300" s="14"/>
      <c r="H300" s="14"/>
      <c r="I300" s="142"/>
      <c r="J300" s="143"/>
    </row>
    <row r="301">
      <c r="B301" s="14"/>
      <c r="C301" s="14"/>
      <c r="F301" s="14"/>
      <c r="G301" s="14"/>
      <c r="H301" s="14"/>
      <c r="I301" s="142"/>
      <c r="J301" s="143"/>
    </row>
    <row r="302">
      <c r="B302" s="14"/>
      <c r="C302" s="14"/>
      <c r="F302" s="14"/>
      <c r="G302" s="14"/>
      <c r="H302" s="14"/>
      <c r="I302" s="142"/>
      <c r="J302" s="143"/>
    </row>
    <row r="303">
      <c r="B303" s="14"/>
      <c r="C303" s="14"/>
      <c r="F303" s="14"/>
      <c r="G303" s="14"/>
      <c r="H303" s="14"/>
      <c r="I303" s="142"/>
      <c r="J303" s="143"/>
    </row>
    <row r="304">
      <c r="B304" s="14"/>
      <c r="C304" s="14"/>
      <c r="F304" s="14"/>
      <c r="G304" s="14"/>
      <c r="H304" s="14"/>
      <c r="I304" s="142"/>
      <c r="J304" s="143"/>
    </row>
    <row r="305">
      <c r="B305" s="14"/>
      <c r="C305" s="14"/>
      <c r="F305" s="14"/>
      <c r="G305" s="14"/>
      <c r="H305" s="14"/>
      <c r="I305" s="142"/>
      <c r="J305" s="143"/>
    </row>
    <row r="306">
      <c r="B306" s="14"/>
      <c r="C306" s="14"/>
      <c r="F306" s="14"/>
      <c r="G306" s="14"/>
      <c r="H306" s="14"/>
      <c r="I306" s="142"/>
      <c r="J306" s="143"/>
    </row>
    <row r="307">
      <c r="B307" s="14"/>
      <c r="C307" s="14"/>
      <c r="F307" s="14"/>
      <c r="G307" s="14"/>
      <c r="H307" s="14"/>
      <c r="I307" s="142"/>
      <c r="J307" s="143"/>
    </row>
    <row r="308">
      <c r="B308" s="14"/>
      <c r="C308" s="14"/>
      <c r="F308" s="14"/>
      <c r="G308" s="14"/>
      <c r="H308" s="14"/>
      <c r="I308" s="142"/>
      <c r="J308" s="143"/>
    </row>
    <row r="309">
      <c r="B309" s="14"/>
      <c r="C309" s="14"/>
      <c r="F309" s="14"/>
      <c r="G309" s="14"/>
      <c r="H309" s="14"/>
      <c r="I309" s="142"/>
      <c r="J309" s="143"/>
    </row>
    <row r="310">
      <c r="B310" s="14"/>
      <c r="C310" s="14"/>
      <c r="F310" s="14"/>
      <c r="G310" s="14"/>
      <c r="H310" s="14"/>
      <c r="I310" s="142"/>
      <c r="J310" s="143"/>
    </row>
    <row r="311">
      <c r="B311" s="14"/>
      <c r="C311" s="14"/>
      <c r="F311" s="14"/>
      <c r="G311" s="14"/>
      <c r="H311" s="14"/>
      <c r="I311" s="142"/>
      <c r="J311" s="143"/>
    </row>
    <row r="312">
      <c r="B312" s="14"/>
      <c r="C312" s="14"/>
      <c r="F312" s="14"/>
      <c r="G312" s="14"/>
      <c r="H312" s="14"/>
      <c r="I312" s="142"/>
      <c r="J312" s="143"/>
    </row>
    <row r="313">
      <c r="B313" s="14"/>
      <c r="C313" s="14"/>
      <c r="F313" s="14"/>
      <c r="G313" s="14"/>
      <c r="H313" s="14"/>
      <c r="I313" s="142"/>
      <c r="J313" s="143"/>
    </row>
    <row r="314">
      <c r="B314" s="14"/>
      <c r="C314" s="14"/>
      <c r="F314" s="14"/>
      <c r="G314" s="14"/>
      <c r="H314" s="14"/>
      <c r="I314" s="142"/>
      <c r="J314" s="143"/>
    </row>
    <row r="315">
      <c r="B315" s="14"/>
      <c r="C315" s="14"/>
      <c r="F315" s="14"/>
      <c r="G315" s="14"/>
      <c r="H315" s="14"/>
      <c r="I315" s="142"/>
      <c r="J315" s="143"/>
    </row>
    <row r="316">
      <c r="B316" s="14"/>
      <c r="C316" s="14"/>
      <c r="F316" s="14"/>
      <c r="G316" s="14"/>
      <c r="H316" s="14"/>
      <c r="I316" s="142"/>
      <c r="J316" s="143"/>
    </row>
    <row r="317">
      <c r="B317" s="14"/>
      <c r="C317" s="14"/>
      <c r="F317" s="14"/>
      <c r="G317" s="14"/>
      <c r="H317" s="14"/>
      <c r="I317" s="142"/>
      <c r="J317" s="143"/>
    </row>
    <row r="318">
      <c r="B318" s="14"/>
      <c r="C318" s="14"/>
      <c r="F318" s="14"/>
      <c r="G318" s="14"/>
      <c r="H318" s="14"/>
      <c r="I318" s="142"/>
      <c r="J318" s="143"/>
    </row>
    <row r="319">
      <c r="B319" s="14"/>
      <c r="C319" s="14"/>
      <c r="F319" s="14"/>
      <c r="G319" s="14"/>
      <c r="H319" s="14"/>
      <c r="I319" s="142"/>
      <c r="J319" s="143"/>
    </row>
    <row r="320">
      <c r="B320" s="14"/>
      <c r="C320" s="14"/>
      <c r="F320" s="14"/>
      <c r="G320" s="14"/>
      <c r="H320" s="14"/>
      <c r="I320" s="142"/>
      <c r="J320" s="143"/>
    </row>
    <row r="321">
      <c r="B321" s="14"/>
      <c r="C321" s="14"/>
      <c r="F321" s="14"/>
      <c r="G321" s="14"/>
      <c r="H321" s="14"/>
      <c r="I321" s="142"/>
      <c r="J321" s="143"/>
    </row>
    <row r="322">
      <c r="B322" s="14"/>
      <c r="C322" s="14"/>
      <c r="F322" s="14"/>
      <c r="G322" s="14"/>
      <c r="H322" s="14"/>
      <c r="I322" s="142"/>
      <c r="J322" s="143"/>
    </row>
    <row r="323">
      <c r="B323" s="14"/>
      <c r="C323" s="14"/>
      <c r="F323" s="14"/>
      <c r="G323" s="14"/>
      <c r="H323" s="14"/>
      <c r="I323" s="142"/>
      <c r="J323" s="143"/>
    </row>
    <row r="324">
      <c r="B324" s="14"/>
      <c r="C324" s="14"/>
      <c r="F324" s="14"/>
      <c r="G324" s="14"/>
      <c r="H324" s="14"/>
      <c r="I324" s="142"/>
      <c r="J324" s="143"/>
    </row>
    <row r="325">
      <c r="B325" s="14"/>
      <c r="C325" s="14"/>
      <c r="F325" s="14"/>
      <c r="G325" s="14"/>
      <c r="H325" s="14"/>
      <c r="I325" s="142"/>
      <c r="J325" s="143"/>
    </row>
    <row r="326">
      <c r="B326" s="14"/>
      <c r="C326" s="14"/>
      <c r="F326" s="14"/>
      <c r="G326" s="14"/>
      <c r="H326" s="14"/>
      <c r="I326" s="142"/>
      <c r="J326" s="143"/>
    </row>
    <row r="327">
      <c r="B327" s="14"/>
      <c r="C327" s="14"/>
      <c r="F327" s="14"/>
      <c r="G327" s="14"/>
      <c r="H327" s="14"/>
      <c r="I327" s="142"/>
      <c r="J327" s="143"/>
    </row>
    <row r="328">
      <c r="B328" s="14"/>
      <c r="C328" s="14"/>
      <c r="F328" s="14"/>
      <c r="G328" s="14"/>
      <c r="H328" s="14"/>
      <c r="I328" s="142"/>
      <c r="J328" s="143"/>
    </row>
    <row r="329">
      <c r="B329" s="14"/>
      <c r="C329" s="14"/>
      <c r="F329" s="14"/>
      <c r="G329" s="14"/>
      <c r="H329" s="14"/>
      <c r="I329" s="142"/>
      <c r="J329" s="143"/>
    </row>
    <row r="330">
      <c r="B330" s="14"/>
      <c r="C330" s="14"/>
      <c r="F330" s="14"/>
      <c r="G330" s="14"/>
      <c r="H330" s="14"/>
      <c r="I330" s="142"/>
      <c r="J330" s="143"/>
    </row>
    <row r="331">
      <c r="B331" s="14"/>
      <c r="C331" s="14"/>
      <c r="F331" s="14"/>
      <c r="G331" s="14"/>
      <c r="H331" s="14"/>
      <c r="I331" s="142"/>
      <c r="J331" s="143"/>
    </row>
    <row r="332">
      <c r="B332" s="14"/>
      <c r="C332" s="14"/>
      <c r="F332" s="14"/>
      <c r="G332" s="14"/>
      <c r="H332" s="14"/>
      <c r="I332" s="142"/>
      <c r="J332" s="143"/>
    </row>
    <row r="333">
      <c r="B333" s="14"/>
      <c r="C333" s="14"/>
      <c r="F333" s="14"/>
      <c r="G333" s="14"/>
      <c r="H333" s="14"/>
      <c r="I333" s="142"/>
      <c r="J333" s="143"/>
    </row>
    <row r="334">
      <c r="B334" s="14"/>
      <c r="C334" s="14"/>
      <c r="F334" s="14"/>
      <c r="G334" s="14"/>
      <c r="H334" s="14"/>
      <c r="I334" s="142"/>
      <c r="J334" s="143"/>
    </row>
    <row r="335">
      <c r="B335" s="14"/>
      <c r="C335" s="14"/>
      <c r="F335" s="14"/>
      <c r="G335" s="14"/>
      <c r="H335" s="14"/>
      <c r="I335" s="142"/>
      <c r="J335" s="143"/>
    </row>
    <row r="336">
      <c r="B336" s="14"/>
      <c r="C336" s="14"/>
      <c r="F336" s="14"/>
      <c r="G336" s="14"/>
      <c r="H336" s="14"/>
      <c r="I336" s="142"/>
      <c r="J336" s="143"/>
    </row>
    <row r="337">
      <c r="B337" s="14"/>
      <c r="C337" s="14"/>
      <c r="F337" s="14"/>
      <c r="G337" s="14"/>
      <c r="H337" s="14"/>
      <c r="I337" s="142"/>
      <c r="J337" s="143"/>
    </row>
    <row r="338">
      <c r="B338" s="14"/>
      <c r="C338" s="14"/>
      <c r="F338" s="14"/>
      <c r="G338" s="14"/>
      <c r="H338" s="14"/>
      <c r="I338" s="142"/>
      <c r="J338" s="143"/>
    </row>
    <row r="339">
      <c r="B339" s="14"/>
      <c r="C339" s="14"/>
      <c r="F339" s="14"/>
      <c r="G339" s="14"/>
      <c r="H339" s="14"/>
      <c r="I339" s="142"/>
      <c r="J339" s="143"/>
    </row>
    <row r="340">
      <c r="B340" s="14"/>
      <c r="C340" s="14"/>
      <c r="F340" s="14"/>
      <c r="G340" s="14"/>
      <c r="H340" s="14"/>
      <c r="I340" s="142"/>
      <c r="J340" s="143"/>
    </row>
    <row r="341">
      <c r="B341" s="14"/>
      <c r="C341" s="14"/>
      <c r="F341" s="14"/>
      <c r="G341" s="14"/>
      <c r="H341" s="14"/>
      <c r="I341" s="142"/>
      <c r="J341" s="143"/>
    </row>
    <row r="342">
      <c r="B342" s="14"/>
      <c r="C342" s="14"/>
      <c r="F342" s="14"/>
      <c r="G342" s="14"/>
      <c r="H342" s="14"/>
      <c r="I342" s="142"/>
      <c r="J342" s="143"/>
    </row>
    <row r="343">
      <c r="B343" s="14"/>
      <c r="C343" s="14"/>
      <c r="F343" s="14"/>
      <c r="G343" s="14"/>
      <c r="H343" s="14"/>
      <c r="I343" s="142"/>
      <c r="J343" s="143"/>
    </row>
    <row r="344">
      <c r="B344" s="14"/>
      <c r="C344" s="14"/>
      <c r="F344" s="14"/>
      <c r="G344" s="14"/>
      <c r="H344" s="14"/>
      <c r="I344" s="142"/>
      <c r="J344" s="143"/>
    </row>
    <row r="345">
      <c r="B345" s="14"/>
      <c r="C345" s="14"/>
      <c r="F345" s="14"/>
      <c r="G345" s="14"/>
      <c r="H345" s="14"/>
      <c r="I345" s="142"/>
      <c r="J345" s="143"/>
    </row>
    <row r="346">
      <c r="B346" s="14"/>
      <c r="C346" s="14"/>
      <c r="F346" s="14"/>
      <c r="G346" s="14"/>
      <c r="H346" s="14"/>
      <c r="I346" s="142"/>
      <c r="J346" s="143"/>
    </row>
    <row r="347">
      <c r="B347" s="14"/>
      <c r="C347" s="14"/>
      <c r="F347" s="14"/>
      <c r="G347" s="14"/>
      <c r="H347" s="14"/>
      <c r="I347" s="142"/>
      <c r="J347" s="143"/>
    </row>
    <row r="348">
      <c r="B348" s="14"/>
      <c r="C348" s="14"/>
      <c r="F348" s="14"/>
      <c r="G348" s="14"/>
      <c r="H348" s="14"/>
      <c r="I348" s="142"/>
      <c r="J348" s="143"/>
    </row>
    <row r="349">
      <c r="B349" s="14"/>
      <c r="C349" s="14"/>
      <c r="F349" s="14"/>
      <c r="G349" s="14"/>
      <c r="H349" s="14"/>
      <c r="I349" s="142"/>
      <c r="J349" s="143"/>
    </row>
    <row r="350">
      <c r="B350" s="14"/>
      <c r="C350" s="14"/>
      <c r="F350" s="14"/>
      <c r="G350" s="14"/>
      <c r="H350" s="14"/>
      <c r="I350" s="142"/>
      <c r="J350" s="143"/>
    </row>
    <row r="351">
      <c r="B351" s="14"/>
      <c r="C351" s="14"/>
      <c r="F351" s="14"/>
      <c r="G351" s="14"/>
      <c r="H351" s="14"/>
      <c r="I351" s="142"/>
      <c r="J351" s="143"/>
    </row>
    <row r="352">
      <c r="B352" s="14"/>
      <c r="C352" s="14"/>
      <c r="F352" s="14"/>
      <c r="G352" s="14"/>
      <c r="H352" s="14"/>
      <c r="I352" s="142"/>
      <c r="J352" s="143"/>
    </row>
    <row r="353">
      <c r="B353" s="14"/>
      <c r="C353" s="14"/>
      <c r="F353" s="14"/>
      <c r="G353" s="14"/>
      <c r="H353" s="14"/>
      <c r="I353" s="142"/>
      <c r="J353" s="143"/>
    </row>
    <row r="354">
      <c r="B354" s="14"/>
      <c r="C354" s="14"/>
      <c r="F354" s="14"/>
      <c r="G354" s="14"/>
      <c r="H354" s="14"/>
      <c r="I354" s="142"/>
      <c r="J354" s="143"/>
    </row>
    <row r="355">
      <c r="B355" s="14"/>
      <c r="C355" s="14"/>
      <c r="F355" s="14"/>
      <c r="G355" s="14"/>
      <c r="H355" s="14"/>
      <c r="I355" s="142"/>
      <c r="J355" s="143"/>
    </row>
    <row r="356">
      <c r="B356" s="14"/>
      <c r="C356" s="14"/>
      <c r="F356" s="14"/>
      <c r="G356" s="14"/>
      <c r="H356" s="14"/>
      <c r="I356" s="142"/>
      <c r="J356" s="143"/>
    </row>
    <row r="357">
      <c r="B357" s="14"/>
      <c r="C357" s="14"/>
      <c r="F357" s="14"/>
      <c r="G357" s="14"/>
      <c r="H357" s="14"/>
      <c r="I357" s="142"/>
      <c r="J357" s="143"/>
    </row>
    <row r="358">
      <c r="B358" s="14"/>
      <c r="C358" s="14"/>
      <c r="F358" s="14"/>
      <c r="G358" s="14"/>
      <c r="H358" s="14"/>
      <c r="I358" s="142"/>
      <c r="J358" s="143"/>
    </row>
    <row r="359">
      <c r="B359" s="14"/>
      <c r="C359" s="14"/>
      <c r="F359" s="14"/>
      <c r="G359" s="14"/>
      <c r="H359" s="14"/>
      <c r="I359" s="142"/>
      <c r="J359" s="143"/>
    </row>
    <row r="360">
      <c r="B360" s="14"/>
      <c r="C360" s="14"/>
      <c r="F360" s="14"/>
      <c r="G360" s="14"/>
      <c r="H360" s="14"/>
      <c r="I360" s="142"/>
      <c r="J360" s="143"/>
    </row>
    <row r="361">
      <c r="B361" s="14"/>
      <c r="C361" s="14"/>
      <c r="F361" s="14"/>
      <c r="G361" s="14"/>
      <c r="H361" s="14"/>
      <c r="I361" s="142"/>
      <c r="J361" s="143"/>
    </row>
    <row r="362">
      <c r="B362" s="14"/>
      <c r="C362" s="14"/>
      <c r="F362" s="14"/>
      <c r="G362" s="14"/>
      <c r="H362" s="14"/>
      <c r="I362" s="142"/>
      <c r="J362" s="143"/>
    </row>
    <row r="363">
      <c r="B363" s="14"/>
      <c r="C363" s="14"/>
      <c r="F363" s="14"/>
      <c r="G363" s="14"/>
      <c r="H363" s="14"/>
      <c r="I363" s="142"/>
      <c r="J363" s="143"/>
    </row>
    <row r="364">
      <c r="B364" s="14"/>
      <c r="C364" s="14"/>
      <c r="F364" s="14"/>
      <c r="G364" s="14"/>
      <c r="H364" s="14"/>
      <c r="I364" s="142"/>
      <c r="J364" s="143"/>
    </row>
    <row r="365">
      <c r="B365" s="14"/>
      <c r="C365" s="14"/>
      <c r="F365" s="14"/>
      <c r="G365" s="14"/>
      <c r="H365" s="14"/>
      <c r="I365" s="142"/>
      <c r="J365" s="143"/>
    </row>
    <row r="366">
      <c r="B366" s="14"/>
      <c r="C366" s="14"/>
      <c r="F366" s="14"/>
      <c r="G366" s="14"/>
      <c r="H366" s="14"/>
      <c r="I366" s="142"/>
      <c r="J366" s="143"/>
    </row>
    <row r="367">
      <c r="B367" s="14"/>
      <c r="C367" s="14"/>
      <c r="F367" s="14"/>
      <c r="G367" s="14"/>
      <c r="H367" s="14"/>
      <c r="I367" s="142"/>
      <c r="J367" s="143"/>
    </row>
    <row r="368">
      <c r="B368" s="14"/>
      <c r="C368" s="14"/>
      <c r="F368" s="14"/>
      <c r="G368" s="14"/>
      <c r="H368" s="14"/>
      <c r="I368" s="142"/>
      <c r="J368" s="143"/>
    </row>
    <row r="369">
      <c r="B369" s="14"/>
      <c r="C369" s="14"/>
      <c r="F369" s="14"/>
      <c r="G369" s="14"/>
      <c r="H369" s="14"/>
      <c r="I369" s="142"/>
      <c r="J369" s="143"/>
    </row>
    <row r="370">
      <c r="B370" s="14"/>
      <c r="C370" s="14"/>
      <c r="F370" s="14"/>
      <c r="G370" s="14"/>
      <c r="H370" s="14"/>
      <c r="I370" s="142"/>
      <c r="J370" s="143"/>
    </row>
    <row r="371">
      <c r="B371" s="14"/>
      <c r="C371" s="14"/>
      <c r="F371" s="14"/>
      <c r="G371" s="14"/>
      <c r="H371" s="14"/>
      <c r="I371" s="142"/>
      <c r="J371" s="143"/>
    </row>
    <row r="372">
      <c r="B372" s="14"/>
      <c r="C372" s="14"/>
      <c r="F372" s="14"/>
      <c r="G372" s="14"/>
      <c r="H372" s="14"/>
      <c r="I372" s="142"/>
      <c r="J372" s="143"/>
    </row>
    <row r="373">
      <c r="B373" s="14"/>
      <c r="C373" s="14"/>
      <c r="F373" s="14"/>
      <c r="G373" s="14"/>
      <c r="H373" s="14"/>
      <c r="I373" s="142"/>
      <c r="J373" s="143"/>
    </row>
    <row r="374">
      <c r="B374" s="14"/>
      <c r="C374" s="14"/>
      <c r="F374" s="14"/>
      <c r="G374" s="14"/>
      <c r="H374" s="14"/>
      <c r="I374" s="142"/>
      <c r="J374" s="143"/>
    </row>
    <row r="375">
      <c r="B375" s="14"/>
      <c r="C375" s="14"/>
      <c r="F375" s="14"/>
      <c r="G375" s="14"/>
      <c r="H375" s="14"/>
      <c r="I375" s="142"/>
      <c r="J375" s="143"/>
    </row>
    <row r="376">
      <c r="B376" s="14"/>
      <c r="C376" s="14"/>
      <c r="F376" s="14"/>
      <c r="G376" s="14"/>
      <c r="H376" s="14"/>
      <c r="I376" s="142"/>
      <c r="J376" s="143"/>
    </row>
    <row r="377">
      <c r="B377" s="14"/>
      <c r="C377" s="14"/>
      <c r="F377" s="14"/>
      <c r="G377" s="14"/>
      <c r="H377" s="14"/>
      <c r="I377" s="142"/>
      <c r="J377" s="143"/>
    </row>
    <row r="378">
      <c r="B378" s="14"/>
      <c r="C378" s="14"/>
      <c r="F378" s="14"/>
      <c r="G378" s="14"/>
      <c r="H378" s="14"/>
      <c r="I378" s="142"/>
      <c r="J378" s="143"/>
    </row>
    <row r="379">
      <c r="B379" s="14"/>
      <c r="C379" s="14"/>
      <c r="F379" s="14"/>
      <c r="G379" s="14"/>
      <c r="H379" s="14"/>
      <c r="I379" s="142"/>
      <c r="J379" s="143"/>
    </row>
    <row r="380">
      <c r="B380" s="14"/>
      <c r="C380" s="14"/>
      <c r="F380" s="14"/>
      <c r="G380" s="14"/>
      <c r="H380" s="14"/>
      <c r="I380" s="142"/>
      <c r="J380" s="143"/>
    </row>
    <row r="381">
      <c r="B381" s="14"/>
      <c r="C381" s="14"/>
      <c r="F381" s="14"/>
      <c r="G381" s="14"/>
      <c r="H381" s="14"/>
      <c r="I381" s="142"/>
      <c r="J381" s="143"/>
    </row>
    <row r="382">
      <c r="B382" s="14"/>
      <c r="C382" s="14"/>
      <c r="F382" s="14"/>
      <c r="G382" s="14"/>
      <c r="H382" s="14"/>
      <c r="I382" s="142"/>
      <c r="J382" s="143"/>
    </row>
    <row r="383">
      <c r="B383" s="14"/>
      <c r="C383" s="14"/>
      <c r="F383" s="14"/>
      <c r="G383" s="14"/>
      <c r="H383" s="14"/>
      <c r="I383" s="142"/>
      <c r="J383" s="143"/>
    </row>
    <row r="384">
      <c r="B384" s="14"/>
      <c r="C384" s="14"/>
      <c r="F384" s="14"/>
      <c r="G384" s="14"/>
      <c r="H384" s="14"/>
      <c r="I384" s="142"/>
      <c r="J384" s="143"/>
    </row>
    <row r="385">
      <c r="B385" s="14"/>
      <c r="C385" s="14"/>
      <c r="F385" s="14"/>
      <c r="G385" s="14"/>
      <c r="H385" s="14"/>
      <c r="I385" s="142"/>
      <c r="J385" s="143"/>
    </row>
    <row r="386">
      <c r="B386" s="14"/>
      <c r="C386" s="14"/>
      <c r="F386" s="14"/>
      <c r="G386" s="14"/>
      <c r="H386" s="14"/>
      <c r="I386" s="142"/>
      <c r="J386" s="143"/>
    </row>
    <row r="387">
      <c r="B387" s="14"/>
      <c r="C387" s="14"/>
      <c r="F387" s="14"/>
      <c r="G387" s="14"/>
      <c r="H387" s="14"/>
      <c r="I387" s="142"/>
      <c r="J387" s="143"/>
    </row>
    <row r="388">
      <c r="B388" s="14"/>
      <c r="C388" s="14"/>
      <c r="F388" s="14"/>
      <c r="G388" s="14"/>
      <c r="H388" s="14"/>
      <c r="I388" s="142"/>
      <c r="J388" s="143"/>
    </row>
    <row r="389">
      <c r="B389" s="14"/>
      <c r="C389" s="14"/>
      <c r="F389" s="14"/>
      <c r="G389" s="14"/>
      <c r="H389" s="14"/>
      <c r="I389" s="142"/>
      <c r="J389" s="143"/>
    </row>
    <row r="390">
      <c r="B390" s="14"/>
      <c r="C390" s="14"/>
      <c r="F390" s="14"/>
      <c r="G390" s="14"/>
      <c r="H390" s="14"/>
      <c r="I390" s="142"/>
      <c r="J390" s="143"/>
    </row>
    <row r="391">
      <c r="B391" s="14"/>
      <c r="C391" s="14"/>
      <c r="F391" s="14"/>
      <c r="G391" s="14"/>
      <c r="H391" s="14"/>
      <c r="I391" s="142"/>
      <c r="J391" s="143"/>
    </row>
    <row r="392">
      <c r="B392" s="14"/>
      <c r="C392" s="14"/>
      <c r="F392" s="14"/>
      <c r="G392" s="14"/>
      <c r="H392" s="14"/>
      <c r="I392" s="142"/>
      <c r="J392" s="143"/>
    </row>
    <row r="393">
      <c r="B393" s="14"/>
      <c r="C393" s="14"/>
      <c r="F393" s="14"/>
      <c r="G393" s="14"/>
      <c r="H393" s="14"/>
      <c r="I393" s="142"/>
      <c r="J393" s="143"/>
    </row>
    <row r="394">
      <c r="B394" s="14"/>
      <c r="C394" s="14"/>
      <c r="F394" s="14"/>
      <c r="G394" s="14"/>
      <c r="H394" s="14"/>
      <c r="I394" s="142"/>
      <c r="J394" s="143"/>
    </row>
    <row r="395">
      <c r="B395" s="14"/>
      <c r="C395" s="14"/>
      <c r="F395" s="14"/>
      <c r="G395" s="14"/>
      <c r="H395" s="14"/>
      <c r="I395" s="142"/>
      <c r="J395" s="143"/>
    </row>
    <row r="396">
      <c r="B396" s="14"/>
      <c r="C396" s="14"/>
      <c r="F396" s="14"/>
      <c r="G396" s="14"/>
      <c r="H396" s="14"/>
      <c r="I396" s="142"/>
      <c r="J396" s="143"/>
    </row>
    <row r="397">
      <c r="B397" s="14"/>
      <c r="C397" s="14"/>
      <c r="F397" s="14"/>
      <c r="G397" s="14"/>
      <c r="H397" s="14"/>
      <c r="I397" s="142"/>
      <c r="J397" s="143"/>
    </row>
    <row r="398">
      <c r="B398" s="14"/>
      <c r="C398" s="14"/>
      <c r="F398" s="14"/>
      <c r="G398" s="14"/>
      <c r="H398" s="14"/>
      <c r="I398" s="142"/>
      <c r="J398" s="143"/>
    </row>
    <row r="399">
      <c r="B399" s="14"/>
      <c r="C399" s="14"/>
      <c r="F399" s="14"/>
      <c r="G399" s="14"/>
      <c r="H399" s="14"/>
      <c r="I399" s="142"/>
      <c r="J399" s="143"/>
    </row>
    <row r="400">
      <c r="B400" s="14"/>
      <c r="C400" s="14"/>
      <c r="F400" s="14"/>
      <c r="G400" s="14"/>
      <c r="H400" s="14"/>
      <c r="I400" s="142"/>
      <c r="J400" s="143"/>
    </row>
    <row r="401">
      <c r="B401" s="14"/>
      <c r="C401" s="14"/>
      <c r="F401" s="14"/>
      <c r="G401" s="14"/>
      <c r="H401" s="14"/>
      <c r="I401" s="142"/>
      <c r="J401" s="143"/>
    </row>
    <row r="402">
      <c r="B402" s="14"/>
      <c r="C402" s="14"/>
      <c r="F402" s="14"/>
      <c r="G402" s="14"/>
      <c r="H402" s="14"/>
      <c r="I402" s="142"/>
      <c r="J402" s="143"/>
    </row>
    <row r="403">
      <c r="B403" s="14"/>
      <c r="C403" s="14"/>
      <c r="F403" s="14"/>
      <c r="G403" s="14"/>
      <c r="H403" s="14"/>
      <c r="I403" s="142"/>
      <c r="J403" s="143"/>
    </row>
    <row r="404">
      <c r="B404" s="14"/>
      <c r="C404" s="14"/>
      <c r="F404" s="14"/>
      <c r="G404" s="14"/>
      <c r="H404" s="14"/>
      <c r="I404" s="142"/>
      <c r="J404" s="143"/>
    </row>
    <row r="405">
      <c r="B405" s="14"/>
      <c r="C405" s="14"/>
      <c r="F405" s="14"/>
      <c r="G405" s="14"/>
      <c r="H405" s="14"/>
      <c r="I405" s="142"/>
      <c r="J405" s="143"/>
    </row>
    <row r="406">
      <c r="B406" s="14"/>
      <c r="C406" s="14"/>
      <c r="F406" s="14"/>
      <c r="G406" s="14"/>
      <c r="H406" s="14"/>
      <c r="I406" s="142"/>
      <c r="J406" s="143"/>
    </row>
    <row r="407">
      <c r="B407" s="14"/>
      <c r="C407" s="14"/>
      <c r="F407" s="14"/>
      <c r="G407" s="14"/>
      <c r="H407" s="14"/>
      <c r="I407" s="142"/>
      <c r="J407" s="143"/>
    </row>
    <row r="408">
      <c r="B408" s="14"/>
      <c r="C408" s="14"/>
      <c r="F408" s="14"/>
      <c r="G408" s="14"/>
      <c r="H408" s="14"/>
      <c r="I408" s="142"/>
      <c r="J408" s="143"/>
    </row>
    <row r="409">
      <c r="B409" s="14"/>
      <c r="C409" s="14"/>
      <c r="F409" s="14"/>
      <c r="G409" s="14"/>
      <c r="H409" s="14"/>
      <c r="I409" s="142"/>
      <c r="J409" s="143"/>
    </row>
    <row r="410">
      <c r="B410" s="14"/>
      <c r="C410" s="14"/>
      <c r="F410" s="14"/>
      <c r="G410" s="14"/>
      <c r="H410" s="14"/>
      <c r="I410" s="142"/>
      <c r="J410" s="143"/>
    </row>
    <row r="411">
      <c r="B411" s="14"/>
      <c r="C411" s="14"/>
      <c r="F411" s="14"/>
      <c r="G411" s="14"/>
      <c r="H411" s="14"/>
      <c r="I411" s="142"/>
      <c r="J411" s="143"/>
    </row>
    <row r="412">
      <c r="B412" s="14"/>
      <c r="C412" s="14"/>
      <c r="F412" s="14"/>
      <c r="G412" s="14"/>
      <c r="H412" s="14"/>
      <c r="I412" s="142"/>
      <c r="J412" s="143"/>
    </row>
    <row r="413">
      <c r="B413" s="14"/>
      <c r="C413" s="14"/>
      <c r="F413" s="14"/>
      <c r="G413" s="14"/>
      <c r="H413" s="14"/>
      <c r="I413" s="142"/>
      <c r="J413" s="143"/>
    </row>
    <row r="414">
      <c r="B414" s="14"/>
      <c r="C414" s="14"/>
      <c r="F414" s="14"/>
      <c r="G414" s="14"/>
      <c r="H414" s="14"/>
      <c r="I414" s="142"/>
      <c r="J414" s="143"/>
    </row>
    <row r="415">
      <c r="B415" s="14"/>
      <c r="C415" s="14"/>
      <c r="F415" s="14"/>
      <c r="G415" s="14"/>
      <c r="H415" s="14"/>
      <c r="I415" s="142"/>
      <c r="J415" s="143"/>
    </row>
    <row r="416">
      <c r="B416" s="14"/>
      <c r="C416" s="14"/>
      <c r="F416" s="14"/>
      <c r="G416" s="14"/>
      <c r="H416" s="14"/>
      <c r="I416" s="142"/>
      <c r="J416" s="143"/>
    </row>
    <row r="417">
      <c r="B417" s="14"/>
      <c r="C417" s="14"/>
      <c r="F417" s="14"/>
      <c r="G417" s="14"/>
      <c r="H417" s="14"/>
      <c r="I417" s="142"/>
      <c r="J417" s="143"/>
    </row>
    <row r="418">
      <c r="B418" s="14"/>
      <c r="C418" s="14"/>
      <c r="F418" s="14"/>
      <c r="G418" s="14"/>
      <c r="H418" s="14"/>
      <c r="I418" s="142"/>
      <c r="J418" s="143"/>
    </row>
    <row r="419">
      <c r="B419" s="14"/>
      <c r="C419" s="14"/>
      <c r="F419" s="14"/>
      <c r="G419" s="14"/>
      <c r="H419" s="14"/>
      <c r="I419" s="142"/>
      <c r="J419" s="143"/>
    </row>
    <row r="420">
      <c r="B420" s="14"/>
      <c r="C420" s="14"/>
      <c r="F420" s="14"/>
      <c r="G420" s="14"/>
      <c r="H420" s="14"/>
      <c r="I420" s="142"/>
      <c r="J420" s="143"/>
    </row>
    <row r="421">
      <c r="B421" s="14"/>
      <c r="C421" s="14"/>
      <c r="F421" s="14"/>
      <c r="G421" s="14"/>
      <c r="H421" s="14"/>
      <c r="I421" s="142"/>
      <c r="J421" s="143"/>
    </row>
    <row r="422">
      <c r="B422" s="14"/>
      <c r="C422" s="14"/>
      <c r="F422" s="14"/>
      <c r="G422" s="14"/>
      <c r="H422" s="14"/>
      <c r="I422" s="142"/>
      <c r="J422" s="143"/>
    </row>
    <row r="423">
      <c r="B423" s="14"/>
      <c r="C423" s="14"/>
      <c r="F423" s="14"/>
      <c r="G423" s="14"/>
      <c r="H423" s="14"/>
      <c r="I423" s="142"/>
      <c r="J423" s="143"/>
    </row>
    <row r="424">
      <c r="B424" s="14"/>
      <c r="C424" s="14"/>
      <c r="F424" s="14"/>
      <c r="G424" s="14"/>
      <c r="H424" s="14"/>
      <c r="I424" s="142"/>
      <c r="J424" s="143"/>
    </row>
    <row r="425">
      <c r="B425" s="14"/>
      <c r="C425" s="14"/>
      <c r="F425" s="14"/>
      <c r="G425" s="14"/>
      <c r="H425" s="14"/>
      <c r="I425" s="142"/>
      <c r="J425" s="143"/>
    </row>
    <row r="426">
      <c r="B426" s="14"/>
      <c r="C426" s="14"/>
      <c r="F426" s="14"/>
      <c r="G426" s="14"/>
      <c r="H426" s="14"/>
      <c r="I426" s="142"/>
      <c r="J426" s="143"/>
    </row>
    <row r="427">
      <c r="B427" s="14"/>
      <c r="C427" s="14"/>
      <c r="F427" s="14"/>
      <c r="G427" s="14"/>
      <c r="H427" s="14"/>
      <c r="I427" s="142"/>
      <c r="J427" s="143"/>
    </row>
    <row r="428">
      <c r="B428" s="14"/>
      <c r="C428" s="14"/>
      <c r="F428" s="14"/>
      <c r="G428" s="14"/>
      <c r="H428" s="14"/>
      <c r="I428" s="142"/>
      <c r="J428" s="143"/>
    </row>
    <row r="429">
      <c r="B429" s="14"/>
      <c r="C429" s="14"/>
      <c r="F429" s="14"/>
      <c r="G429" s="14"/>
      <c r="H429" s="14"/>
      <c r="I429" s="142"/>
      <c r="J429" s="143"/>
    </row>
    <row r="430">
      <c r="B430" s="14"/>
      <c r="C430" s="14"/>
      <c r="F430" s="14"/>
      <c r="G430" s="14"/>
      <c r="H430" s="14"/>
      <c r="I430" s="142"/>
      <c r="J430" s="143"/>
    </row>
    <row r="431">
      <c r="B431" s="14"/>
      <c r="C431" s="14"/>
      <c r="F431" s="14"/>
      <c r="G431" s="14"/>
      <c r="H431" s="14"/>
      <c r="I431" s="142"/>
      <c r="J431" s="143"/>
    </row>
    <row r="432">
      <c r="B432" s="14"/>
      <c r="C432" s="14"/>
      <c r="F432" s="14"/>
      <c r="G432" s="14"/>
      <c r="H432" s="14"/>
      <c r="I432" s="142"/>
      <c r="J432" s="143"/>
    </row>
    <row r="433">
      <c r="B433" s="14"/>
      <c r="C433" s="14"/>
      <c r="F433" s="14"/>
      <c r="G433" s="14"/>
      <c r="H433" s="14"/>
      <c r="I433" s="142"/>
      <c r="J433" s="143"/>
    </row>
    <row r="434">
      <c r="B434" s="14"/>
      <c r="C434" s="14"/>
      <c r="F434" s="14"/>
      <c r="G434" s="14"/>
      <c r="H434" s="14"/>
      <c r="I434" s="142"/>
      <c r="J434" s="143"/>
    </row>
    <row r="435">
      <c r="B435" s="14"/>
      <c r="C435" s="14"/>
      <c r="F435" s="14"/>
      <c r="G435" s="14"/>
      <c r="H435" s="14"/>
      <c r="I435" s="142"/>
      <c r="J435" s="143"/>
    </row>
    <row r="436">
      <c r="B436" s="14"/>
      <c r="C436" s="14"/>
      <c r="F436" s="14"/>
      <c r="G436" s="14"/>
      <c r="H436" s="14"/>
      <c r="I436" s="142"/>
      <c r="J436" s="143"/>
    </row>
    <row r="437">
      <c r="B437" s="14"/>
      <c r="C437" s="14"/>
      <c r="F437" s="14"/>
      <c r="G437" s="14"/>
      <c r="H437" s="14"/>
      <c r="I437" s="142"/>
      <c r="J437" s="143"/>
    </row>
    <row r="438">
      <c r="B438" s="14"/>
      <c r="C438" s="14"/>
      <c r="F438" s="14"/>
      <c r="G438" s="14"/>
      <c r="H438" s="14"/>
      <c r="I438" s="142"/>
      <c r="J438" s="143"/>
    </row>
    <row r="439">
      <c r="B439" s="14"/>
      <c r="C439" s="14"/>
      <c r="F439" s="14"/>
      <c r="G439" s="14"/>
      <c r="H439" s="14"/>
      <c r="I439" s="142"/>
      <c r="J439" s="143"/>
    </row>
    <row r="440">
      <c r="B440" s="14"/>
      <c r="C440" s="14"/>
      <c r="F440" s="14"/>
      <c r="G440" s="14"/>
      <c r="H440" s="14"/>
      <c r="I440" s="142"/>
      <c r="J440" s="143"/>
    </row>
    <row r="441">
      <c r="B441" s="14"/>
      <c r="C441" s="14"/>
      <c r="F441" s="14"/>
      <c r="G441" s="14"/>
      <c r="H441" s="14"/>
      <c r="I441" s="142"/>
      <c r="J441" s="143"/>
    </row>
    <row r="442">
      <c r="B442" s="14"/>
      <c r="C442" s="14"/>
      <c r="F442" s="14"/>
      <c r="G442" s="14"/>
      <c r="H442" s="14"/>
      <c r="I442" s="142"/>
      <c r="J442" s="143"/>
    </row>
    <row r="443">
      <c r="B443" s="14"/>
      <c r="C443" s="14"/>
      <c r="F443" s="14"/>
      <c r="G443" s="14"/>
      <c r="H443" s="14"/>
      <c r="I443" s="142"/>
      <c r="J443" s="143"/>
    </row>
    <row r="444">
      <c r="B444" s="14"/>
      <c r="C444" s="14"/>
      <c r="F444" s="14"/>
      <c r="G444" s="14"/>
      <c r="H444" s="14"/>
      <c r="I444" s="142"/>
      <c r="J444" s="143"/>
    </row>
    <row r="445">
      <c r="B445" s="14"/>
      <c r="C445" s="14"/>
      <c r="F445" s="14"/>
      <c r="G445" s="14"/>
      <c r="H445" s="14"/>
      <c r="I445" s="142"/>
      <c r="J445" s="143"/>
    </row>
    <row r="446">
      <c r="B446" s="14"/>
      <c r="C446" s="14"/>
      <c r="F446" s="14"/>
      <c r="G446" s="14"/>
      <c r="H446" s="14"/>
      <c r="I446" s="142"/>
      <c r="J446" s="143"/>
    </row>
    <row r="447">
      <c r="B447" s="14"/>
      <c r="C447" s="14"/>
      <c r="F447" s="14"/>
      <c r="G447" s="14"/>
      <c r="H447" s="14"/>
      <c r="I447" s="142"/>
      <c r="J447" s="143"/>
    </row>
    <row r="448">
      <c r="B448" s="14"/>
      <c r="C448" s="14"/>
      <c r="F448" s="14"/>
      <c r="G448" s="14"/>
      <c r="H448" s="14"/>
      <c r="I448" s="142"/>
      <c r="J448" s="143"/>
    </row>
    <row r="449">
      <c r="B449" s="14"/>
      <c r="C449" s="14"/>
      <c r="F449" s="14"/>
      <c r="G449" s="14"/>
      <c r="H449" s="14"/>
      <c r="I449" s="142"/>
      <c r="J449" s="143"/>
    </row>
    <row r="450">
      <c r="B450" s="14"/>
      <c r="C450" s="14"/>
      <c r="F450" s="14"/>
      <c r="G450" s="14"/>
      <c r="H450" s="14"/>
      <c r="I450" s="142"/>
      <c r="J450" s="143"/>
    </row>
    <row r="451">
      <c r="B451" s="14"/>
      <c r="C451" s="14"/>
      <c r="F451" s="14"/>
      <c r="G451" s="14"/>
      <c r="H451" s="14"/>
      <c r="I451" s="142"/>
      <c r="J451" s="143"/>
    </row>
    <row r="452">
      <c r="B452" s="14"/>
      <c r="C452" s="14"/>
      <c r="F452" s="14"/>
      <c r="G452" s="14"/>
      <c r="H452" s="14"/>
      <c r="I452" s="142"/>
      <c r="J452" s="143"/>
    </row>
    <row r="453">
      <c r="B453" s="14"/>
      <c r="C453" s="14"/>
      <c r="F453" s="14"/>
      <c r="G453" s="14"/>
      <c r="H453" s="14"/>
      <c r="I453" s="142"/>
      <c r="J453" s="143"/>
    </row>
    <row r="454">
      <c r="B454" s="14"/>
      <c r="C454" s="14"/>
      <c r="F454" s="14"/>
      <c r="G454" s="14"/>
      <c r="H454" s="14"/>
      <c r="I454" s="142"/>
      <c r="J454" s="143"/>
    </row>
    <row r="455">
      <c r="B455" s="14"/>
      <c r="C455" s="14"/>
      <c r="F455" s="14"/>
      <c r="G455" s="14"/>
      <c r="H455" s="14"/>
      <c r="I455" s="142"/>
      <c r="J455" s="143"/>
    </row>
    <row r="456">
      <c r="B456" s="14"/>
      <c r="C456" s="14"/>
      <c r="F456" s="14"/>
      <c r="G456" s="14"/>
      <c r="H456" s="14"/>
      <c r="I456" s="142"/>
      <c r="J456" s="143"/>
    </row>
    <row r="457">
      <c r="B457" s="14"/>
      <c r="C457" s="14"/>
      <c r="F457" s="14"/>
      <c r="G457" s="14"/>
      <c r="H457" s="14"/>
      <c r="I457" s="142"/>
      <c r="J457" s="143"/>
    </row>
    <row r="458">
      <c r="B458" s="14"/>
      <c r="C458" s="14"/>
      <c r="F458" s="14"/>
      <c r="G458" s="14"/>
      <c r="H458" s="14"/>
      <c r="I458" s="142"/>
      <c r="J458" s="143"/>
    </row>
    <row r="459">
      <c r="B459" s="14"/>
      <c r="C459" s="14"/>
      <c r="F459" s="14"/>
      <c r="G459" s="14"/>
      <c r="H459" s="14"/>
      <c r="I459" s="142"/>
      <c r="J459" s="143"/>
    </row>
    <row r="460">
      <c r="B460" s="14"/>
      <c r="C460" s="14"/>
      <c r="F460" s="14"/>
      <c r="G460" s="14"/>
      <c r="H460" s="14"/>
      <c r="I460" s="142"/>
      <c r="J460" s="143"/>
    </row>
    <row r="461">
      <c r="B461" s="14"/>
      <c r="C461" s="14"/>
      <c r="F461" s="14"/>
      <c r="G461" s="14"/>
      <c r="H461" s="14"/>
      <c r="I461" s="142"/>
      <c r="J461" s="143"/>
    </row>
    <row r="462">
      <c r="B462" s="14"/>
      <c r="C462" s="14"/>
      <c r="F462" s="14"/>
      <c r="G462" s="14"/>
      <c r="H462" s="14"/>
      <c r="I462" s="142"/>
      <c r="J462" s="143"/>
    </row>
    <row r="463">
      <c r="B463" s="14"/>
      <c r="C463" s="14"/>
      <c r="F463" s="14"/>
      <c r="G463" s="14"/>
      <c r="H463" s="14"/>
      <c r="I463" s="142"/>
      <c r="J463" s="143"/>
    </row>
    <row r="464">
      <c r="B464" s="14"/>
      <c r="C464" s="14"/>
      <c r="F464" s="14"/>
      <c r="G464" s="14"/>
      <c r="H464" s="14"/>
      <c r="I464" s="142"/>
      <c r="J464" s="143"/>
    </row>
    <row r="465">
      <c r="B465" s="14"/>
      <c r="C465" s="14"/>
      <c r="F465" s="14"/>
      <c r="G465" s="14"/>
      <c r="H465" s="14"/>
      <c r="I465" s="142"/>
      <c r="J465" s="143"/>
    </row>
    <row r="466">
      <c r="B466" s="14"/>
      <c r="C466" s="14"/>
      <c r="F466" s="14"/>
      <c r="G466" s="14"/>
      <c r="H466" s="14"/>
      <c r="I466" s="142"/>
      <c r="J466" s="143"/>
    </row>
    <row r="467">
      <c r="B467" s="14"/>
      <c r="C467" s="14"/>
      <c r="F467" s="14"/>
      <c r="G467" s="14"/>
      <c r="H467" s="14"/>
      <c r="I467" s="142"/>
      <c r="J467" s="143"/>
    </row>
    <row r="468">
      <c r="B468" s="14"/>
      <c r="C468" s="14"/>
      <c r="F468" s="14"/>
      <c r="G468" s="14"/>
      <c r="H468" s="14"/>
      <c r="I468" s="142"/>
      <c r="J468" s="143"/>
    </row>
    <row r="469">
      <c r="B469" s="14"/>
      <c r="C469" s="14"/>
      <c r="F469" s="14"/>
      <c r="G469" s="14"/>
      <c r="H469" s="14"/>
      <c r="I469" s="142"/>
      <c r="J469" s="143"/>
    </row>
    <row r="470">
      <c r="B470" s="14"/>
      <c r="C470" s="14"/>
      <c r="F470" s="14"/>
      <c r="G470" s="14"/>
      <c r="H470" s="14"/>
      <c r="I470" s="142"/>
      <c r="J470" s="143"/>
    </row>
    <row r="471">
      <c r="B471" s="14"/>
      <c r="C471" s="14"/>
      <c r="F471" s="14"/>
      <c r="G471" s="14"/>
      <c r="H471" s="14"/>
      <c r="I471" s="142"/>
      <c r="J471" s="143"/>
    </row>
    <row r="472">
      <c r="B472" s="14"/>
      <c r="C472" s="14"/>
      <c r="F472" s="14"/>
      <c r="G472" s="14"/>
      <c r="H472" s="14"/>
      <c r="I472" s="142"/>
      <c r="J472" s="143"/>
    </row>
    <row r="473">
      <c r="B473" s="14"/>
      <c r="C473" s="14"/>
      <c r="F473" s="14"/>
      <c r="G473" s="14"/>
      <c r="H473" s="14"/>
      <c r="I473" s="142"/>
      <c r="J473" s="143"/>
    </row>
    <row r="474">
      <c r="B474" s="14"/>
      <c r="C474" s="14"/>
      <c r="F474" s="14"/>
      <c r="G474" s="14"/>
      <c r="H474" s="14"/>
      <c r="I474" s="142"/>
      <c r="J474" s="143"/>
    </row>
    <row r="475">
      <c r="B475" s="14"/>
      <c r="C475" s="14"/>
      <c r="F475" s="14"/>
      <c r="G475" s="14"/>
      <c r="H475" s="14"/>
      <c r="I475" s="142"/>
      <c r="J475" s="143"/>
    </row>
    <row r="476">
      <c r="B476" s="14"/>
      <c r="C476" s="14"/>
      <c r="F476" s="14"/>
      <c r="G476" s="14"/>
      <c r="H476" s="14"/>
      <c r="I476" s="142"/>
      <c r="J476" s="143"/>
    </row>
    <row r="477">
      <c r="B477" s="14"/>
      <c r="C477" s="14"/>
      <c r="F477" s="14"/>
      <c r="G477" s="14"/>
      <c r="H477" s="14"/>
      <c r="I477" s="142"/>
      <c r="J477" s="143"/>
    </row>
    <row r="478">
      <c r="B478" s="14"/>
      <c r="C478" s="14"/>
      <c r="F478" s="14"/>
      <c r="G478" s="14"/>
      <c r="H478" s="14"/>
      <c r="I478" s="142"/>
      <c r="J478" s="143"/>
    </row>
    <row r="479">
      <c r="B479" s="14"/>
      <c r="C479" s="14"/>
      <c r="F479" s="14"/>
      <c r="G479" s="14"/>
      <c r="H479" s="14"/>
      <c r="I479" s="142"/>
      <c r="J479" s="143"/>
    </row>
    <row r="480">
      <c r="B480" s="14"/>
      <c r="C480" s="14"/>
      <c r="F480" s="14"/>
      <c r="G480" s="14"/>
      <c r="H480" s="14"/>
      <c r="I480" s="142"/>
      <c r="J480" s="143"/>
    </row>
    <row r="481">
      <c r="B481" s="14"/>
      <c r="C481" s="14"/>
      <c r="F481" s="14"/>
      <c r="G481" s="14"/>
      <c r="H481" s="14"/>
      <c r="I481" s="142"/>
      <c r="J481" s="143"/>
    </row>
    <row r="482">
      <c r="B482" s="14"/>
      <c r="C482" s="14"/>
      <c r="F482" s="14"/>
      <c r="G482" s="14"/>
      <c r="H482" s="14"/>
      <c r="I482" s="142"/>
      <c r="J482" s="143"/>
    </row>
    <row r="483">
      <c r="B483" s="14"/>
      <c r="C483" s="14"/>
      <c r="F483" s="14"/>
      <c r="G483" s="14"/>
      <c r="H483" s="14"/>
      <c r="I483" s="142"/>
      <c r="J483" s="143"/>
    </row>
    <row r="484">
      <c r="B484" s="14"/>
      <c r="C484" s="14"/>
      <c r="F484" s="14"/>
      <c r="G484" s="14"/>
      <c r="H484" s="14"/>
      <c r="I484" s="142"/>
      <c r="J484" s="143"/>
    </row>
    <row r="485">
      <c r="B485" s="14"/>
      <c r="C485" s="14"/>
      <c r="F485" s="14"/>
      <c r="G485" s="14"/>
      <c r="H485" s="14"/>
      <c r="I485" s="142"/>
      <c r="J485" s="143"/>
    </row>
    <row r="486">
      <c r="B486" s="14"/>
      <c r="C486" s="14"/>
      <c r="F486" s="14"/>
      <c r="G486" s="14"/>
      <c r="H486" s="14"/>
      <c r="I486" s="142"/>
      <c r="J486" s="143"/>
    </row>
    <row r="487">
      <c r="B487" s="14"/>
      <c r="C487" s="14"/>
      <c r="F487" s="14"/>
      <c r="G487" s="14"/>
      <c r="H487" s="14"/>
      <c r="I487" s="142"/>
      <c r="J487" s="143"/>
    </row>
    <row r="488">
      <c r="B488" s="14"/>
      <c r="C488" s="14"/>
      <c r="F488" s="14"/>
      <c r="G488" s="14"/>
      <c r="H488" s="14"/>
      <c r="I488" s="142"/>
      <c r="J488" s="143"/>
    </row>
    <row r="489">
      <c r="B489" s="14"/>
      <c r="C489" s="14"/>
      <c r="F489" s="14"/>
      <c r="G489" s="14"/>
      <c r="H489" s="14"/>
      <c r="I489" s="142"/>
      <c r="J489" s="143"/>
    </row>
    <row r="490">
      <c r="B490" s="14"/>
      <c r="C490" s="14"/>
      <c r="F490" s="14"/>
      <c r="G490" s="14"/>
      <c r="H490" s="14"/>
      <c r="I490" s="142"/>
      <c r="J490" s="143"/>
    </row>
    <row r="491">
      <c r="B491" s="14"/>
      <c r="C491" s="14"/>
      <c r="F491" s="14"/>
      <c r="G491" s="14"/>
      <c r="H491" s="14"/>
      <c r="I491" s="142"/>
      <c r="J491" s="143"/>
    </row>
    <row r="492">
      <c r="B492" s="14"/>
      <c r="C492" s="14"/>
      <c r="F492" s="14"/>
      <c r="G492" s="14"/>
      <c r="H492" s="14"/>
      <c r="I492" s="142"/>
      <c r="J492" s="143"/>
    </row>
    <row r="493">
      <c r="B493" s="14"/>
      <c r="C493" s="14"/>
      <c r="F493" s="14"/>
      <c r="G493" s="14"/>
      <c r="H493" s="14"/>
      <c r="I493" s="142"/>
      <c r="J493" s="143"/>
    </row>
    <row r="494">
      <c r="B494" s="14"/>
      <c r="C494" s="14"/>
      <c r="F494" s="14"/>
      <c r="G494" s="14"/>
      <c r="H494" s="14"/>
      <c r="I494" s="142"/>
      <c r="J494" s="143"/>
    </row>
    <row r="495">
      <c r="B495" s="14"/>
      <c r="C495" s="14"/>
      <c r="F495" s="14"/>
      <c r="G495" s="14"/>
      <c r="H495" s="14"/>
      <c r="I495" s="142"/>
      <c r="J495" s="143"/>
    </row>
    <row r="496">
      <c r="B496" s="14"/>
      <c r="C496" s="14"/>
      <c r="F496" s="14"/>
      <c r="G496" s="14"/>
      <c r="H496" s="14"/>
      <c r="I496" s="142"/>
      <c r="J496" s="143"/>
    </row>
    <row r="497">
      <c r="B497" s="14"/>
      <c r="C497" s="14"/>
      <c r="F497" s="14"/>
      <c r="G497" s="14"/>
      <c r="H497" s="14"/>
      <c r="I497" s="142"/>
      <c r="J497" s="143"/>
    </row>
    <row r="498">
      <c r="B498" s="14"/>
      <c r="C498" s="14"/>
      <c r="F498" s="14"/>
      <c r="G498" s="14"/>
      <c r="H498" s="14"/>
      <c r="I498" s="142"/>
      <c r="J498" s="143"/>
    </row>
    <row r="499">
      <c r="B499" s="14"/>
      <c r="C499" s="14"/>
      <c r="F499" s="14"/>
      <c r="G499" s="14"/>
      <c r="H499" s="14"/>
      <c r="I499" s="142"/>
      <c r="J499" s="143"/>
    </row>
    <row r="500">
      <c r="B500" s="14"/>
      <c r="C500" s="14"/>
      <c r="F500" s="14"/>
      <c r="G500" s="14"/>
      <c r="H500" s="14"/>
      <c r="I500" s="142"/>
      <c r="J500" s="143"/>
    </row>
    <row r="501">
      <c r="B501" s="14"/>
      <c r="C501" s="14"/>
      <c r="F501" s="14"/>
      <c r="G501" s="14"/>
      <c r="H501" s="14"/>
      <c r="I501" s="142"/>
      <c r="J501" s="143"/>
    </row>
    <row r="502">
      <c r="B502" s="14"/>
      <c r="C502" s="14"/>
      <c r="F502" s="14"/>
      <c r="G502" s="14"/>
      <c r="H502" s="14"/>
      <c r="I502" s="142"/>
      <c r="J502" s="143"/>
    </row>
    <row r="503">
      <c r="B503" s="14"/>
      <c r="C503" s="14"/>
      <c r="F503" s="14"/>
      <c r="G503" s="14"/>
      <c r="H503" s="14"/>
      <c r="I503" s="142"/>
      <c r="J503" s="143"/>
    </row>
    <row r="504">
      <c r="B504" s="14"/>
      <c r="C504" s="14"/>
      <c r="F504" s="14"/>
      <c r="G504" s="14"/>
      <c r="H504" s="14"/>
      <c r="I504" s="142"/>
      <c r="J504" s="143"/>
    </row>
    <row r="505">
      <c r="B505" s="14"/>
      <c r="C505" s="14"/>
      <c r="F505" s="14"/>
      <c r="G505" s="14"/>
      <c r="H505" s="14"/>
      <c r="I505" s="142"/>
      <c r="J505" s="143"/>
    </row>
    <row r="506">
      <c r="B506" s="14"/>
      <c r="C506" s="14"/>
      <c r="F506" s="14"/>
      <c r="G506" s="14"/>
      <c r="H506" s="14"/>
      <c r="I506" s="142"/>
      <c r="J506" s="143"/>
    </row>
    <row r="507">
      <c r="B507" s="14"/>
      <c r="C507" s="14"/>
      <c r="F507" s="14"/>
      <c r="G507" s="14"/>
      <c r="H507" s="14"/>
      <c r="I507" s="142"/>
      <c r="J507" s="143"/>
    </row>
    <row r="508">
      <c r="B508" s="14"/>
      <c r="C508" s="14"/>
      <c r="F508" s="14"/>
      <c r="G508" s="14"/>
      <c r="H508" s="14"/>
      <c r="I508" s="142"/>
      <c r="J508" s="143"/>
    </row>
    <row r="509">
      <c r="B509" s="14"/>
      <c r="C509" s="14"/>
      <c r="F509" s="14"/>
      <c r="G509" s="14"/>
      <c r="H509" s="14"/>
      <c r="I509" s="142"/>
      <c r="J509" s="143"/>
    </row>
    <row r="510">
      <c r="B510" s="14"/>
      <c r="C510" s="14"/>
      <c r="F510" s="14"/>
      <c r="G510" s="14"/>
      <c r="H510" s="14"/>
      <c r="I510" s="142"/>
      <c r="J510" s="143"/>
    </row>
    <row r="511">
      <c r="B511" s="14"/>
      <c r="C511" s="14"/>
      <c r="F511" s="14"/>
      <c r="G511" s="14"/>
      <c r="H511" s="14"/>
      <c r="I511" s="142"/>
      <c r="J511" s="143"/>
    </row>
    <row r="512">
      <c r="B512" s="14"/>
      <c r="C512" s="14"/>
      <c r="F512" s="14"/>
      <c r="G512" s="14"/>
      <c r="H512" s="14"/>
      <c r="I512" s="142"/>
      <c r="J512" s="143"/>
    </row>
    <row r="513">
      <c r="B513" s="14"/>
      <c r="C513" s="14"/>
      <c r="F513" s="14"/>
      <c r="G513" s="14"/>
      <c r="H513" s="14"/>
      <c r="I513" s="142"/>
      <c r="J513" s="143"/>
    </row>
    <row r="514">
      <c r="B514" s="14"/>
      <c r="C514" s="14"/>
      <c r="F514" s="14"/>
      <c r="G514" s="14"/>
      <c r="H514" s="14"/>
      <c r="I514" s="142"/>
      <c r="J514" s="143"/>
    </row>
    <row r="515">
      <c r="B515" s="14"/>
      <c r="C515" s="14"/>
      <c r="F515" s="14"/>
      <c r="G515" s="14"/>
      <c r="H515" s="14"/>
      <c r="I515" s="142"/>
      <c r="J515" s="143"/>
    </row>
    <row r="516">
      <c r="B516" s="14"/>
      <c r="C516" s="14"/>
      <c r="F516" s="14"/>
      <c r="G516" s="14"/>
      <c r="H516" s="14"/>
      <c r="I516" s="142"/>
      <c r="J516" s="143"/>
    </row>
    <row r="517">
      <c r="B517" s="14"/>
      <c r="C517" s="14"/>
      <c r="F517" s="14"/>
      <c r="G517" s="14"/>
      <c r="H517" s="14"/>
      <c r="I517" s="142"/>
      <c r="J517" s="143"/>
    </row>
    <row r="518">
      <c r="B518" s="14"/>
      <c r="C518" s="14"/>
      <c r="F518" s="14"/>
      <c r="G518" s="14"/>
      <c r="H518" s="14"/>
      <c r="I518" s="142"/>
      <c r="J518" s="143"/>
    </row>
    <row r="519">
      <c r="B519" s="14"/>
      <c r="C519" s="14"/>
      <c r="F519" s="14"/>
      <c r="G519" s="14"/>
      <c r="H519" s="14"/>
      <c r="I519" s="142"/>
      <c r="J519" s="143"/>
    </row>
    <row r="520">
      <c r="B520" s="14"/>
      <c r="C520" s="14"/>
      <c r="F520" s="14"/>
      <c r="G520" s="14"/>
      <c r="H520" s="14"/>
      <c r="I520" s="142"/>
      <c r="J520" s="143"/>
    </row>
    <row r="521">
      <c r="B521" s="14"/>
      <c r="C521" s="14"/>
      <c r="F521" s="14"/>
      <c r="G521" s="14"/>
      <c r="H521" s="14"/>
      <c r="I521" s="142"/>
      <c r="J521" s="143"/>
    </row>
    <row r="522">
      <c r="B522" s="14"/>
      <c r="C522" s="14"/>
      <c r="F522" s="14"/>
      <c r="G522" s="14"/>
      <c r="H522" s="14"/>
      <c r="I522" s="142"/>
      <c r="J522" s="143"/>
    </row>
    <row r="523">
      <c r="B523" s="14"/>
      <c r="C523" s="14"/>
      <c r="F523" s="14"/>
      <c r="G523" s="14"/>
      <c r="H523" s="14"/>
      <c r="I523" s="142"/>
      <c r="J523" s="143"/>
    </row>
    <row r="524">
      <c r="B524" s="14"/>
      <c r="C524" s="14"/>
      <c r="F524" s="14"/>
      <c r="G524" s="14"/>
      <c r="H524" s="14"/>
      <c r="I524" s="142"/>
      <c r="J524" s="143"/>
    </row>
    <row r="525">
      <c r="B525" s="14"/>
      <c r="C525" s="14"/>
      <c r="F525" s="14"/>
      <c r="G525" s="14"/>
      <c r="H525" s="14"/>
      <c r="I525" s="142"/>
      <c r="J525" s="143"/>
    </row>
    <row r="526">
      <c r="B526" s="14"/>
      <c r="C526" s="14"/>
      <c r="F526" s="14"/>
      <c r="G526" s="14"/>
      <c r="H526" s="14"/>
      <c r="I526" s="142"/>
      <c r="J526" s="143"/>
    </row>
    <row r="527">
      <c r="B527" s="14"/>
      <c r="C527" s="14"/>
      <c r="F527" s="14"/>
      <c r="G527" s="14"/>
      <c r="H527" s="14"/>
      <c r="I527" s="142"/>
      <c r="J527" s="143"/>
    </row>
    <row r="528">
      <c r="B528" s="14"/>
      <c r="C528" s="14"/>
      <c r="F528" s="14"/>
      <c r="G528" s="14"/>
      <c r="H528" s="14"/>
      <c r="I528" s="142"/>
      <c r="J528" s="143"/>
    </row>
    <row r="529">
      <c r="B529" s="14"/>
      <c r="C529" s="14"/>
      <c r="F529" s="14"/>
      <c r="G529" s="14"/>
      <c r="H529" s="14"/>
      <c r="I529" s="142"/>
      <c r="J529" s="143"/>
    </row>
    <row r="530">
      <c r="B530" s="14"/>
      <c r="C530" s="14"/>
      <c r="F530" s="14"/>
      <c r="G530" s="14"/>
      <c r="H530" s="14"/>
      <c r="I530" s="142"/>
      <c r="J530" s="143"/>
    </row>
    <row r="531">
      <c r="B531" s="14"/>
      <c r="C531" s="14"/>
      <c r="F531" s="14"/>
      <c r="G531" s="14"/>
      <c r="H531" s="14"/>
      <c r="I531" s="142"/>
      <c r="J531" s="143"/>
    </row>
    <row r="532">
      <c r="B532" s="14"/>
      <c r="C532" s="14"/>
      <c r="F532" s="14"/>
      <c r="G532" s="14"/>
      <c r="H532" s="14"/>
      <c r="I532" s="142"/>
      <c r="J532" s="143"/>
    </row>
    <row r="533">
      <c r="B533" s="14"/>
      <c r="C533" s="14"/>
      <c r="F533" s="14"/>
      <c r="G533" s="14"/>
      <c r="H533" s="14"/>
      <c r="I533" s="142"/>
      <c r="J533" s="143"/>
    </row>
    <row r="534">
      <c r="B534" s="14"/>
      <c r="C534" s="14"/>
      <c r="F534" s="14"/>
      <c r="G534" s="14"/>
      <c r="H534" s="14"/>
      <c r="I534" s="142"/>
      <c r="J534" s="143"/>
    </row>
    <row r="535">
      <c r="B535" s="14"/>
      <c r="C535" s="14"/>
      <c r="F535" s="14"/>
      <c r="G535" s="14"/>
      <c r="H535" s="14"/>
      <c r="I535" s="142"/>
      <c r="J535" s="143"/>
    </row>
    <row r="536">
      <c r="B536" s="14"/>
      <c r="C536" s="14"/>
      <c r="F536" s="14"/>
      <c r="G536" s="14"/>
      <c r="H536" s="14"/>
      <c r="I536" s="142"/>
      <c r="J536" s="143"/>
    </row>
    <row r="537">
      <c r="B537" s="14"/>
      <c r="C537" s="14"/>
      <c r="F537" s="14"/>
      <c r="G537" s="14"/>
      <c r="H537" s="14"/>
      <c r="I537" s="142"/>
      <c r="J537" s="143"/>
    </row>
    <row r="538">
      <c r="B538" s="14"/>
      <c r="C538" s="14"/>
      <c r="F538" s="14"/>
      <c r="G538" s="14"/>
      <c r="H538" s="14"/>
      <c r="I538" s="142"/>
      <c r="J538" s="143"/>
    </row>
    <row r="539">
      <c r="B539" s="14"/>
      <c r="C539" s="14"/>
      <c r="F539" s="14"/>
      <c r="G539" s="14"/>
      <c r="H539" s="14"/>
      <c r="I539" s="142"/>
      <c r="J539" s="143"/>
    </row>
    <row r="540">
      <c r="B540" s="14"/>
      <c r="C540" s="14"/>
      <c r="F540" s="14"/>
      <c r="G540" s="14"/>
      <c r="H540" s="14"/>
      <c r="I540" s="142"/>
      <c r="J540" s="143"/>
    </row>
    <row r="541">
      <c r="B541" s="14"/>
      <c r="C541" s="14"/>
      <c r="F541" s="14"/>
      <c r="G541" s="14"/>
      <c r="H541" s="14"/>
      <c r="I541" s="142"/>
      <c r="J541" s="143"/>
    </row>
    <row r="542">
      <c r="B542" s="14"/>
      <c r="C542" s="14"/>
      <c r="F542" s="14"/>
      <c r="G542" s="14"/>
      <c r="H542" s="14"/>
      <c r="I542" s="142"/>
      <c r="J542" s="143"/>
    </row>
    <row r="543">
      <c r="B543" s="14"/>
      <c r="C543" s="14"/>
      <c r="F543" s="14"/>
      <c r="G543" s="14"/>
      <c r="H543" s="14"/>
      <c r="I543" s="142"/>
      <c r="J543" s="143"/>
    </row>
    <row r="544">
      <c r="B544" s="14"/>
      <c r="C544" s="14"/>
      <c r="F544" s="14"/>
      <c r="G544" s="14"/>
      <c r="H544" s="14"/>
      <c r="I544" s="142"/>
      <c r="J544" s="143"/>
    </row>
    <row r="545">
      <c r="B545" s="14"/>
      <c r="C545" s="14"/>
      <c r="F545" s="14"/>
      <c r="G545" s="14"/>
      <c r="H545" s="14"/>
      <c r="I545" s="142"/>
      <c r="J545" s="143"/>
    </row>
    <row r="546">
      <c r="B546" s="14"/>
      <c r="C546" s="14"/>
      <c r="F546" s="14"/>
      <c r="G546" s="14"/>
      <c r="H546" s="14"/>
      <c r="I546" s="142"/>
      <c r="J546" s="143"/>
    </row>
    <row r="547">
      <c r="B547" s="14"/>
      <c r="C547" s="14"/>
      <c r="F547" s="14"/>
      <c r="G547" s="14"/>
      <c r="H547" s="14"/>
      <c r="I547" s="142"/>
      <c r="J547" s="143"/>
    </row>
    <row r="548">
      <c r="B548" s="14"/>
      <c r="C548" s="14"/>
      <c r="F548" s="14"/>
      <c r="G548" s="14"/>
      <c r="H548" s="14"/>
      <c r="I548" s="142"/>
      <c r="J548" s="143"/>
    </row>
    <row r="549">
      <c r="B549" s="14"/>
      <c r="C549" s="14"/>
      <c r="F549" s="14"/>
      <c r="G549" s="14"/>
      <c r="H549" s="14"/>
      <c r="I549" s="142"/>
      <c r="J549" s="143"/>
    </row>
    <row r="550">
      <c r="B550" s="14"/>
      <c r="C550" s="14"/>
      <c r="F550" s="14"/>
      <c r="G550" s="14"/>
      <c r="H550" s="14"/>
      <c r="I550" s="142"/>
      <c r="J550" s="143"/>
    </row>
    <row r="551">
      <c r="B551" s="14"/>
      <c r="C551" s="14"/>
      <c r="F551" s="14"/>
      <c r="G551" s="14"/>
      <c r="H551" s="14"/>
      <c r="I551" s="142"/>
      <c r="J551" s="143"/>
    </row>
    <row r="552">
      <c r="B552" s="14"/>
      <c r="C552" s="14"/>
      <c r="F552" s="14"/>
      <c r="G552" s="14"/>
      <c r="H552" s="14"/>
      <c r="I552" s="142"/>
      <c r="J552" s="143"/>
    </row>
    <row r="553">
      <c r="B553" s="14"/>
      <c r="C553" s="14"/>
      <c r="F553" s="14"/>
      <c r="G553" s="14"/>
      <c r="H553" s="14"/>
      <c r="I553" s="142"/>
      <c r="J553" s="143"/>
    </row>
    <row r="554">
      <c r="B554" s="14"/>
      <c r="C554" s="14"/>
      <c r="F554" s="14"/>
      <c r="G554" s="14"/>
      <c r="H554" s="14"/>
      <c r="I554" s="142"/>
      <c r="J554" s="143"/>
    </row>
    <row r="555">
      <c r="B555" s="14"/>
      <c r="C555" s="14"/>
      <c r="F555" s="14"/>
      <c r="G555" s="14"/>
      <c r="H555" s="14"/>
      <c r="I555" s="142"/>
      <c r="J555" s="143"/>
    </row>
    <row r="556">
      <c r="B556" s="14"/>
      <c r="C556" s="14"/>
      <c r="F556" s="14"/>
      <c r="G556" s="14"/>
      <c r="H556" s="14"/>
      <c r="I556" s="142"/>
      <c r="J556" s="143"/>
    </row>
    <row r="557">
      <c r="B557" s="14"/>
      <c r="C557" s="14"/>
      <c r="F557" s="14"/>
      <c r="G557" s="14"/>
      <c r="H557" s="14"/>
      <c r="I557" s="142"/>
      <c r="J557" s="143"/>
    </row>
    <row r="558">
      <c r="B558" s="14"/>
      <c r="C558" s="14"/>
      <c r="F558" s="14"/>
      <c r="G558" s="14"/>
      <c r="H558" s="14"/>
      <c r="I558" s="142"/>
      <c r="J558" s="143"/>
    </row>
    <row r="559">
      <c r="B559" s="14"/>
      <c r="C559" s="14"/>
      <c r="F559" s="14"/>
      <c r="G559" s="14"/>
      <c r="H559" s="14"/>
      <c r="I559" s="142"/>
      <c r="J559" s="143"/>
    </row>
    <row r="560">
      <c r="B560" s="14"/>
      <c r="C560" s="14"/>
      <c r="F560" s="14"/>
      <c r="G560" s="14"/>
      <c r="H560" s="14"/>
      <c r="I560" s="142"/>
      <c r="J560" s="143"/>
    </row>
    <row r="561">
      <c r="B561" s="14"/>
      <c r="C561" s="14"/>
      <c r="F561" s="14"/>
      <c r="G561" s="14"/>
      <c r="H561" s="14"/>
      <c r="I561" s="142"/>
      <c r="J561" s="143"/>
    </row>
    <row r="562">
      <c r="B562" s="14"/>
      <c r="C562" s="14"/>
      <c r="F562" s="14"/>
      <c r="G562" s="14"/>
      <c r="H562" s="14"/>
      <c r="I562" s="142"/>
      <c r="J562" s="143"/>
    </row>
    <row r="563">
      <c r="B563" s="14"/>
      <c r="C563" s="14"/>
      <c r="F563" s="14"/>
      <c r="G563" s="14"/>
      <c r="H563" s="14"/>
      <c r="I563" s="142"/>
      <c r="J563" s="143"/>
    </row>
    <row r="564">
      <c r="B564" s="14"/>
      <c r="C564" s="14"/>
      <c r="F564" s="14"/>
      <c r="G564" s="14"/>
      <c r="H564" s="14"/>
      <c r="I564" s="142"/>
      <c r="J564" s="143"/>
    </row>
    <row r="565">
      <c r="B565" s="14"/>
      <c r="C565" s="14"/>
      <c r="F565" s="14"/>
      <c r="G565" s="14"/>
      <c r="H565" s="14"/>
      <c r="I565" s="142"/>
      <c r="J565" s="143"/>
    </row>
    <row r="566">
      <c r="B566" s="14"/>
      <c r="C566" s="14"/>
      <c r="F566" s="14"/>
      <c r="G566" s="14"/>
      <c r="H566" s="14"/>
      <c r="I566" s="142"/>
      <c r="J566" s="143"/>
    </row>
    <row r="567">
      <c r="B567" s="14"/>
      <c r="C567" s="14"/>
      <c r="F567" s="14"/>
      <c r="G567" s="14"/>
      <c r="H567" s="14"/>
      <c r="I567" s="142"/>
      <c r="J567" s="143"/>
    </row>
    <row r="568">
      <c r="B568" s="14"/>
      <c r="C568" s="14"/>
      <c r="F568" s="14"/>
      <c r="G568" s="14"/>
      <c r="H568" s="14"/>
      <c r="I568" s="142"/>
      <c r="J568" s="143"/>
    </row>
    <row r="569">
      <c r="B569" s="14"/>
      <c r="C569" s="14"/>
      <c r="F569" s="14"/>
      <c r="G569" s="14"/>
      <c r="H569" s="14"/>
      <c r="I569" s="142"/>
      <c r="J569" s="143"/>
    </row>
    <row r="570">
      <c r="B570" s="14"/>
      <c r="C570" s="14"/>
      <c r="F570" s="14"/>
      <c r="G570" s="14"/>
      <c r="H570" s="14"/>
      <c r="I570" s="142"/>
      <c r="J570" s="143"/>
    </row>
    <row r="571">
      <c r="B571" s="14"/>
      <c r="C571" s="14"/>
      <c r="F571" s="14"/>
      <c r="G571" s="14"/>
      <c r="H571" s="14"/>
      <c r="I571" s="142"/>
      <c r="J571" s="143"/>
    </row>
    <row r="572">
      <c r="B572" s="14"/>
      <c r="C572" s="14"/>
      <c r="F572" s="14"/>
      <c r="G572" s="14"/>
      <c r="H572" s="14"/>
      <c r="I572" s="142"/>
      <c r="J572" s="143"/>
    </row>
    <row r="573">
      <c r="B573" s="14"/>
      <c r="C573" s="14"/>
      <c r="F573" s="14"/>
      <c r="G573" s="14"/>
      <c r="H573" s="14"/>
      <c r="I573" s="142"/>
      <c r="J573" s="143"/>
    </row>
    <row r="574">
      <c r="B574" s="14"/>
      <c r="C574" s="14"/>
      <c r="F574" s="14"/>
      <c r="G574" s="14"/>
      <c r="H574" s="14"/>
      <c r="I574" s="142"/>
      <c r="J574" s="143"/>
    </row>
    <row r="575">
      <c r="B575" s="14"/>
      <c r="C575" s="14"/>
      <c r="F575" s="14"/>
      <c r="G575" s="14"/>
      <c r="H575" s="14"/>
      <c r="I575" s="142"/>
      <c r="J575" s="143"/>
    </row>
    <row r="576">
      <c r="B576" s="14"/>
      <c r="C576" s="14"/>
      <c r="F576" s="14"/>
      <c r="G576" s="14"/>
      <c r="H576" s="14"/>
      <c r="I576" s="142"/>
      <c r="J576" s="143"/>
    </row>
    <row r="577">
      <c r="B577" s="14"/>
      <c r="C577" s="14"/>
      <c r="F577" s="14"/>
      <c r="G577" s="14"/>
      <c r="H577" s="14"/>
      <c r="I577" s="142"/>
      <c r="J577" s="143"/>
    </row>
    <row r="578">
      <c r="B578" s="14"/>
      <c r="C578" s="14"/>
      <c r="F578" s="14"/>
      <c r="G578" s="14"/>
      <c r="H578" s="14"/>
      <c r="I578" s="142"/>
      <c r="J578" s="143"/>
    </row>
    <row r="579">
      <c r="B579" s="14"/>
      <c r="C579" s="14"/>
      <c r="F579" s="14"/>
      <c r="G579" s="14"/>
      <c r="H579" s="14"/>
      <c r="I579" s="142"/>
      <c r="J579" s="143"/>
    </row>
    <row r="580">
      <c r="B580" s="14"/>
      <c r="C580" s="14"/>
      <c r="F580" s="14"/>
      <c r="G580" s="14"/>
      <c r="H580" s="14"/>
      <c r="I580" s="142"/>
      <c r="J580" s="143"/>
    </row>
    <row r="581">
      <c r="B581" s="14"/>
      <c r="C581" s="14"/>
      <c r="F581" s="14"/>
      <c r="G581" s="14"/>
      <c r="H581" s="14"/>
      <c r="I581" s="142"/>
      <c r="J581" s="143"/>
    </row>
    <row r="582">
      <c r="B582" s="14"/>
      <c r="C582" s="14"/>
      <c r="F582" s="14"/>
      <c r="G582" s="14"/>
      <c r="H582" s="14"/>
      <c r="I582" s="142"/>
      <c r="J582" s="143"/>
    </row>
    <row r="583">
      <c r="B583" s="14"/>
      <c r="C583" s="14"/>
      <c r="F583" s="14"/>
      <c r="G583" s="14"/>
      <c r="H583" s="14"/>
      <c r="I583" s="142"/>
      <c r="J583" s="143"/>
    </row>
    <row r="584">
      <c r="B584" s="14"/>
      <c r="C584" s="14"/>
      <c r="F584" s="14"/>
      <c r="G584" s="14"/>
      <c r="H584" s="14"/>
      <c r="I584" s="142"/>
      <c r="J584" s="143"/>
    </row>
    <row r="585">
      <c r="B585" s="14"/>
      <c r="C585" s="14"/>
      <c r="F585" s="14"/>
      <c r="G585" s="14"/>
      <c r="H585" s="14"/>
      <c r="I585" s="142"/>
      <c r="J585" s="143"/>
    </row>
    <row r="586">
      <c r="B586" s="14"/>
      <c r="C586" s="14"/>
      <c r="F586" s="14"/>
      <c r="G586" s="14"/>
      <c r="H586" s="14"/>
      <c r="I586" s="142"/>
      <c r="J586" s="143"/>
    </row>
    <row r="587">
      <c r="B587" s="14"/>
      <c r="C587" s="14"/>
      <c r="F587" s="14"/>
      <c r="G587" s="14"/>
      <c r="H587" s="14"/>
      <c r="I587" s="142"/>
      <c r="J587" s="143"/>
    </row>
    <row r="588">
      <c r="B588" s="14"/>
      <c r="C588" s="14"/>
      <c r="F588" s="14"/>
      <c r="G588" s="14"/>
      <c r="H588" s="14"/>
      <c r="I588" s="142"/>
      <c r="J588" s="143"/>
    </row>
    <row r="589">
      <c r="B589" s="14"/>
      <c r="C589" s="14"/>
      <c r="F589" s="14"/>
      <c r="G589" s="14"/>
      <c r="H589" s="14"/>
      <c r="I589" s="142"/>
      <c r="J589" s="143"/>
    </row>
    <row r="590">
      <c r="B590" s="14"/>
      <c r="C590" s="14"/>
      <c r="F590" s="14"/>
      <c r="G590" s="14"/>
      <c r="H590" s="14"/>
      <c r="I590" s="142"/>
      <c r="J590" s="143"/>
    </row>
    <row r="591">
      <c r="B591" s="14"/>
      <c r="C591" s="14"/>
      <c r="F591" s="14"/>
      <c r="G591" s="14"/>
      <c r="H591" s="14"/>
      <c r="I591" s="142"/>
      <c r="J591" s="143"/>
    </row>
    <row r="592">
      <c r="B592" s="14"/>
      <c r="C592" s="14"/>
      <c r="F592" s="14"/>
      <c r="G592" s="14"/>
      <c r="H592" s="14"/>
      <c r="I592" s="142"/>
      <c r="J592" s="143"/>
    </row>
    <row r="593">
      <c r="B593" s="14"/>
      <c r="C593" s="14"/>
      <c r="F593" s="14"/>
      <c r="G593" s="14"/>
      <c r="H593" s="14"/>
      <c r="I593" s="142"/>
      <c r="J593" s="143"/>
    </row>
    <row r="594">
      <c r="B594" s="14"/>
      <c r="C594" s="14"/>
      <c r="F594" s="14"/>
      <c r="G594" s="14"/>
      <c r="H594" s="14"/>
      <c r="I594" s="142"/>
      <c r="J594" s="143"/>
    </row>
    <row r="595">
      <c r="B595" s="14"/>
      <c r="C595" s="14"/>
      <c r="F595" s="14"/>
      <c r="G595" s="14"/>
      <c r="H595" s="14"/>
      <c r="I595" s="142"/>
      <c r="J595" s="143"/>
    </row>
    <row r="596">
      <c r="B596" s="14"/>
      <c r="C596" s="14"/>
      <c r="F596" s="14"/>
      <c r="G596" s="14"/>
      <c r="H596" s="14"/>
      <c r="I596" s="142"/>
      <c r="J596" s="143"/>
    </row>
    <row r="597">
      <c r="B597" s="14"/>
      <c r="C597" s="14"/>
      <c r="F597" s="14"/>
      <c r="G597" s="14"/>
      <c r="H597" s="14"/>
      <c r="I597" s="142"/>
      <c r="J597" s="143"/>
    </row>
    <row r="598">
      <c r="B598" s="14"/>
      <c r="C598" s="14"/>
      <c r="F598" s="14"/>
      <c r="G598" s="14"/>
      <c r="H598" s="14"/>
      <c r="I598" s="142"/>
      <c r="J598" s="143"/>
    </row>
    <row r="599">
      <c r="B599" s="14"/>
      <c r="C599" s="14"/>
      <c r="F599" s="14"/>
      <c r="G599" s="14"/>
      <c r="H599" s="14"/>
      <c r="I599" s="142"/>
      <c r="J599" s="143"/>
    </row>
    <row r="600">
      <c r="B600" s="14"/>
      <c r="C600" s="14"/>
      <c r="F600" s="14"/>
      <c r="G600" s="14"/>
      <c r="H600" s="14"/>
      <c r="I600" s="142"/>
      <c r="J600" s="143"/>
    </row>
    <row r="601">
      <c r="B601" s="14"/>
      <c r="C601" s="14"/>
      <c r="F601" s="14"/>
      <c r="G601" s="14"/>
      <c r="H601" s="14"/>
      <c r="I601" s="142"/>
      <c r="J601" s="143"/>
    </row>
    <row r="602">
      <c r="B602" s="14"/>
      <c r="C602" s="14"/>
      <c r="F602" s="14"/>
      <c r="G602" s="14"/>
      <c r="H602" s="14"/>
      <c r="I602" s="142"/>
      <c r="J602" s="143"/>
    </row>
    <row r="603">
      <c r="B603" s="14"/>
      <c r="C603" s="14"/>
      <c r="F603" s="14"/>
      <c r="G603" s="14"/>
      <c r="H603" s="14"/>
      <c r="I603" s="142"/>
      <c r="J603" s="143"/>
    </row>
    <row r="604">
      <c r="B604" s="14"/>
      <c r="C604" s="14"/>
      <c r="F604" s="14"/>
      <c r="G604" s="14"/>
      <c r="H604" s="14"/>
      <c r="I604" s="142"/>
      <c r="J604" s="143"/>
    </row>
    <row r="605">
      <c r="B605" s="14"/>
      <c r="C605" s="14"/>
      <c r="F605" s="14"/>
      <c r="G605" s="14"/>
      <c r="H605" s="14"/>
      <c r="I605" s="142"/>
      <c r="J605" s="143"/>
    </row>
    <row r="606">
      <c r="B606" s="14"/>
      <c r="C606" s="14"/>
      <c r="F606" s="14"/>
      <c r="G606" s="14"/>
      <c r="H606" s="14"/>
      <c r="I606" s="142"/>
      <c r="J606" s="143"/>
    </row>
    <row r="607">
      <c r="B607" s="14"/>
      <c r="C607" s="14"/>
      <c r="F607" s="14"/>
      <c r="G607" s="14"/>
      <c r="H607" s="14"/>
      <c r="I607" s="142"/>
      <c r="J607" s="143"/>
    </row>
    <row r="608">
      <c r="B608" s="14"/>
      <c r="C608" s="14"/>
      <c r="F608" s="14"/>
      <c r="G608" s="14"/>
      <c r="H608" s="14"/>
      <c r="I608" s="142"/>
      <c r="J608" s="143"/>
    </row>
    <row r="609">
      <c r="B609" s="14"/>
      <c r="C609" s="14"/>
      <c r="F609" s="14"/>
      <c r="G609" s="14"/>
      <c r="H609" s="14"/>
      <c r="I609" s="142"/>
      <c r="J609" s="143"/>
    </row>
    <row r="610">
      <c r="B610" s="14"/>
      <c r="C610" s="14"/>
      <c r="F610" s="14"/>
      <c r="G610" s="14"/>
      <c r="H610" s="14"/>
      <c r="I610" s="142"/>
      <c r="J610" s="143"/>
    </row>
    <row r="611">
      <c r="B611" s="14"/>
      <c r="C611" s="14"/>
      <c r="F611" s="14"/>
      <c r="G611" s="14"/>
      <c r="H611" s="14"/>
      <c r="I611" s="142"/>
      <c r="J611" s="143"/>
    </row>
    <row r="612">
      <c r="B612" s="14"/>
      <c r="C612" s="14"/>
      <c r="F612" s="14"/>
      <c r="G612" s="14"/>
      <c r="H612" s="14"/>
      <c r="I612" s="142"/>
      <c r="J612" s="143"/>
    </row>
    <row r="613">
      <c r="B613" s="14"/>
      <c r="C613" s="14"/>
      <c r="F613" s="14"/>
      <c r="G613" s="14"/>
      <c r="H613" s="14"/>
      <c r="I613" s="142"/>
      <c r="J613" s="143"/>
    </row>
    <row r="614">
      <c r="B614" s="14"/>
      <c r="C614" s="14"/>
      <c r="F614" s="14"/>
      <c r="G614" s="14"/>
      <c r="H614" s="14"/>
      <c r="I614" s="142"/>
      <c r="J614" s="143"/>
    </row>
    <row r="615">
      <c r="B615" s="14"/>
      <c r="C615" s="14"/>
      <c r="F615" s="14"/>
      <c r="G615" s="14"/>
      <c r="H615" s="14"/>
      <c r="I615" s="142"/>
      <c r="J615" s="143"/>
    </row>
    <row r="616">
      <c r="B616" s="14"/>
      <c r="C616" s="14"/>
      <c r="F616" s="14"/>
      <c r="G616" s="14"/>
      <c r="H616" s="14"/>
      <c r="I616" s="142"/>
      <c r="J616" s="143"/>
    </row>
    <row r="617">
      <c r="B617" s="14"/>
      <c r="C617" s="14"/>
      <c r="F617" s="14"/>
      <c r="G617" s="14"/>
      <c r="H617" s="14"/>
      <c r="I617" s="142"/>
      <c r="J617" s="143"/>
    </row>
    <row r="618">
      <c r="B618" s="14"/>
      <c r="C618" s="14"/>
      <c r="F618" s="14"/>
      <c r="G618" s="14"/>
      <c r="H618" s="14"/>
      <c r="I618" s="142"/>
      <c r="J618" s="143"/>
    </row>
    <row r="619">
      <c r="B619" s="14"/>
      <c r="C619" s="14"/>
      <c r="F619" s="14"/>
      <c r="G619" s="14"/>
      <c r="H619" s="14"/>
      <c r="I619" s="142"/>
      <c r="J619" s="143"/>
    </row>
    <row r="620">
      <c r="B620" s="14"/>
      <c r="C620" s="14"/>
      <c r="F620" s="14"/>
      <c r="G620" s="14"/>
      <c r="H620" s="14"/>
      <c r="I620" s="142"/>
      <c r="J620" s="143"/>
    </row>
    <row r="621">
      <c r="B621" s="14"/>
      <c r="C621" s="14"/>
      <c r="F621" s="14"/>
      <c r="G621" s="14"/>
      <c r="H621" s="14"/>
      <c r="I621" s="142"/>
      <c r="J621" s="143"/>
    </row>
    <row r="622">
      <c r="B622" s="14"/>
      <c r="C622" s="14"/>
      <c r="F622" s="14"/>
      <c r="G622" s="14"/>
      <c r="H622" s="14"/>
      <c r="I622" s="142"/>
      <c r="J622" s="143"/>
    </row>
    <row r="623">
      <c r="B623" s="14"/>
      <c r="C623" s="14"/>
      <c r="F623" s="14"/>
      <c r="G623" s="14"/>
      <c r="H623" s="14"/>
      <c r="I623" s="142"/>
      <c r="J623" s="143"/>
    </row>
    <row r="624">
      <c r="B624" s="14"/>
      <c r="C624" s="14"/>
      <c r="F624" s="14"/>
      <c r="G624" s="14"/>
      <c r="H624" s="14"/>
      <c r="I624" s="142"/>
      <c r="J624" s="143"/>
    </row>
    <row r="625">
      <c r="B625" s="14"/>
      <c r="C625" s="14"/>
      <c r="F625" s="14"/>
      <c r="G625" s="14"/>
      <c r="H625" s="14"/>
      <c r="I625" s="142"/>
      <c r="J625" s="143"/>
    </row>
    <row r="626">
      <c r="B626" s="14"/>
      <c r="C626" s="14"/>
      <c r="F626" s="14"/>
      <c r="G626" s="14"/>
      <c r="H626" s="14"/>
      <c r="I626" s="142"/>
      <c r="J626" s="143"/>
    </row>
    <row r="627">
      <c r="B627" s="14"/>
      <c r="C627" s="14"/>
      <c r="F627" s="14"/>
      <c r="G627" s="14"/>
      <c r="H627" s="14"/>
      <c r="I627" s="142"/>
      <c r="J627" s="143"/>
    </row>
    <row r="628">
      <c r="B628" s="14"/>
      <c r="C628" s="14"/>
      <c r="F628" s="14"/>
      <c r="G628" s="14"/>
      <c r="H628" s="14"/>
      <c r="I628" s="142"/>
      <c r="J628" s="143"/>
    </row>
    <row r="629">
      <c r="B629" s="14"/>
      <c r="C629" s="14"/>
      <c r="F629" s="14"/>
      <c r="G629" s="14"/>
      <c r="H629" s="14"/>
      <c r="I629" s="142"/>
      <c r="J629" s="143"/>
    </row>
    <row r="630">
      <c r="B630" s="14"/>
      <c r="C630" s="14"/>
      <c r="F630" s="14"/>
      <c r="G630" s="14"/>
      <c r="H630" s="14"/>
      <c r="I630" s="142"/>
      <c r="J630" s="143"/>
    </row>
    <row r="631">
      <c r="B631" s="14"/>
      <c r="C631" s="14"/>
      <c r="F631" s="14"/>
      <c r="G631" s="14"/>
      <c r="H631" s="14"/>
      <c r="I631" s="142"/>
      <c r="J631" s="143"/>
    </row>
    <row r="632">
      <c r="B632" s="14"/>
      <c r="C632" s="14"/>
      <c r="F632" s="14"/>
      <c r="G632" s="14"/>
      <c r="H632" s="14"/>
      <c r="I632" s="142"/>
      <c r="J632" s="143"/>
    </row>
    <row r="633">
      <c r="B633" s="14"/>
      <c r="C633" s="14"/>
      <c r="F633" s="14"/>
      <c r="G633" s="14"/>
      <c r="H633" s="14"/>
      <c r="I633" s="142"/>
      <c r="J633" s="143"/>
    </row>
    <row r="634">
      <c r="B634" s="14"/>
      <c r="C634" s="14"/>
      <c r="F634" s="14"/>
      <c r="G634" s="14"/>
      <c r="H634" s="14"/>
      <c r="I634" s="142"/>
      <c r="J634" s="143"/>
    </row>
    <row r="635">
      <c r="B635" s="14"/>
      <c r="C635" s="14"/>
      <c r="F635" s="14"/>
      <c r="G635" s="14"/>
      <c r="H635" s="14"/>
      <c r="I635" s="142"/>
      <c r="J635" s="143"/>
    </row>
    <row r="636">
      <c r="B636" s="14"/>
      <c r="C636" s="14"/>
      <c r="F636" s="14"/>
      <c r="G636" s="14"/>
      <c r="H636" s="14"/>
      <c r="I636" s="142"/>
      <c r="J636" s="143"/>
    </row>
    <row r="637">
      <c r="B637" s="14"/>
      <c r="C637" s="14"/>
      <c r="F637" s="14"/>
      <c r="G637" s="14"/>
      <c r="H637" s="14"/>
      <c r="I637" s="142"/>
      <c r="J637" s="143"/>
    </row>
    <row r="638">
      <c r="B638" s="14"/>
      <c r="C638" s="14"/>
      <c r="F638" s="14"/>
      <c r="G638" s="14"/>
      <c r="H638" s="14"/>
      <c r="I638" s="142"/>
      <c r="J638" s="143"/>
    </row>
    <row r="639">
      <c r="B639" s="14"/>
      <c r="C639" s="14"/>
      <c r="F639" s="14"/>
      <c r="G639" s="14"/>
      <c r="H639" s="14"/>
      <c r="I639" s="142"/>
      <c r="J639" s="143"/>
    </row>
    <row r="640">
      <c r="B640" s="14"/>
      <c r="C640" s="14"/>
      <c r="F640" s="14"/>
      <c r="G640" s="14"/>
      <c r="H640" s="14"/>
      <c r="I640" s="142"/>
      <c r="J640" s="143"/>
    </row>
    <row r="641">
      <c r="B641" s="14"/>
      <c r="C641" s="14"/>
      <c r="F641" s="14"/>
      <c r="G641" s="14"/>
      <c r="H641" s="14"/>
      <c r="I641" s="142"/>
      <c r="J641" s="143"/>
    </row>
    <row r="642">
      <c r="B642" s="14"/>
      <c r="C642" s="14"/>
      <c r="F642" s="14"/>
      <c r="G642" s="14"/>
      <c r="H642" s="14"/>
      <c r="I642" s="142"/>
      <c r="J642" s="143"/>
    </row>
    <row r="643">
      <c r="B643" s="14"/>
      <c r="C643" s="14"/>
      <c r="F643" s="14"/>
      <c r="G643" s="14"/>
      <c r="H643" s="14"/>
      <c r="I643" s="142"/>
      <c r="J643" s="143"/>
    </row>
    <row r="644">
      <c r="B644" s="14"/>
      <c r="C644" s="14"/>
      <c r="F644" s="14"/>
      <c r="G644" s="14"/>
      <c r="H644" s="14"/>
      <c r="I644" s="142"/>
      <c r="J644" s="143"/>
    </row>
    <row r="645">
      <c r="B645" s="14"/>
      <c r="C645" s="14"/>
      <c r="F645" s="14"/>
      <c r="G645" s="14"/>
      <c r="H645" s="14"/>
      <c r="I645" s="142"/>
      <c r="J645" s="143"/>
    </row>
    <row r="646">
      <c r="B646" s="14"/>
      <c r="C646" s="14"/>
      <c r="F646" s="14"/>
      <c r="G646" s="14"/>
      <c r="H646" s="14"/>
      <c r="I646" s="142"/>
      <c r="J646" s="143"/>
    </row>
    <row r="647">
      <c r="B647" s="14"/>
      <c r="C647" s="14"/>
      <c r="F647" s="14"/>
      <c r="G647" s="14"/>
      <c r="H647" s="14"/>
      <c r="I647" s="142"/>
      <c r="J647" s="143"/>
    </row>
    <row r="648">
      <c r="B648" s="14"/>
      <c r="C648" s="14"/>
      <c r="F648" s="14"/>
      <c r="G648" s="14"/>
      <c r="H648" s="14"/>
      <c r="I648" s="142"/>
      <c r="J648" s="143"/>
    </row>
    <row r="649">
      <c r="B649" s="14"/>
      <c r="C649" s="14"/>
      <c r="F649" s="14"/>
      <c r="G649" s="14"/>
      <c r="H649" s="14"/>
      <c r="I649" s="142"/>
      <c r="J649" s="143"/>
    </row>
    <row r="650">
      <c r="B650" s="14"/>
      <c r="C650" s="14"/>
      <c r="F650" s="14"/>
      <c r="G650" s="14"/>
      <c r="H650" s="14"/>
      <c r="I650" s="142"/>
      <c r="J650" s="143"/>
    </row>
    <row r="651">
      <c r="B651" s="14"/>
      <c r="C651" s="14"/>
      <c r="F651" s="14"/>
      <c r="G651" s="14"/>
      <c r="H651" s="14"/>
      <c r="I651" s="142"/>
      <c r="J651" s="143"/>
    </row>
    <row r="652">
      <c r="B652" s="14"/>
      <c r="C652" s="14"/>
      <c r="F652" s="14"/>
      <c r="G652" s="14"/>
      <c r="H652" s="14"/>
      <c r="I652" s="142"/>
      <c r="J652" s="143"/>
    </row>
    <row r="653">
      <c r="B653" s="14"/>
      <c r="C653" s="14"/>
      <c r="F653" s="14"/>
      <c r="G653" s="14"/>
      <c r="H653" s="14"/>
      <c r="I653" s="142"/>
      <c r="J653" s="143"/>
    </row>
    <row r="654">
      <c r="B654" s="14"/>
      <c r="C654" s="14"/>
      <c r="F654" s="14"/>
      <c r="G654" s="14"/>
      <c r="H654" s="14"/>
      <c r="I654" s="142"/>
      <c r="J654" s="143"/>
    </row>
    <row r="655">
      <c r="B655" s="14"/>
      <c r="C655" s="14"/>
      <c r="F655" s="14"/>
      <c r="G655" s="14"/>
      <c r="H655" s="14"/>
      <c r="I655" s="142"/>
      <c r="J655" s="143"/>
    </row>
    <row r="656">
      <c r="B656" s="14"/>
      <c r="C656" s="14"/>
      <c r="F656" s="14"/>
      <c r="G656" s="14"/>
      <c r="H656" s="14"/>
      <c r="I656" s="142"/>
      <c r="J656" s="143"/>
    </row>
    <row r="657">
      <c r="B657" s="14"/>
      <c r="C657" s="14"/>
      <c r="F657" s="14"/>
      <c r="G657" s="14"/>
      <c r="H657" s="14"/>
      <c r="I657" s="142"/>
      <c r="J657" s="143"/>
    </row>
    <row r="658">
      <c r="B658" s="14"/>
      <c r="C658" s="14"/>
      <c r="F658" s="14"/>
      <c r="G658" s="14"/>
      <c r="H658" s="14"/>
      <c r="I658" s="142"/>
      <c r="J658" s="143"/>
    </row>
    <row r="659">
      <c r="B659" s="14"/>
      <c r="C659" s="14"/>
      <c r="F659" s="14"/>
      <c r="G659" s="14"/>
      <c r="H659" s="14"/>
      <c r="I659" s="142"/>
      <c r="J659" s="143"/>
    </row>
    <row r="660">
      <c r="B660" s="14"/>
      <c r="C660" s="14"/>
      <c r="F660" s="14"/>
      <c r="G660" s="14"/>
      <c r="H660" s="14"/>
      <c r="I660" s="142"/>
      <c r="J660" s="143"/>
    </row>
    <row r="661">
      <c r="B661" s="14"/>
      <c r="C661" s="14"/>
      <c r="F661" s="14"/>
      <c r="G661" s="14"/>
      <c r="H661" s="14"/>
      <c r="I661" s="142"/>
      <c r="J661" s="143"/>
    </row>
    <row r="662">
      <c r="B662" s="14"/>
      <c r="C662" s="14"/>
      <c r="F662" s="14"/>
      <c r="G662" s="14"/>
      <c r="H662" s="14"/>
      <c r="I662" s="142"/>
      <c r="J662" s="143"/>
    </row>
    <row r="663">
      <c r="B663" s="14"/>
      <c r="C663" s="14"/>
      <c r="F663" s="14"/>
      <c r="G663" s="14"/>
      <c r="H663" s="14"/>
      <c r="I663" s="142"/>
      <c r="J663" s="143"/>
    </row>
    <row r="664">
      <c r="B664" s="14"/>
      <c r="C664" s="14"/>
      <c r="F664" s="14"/>
      <c r="G664" s="14"/>
      <c r="H664" s="14"/>
      <c r="I664" s="142"/>
      <c r="J664" s="143"/>
    </row>
    <row r="665">
      <c r="B665" s="14"/>
      <c r="C665" s="14"/>
      <c r="F665" s="14"/>
      <c r="G665" s="14"/>
      <c r="H665" s="14"/>
      <c r="I665" s="142"/>
      <c r="J665" s="143"/>
    </row>
    <row r="666">
      <c r="B666" s="14"/>
      <c r="C666" s="14"/>
      <c r="F666" s="14"/>
      <c r="G666" s="14"/>
      <c r="H666" s="14"/>
      <c r="I666" s="142"/>
      <c r="J666" s="143"/>
    </row>
    <row r="667">
      <c r="B667" s="14"/>
      <c r="C667" s="14"/>
      <c r="F667" s="14"/>
      <c r="G667" s="14"/>
      <c r="H667" s="14"/>
      <c r="I667" s="142"/>
      <c r="J667" s="143"/>
    </row>
    <row r="668">
      <c r="B668" s="14"/>
      <c r="C668" s="14"/>
      <c r="F668" s="14"/>
      <c r="G668" s="14"/>
      <c r="H668" s="14"/>
      <c r="I668" s="142"/>
      <c r="J668" s="143"/>
    </row>
    <row r="669">
      <c r="B669" s="14"/>
      <c r="C669" s="14"/>
      <c r="F669" s="14"/>
      <c r="G669" s="14"/>
      <c r="H669" s="14"/>
      <c r="I669" s="142"/>
      <c r="J669" s="143"/>
    </row>
    <row r="670">
      <c r="B670" s="14"/>
      <c r="C670" s="14"/>
      <c r="F670" s="14"/>
      <c r="G670" s="14"/>
      <c r="H670" s="14"/>
      <c r="I670" s="142"/>
      <c r="J670" s="143"/>
    </row>
    <row r="671">
      <c r="B671" s="14"/>
      <c r="C671" s="14"/>
      <c r="F671" s="14"/>
      <c r="G671" s="14"/>
      <c r="H671" s="14"/>
      <c r="I671" s="142"/>
      <c r="J671" s="143"/>
    </row>
    <row r="672">
      <c r="B672" s="14"/>
      <c r="C672" s="14"/>
      <c r="F672" s="14"/>
      <c r="G672" s="14"/>
      <c r="H672" s="14"/>
      <c r="I672" s="142"/>
      <c r="J672" s="143"/>
    </row>
    <row r="673">
      <c r="B673" s="14"/>
      <c r="C673" s="14"/>
      <c r="F673" s="14"/>
      <c r="G673" s="14"/>
      <c r="H673" s="14"/>
      <c r="I673" s="142"/>
      <c r="J673" s="143"/>
    </row>
    <row r="674">
      <c r="B674" s="14"/>
      <c r="C674" s="14"/>
      <c r="F674" s="14"/>
      <c r="G674" s="14"/>
      <c r="H674" s="14"/>
      <c r="I674" s="142"/>
      <c r="J674" s="143"/>
    </row>
    <row r="675">
      <c r="B675" s="14"/>
      <c r="C675" s="14"/>
      <c r="F675" s="14"/>
      <c r="G675" s="14"/>
      <c r="H675" s="14"/>
      <c r="I675" s="142"/>
      <c r="J675" s="143"/>
    </row>
    <row r="676">
      <c r="B676" s="14"/>
      <c r="C676" s="14"/>
      <c r="F676" s="14"/>
      <c r="G676" s="14"/>
      <c r="H676" s="14"/>
      <c r="I676" s="142"/>
      <c r="J676" s="143"/>
    </row>
    <row r="677">
      <c r="B677" s="14"/>
      <c r="C677" s="14"/>
      <c r="F677" s="14"/>
      <c r="G677" s="14"/>
      <c r="H677" s="14"/>
      <c r="I677" s="142"/>
      <c r="J677" s="143"/>
    </row>
    <row r="678">
      <c r="B678" s="14"/>
      <c r="C678" s="14"/>
      <c r="F678" s="14"/>
      <c r="G678" s="14"/>
      <c r="H678" s="14"/>
      <c r="I678" s="142"/>
      <c r="J678" s="143"/>
    </row>
    <row r="679">
      <c r="B679" s="14"/>
      <c r="C679" s="14"/>
      <c r="F679" s="14"/>
      <c r="G679" s="14"/>
      <c r="H679" s="14"/>
      <c r="I679" s="142"/>
      <c r="J679" s="143"/>
    </row>
    <row r="680">
      <c r="B680" s="14"/>
      <c r="C680" s="14"/>
      <c r="F680" s="14"/>
      <c r="G680" s="14"/>
      <c r="H680" s="14"/>
      <c r="I680" s="142"/>
      <c r="J680" s="143"/>
    </row>
    <row r="681">
      <c r="B681" s="14"/>
      <c r="C681" s="14"/>
      <c r="F681" s="14"/>
      <c r="G681" s="14"/>
      <c r="H681" s="14"/>
      <c r="I681" s="142"/>
      <c r="J681" s="143"/>
    </row>
    <row r="682">
      <c r="B682" s="14"/>
      <c r="C682" s="14"/>
      <c r="F682" s="14"/>
      <c r="G682" s="14"/>
      <c r="H682" s="14"/>
      <c r="I682" s="142"/>
      <c r="J682" s="143"/>
    </row>
    <row r="683">
      <c r="B683" s="14"/>
      <c r="C683" s="14"/>
      <c r="F683" s="14"/>
      <c r="G683" s="14"/>
      <c r="H683" s="14"/>
      <c r="I683" s="142"/>
      <c r="J683" s="143"/>
    </row>
    <row r="684">
      <c r="B684" s="14"/>
      <c r="C684" s="14"/>
      <c r="F684" s="14"/>
      <c r="G684" s="14"/>
      <c r="H684" s="14"/>
      <c r="I684" s="142"/>
      <c r="J684" s="143"/>
    </row>
    <row r="685">
      <c r="B685" s="14"/>
      <c r="C685" s="14"/>
      <c r="F685" s="14"/>
      <c r="G685" s="14"/>
      <c r="H685" s="14"/>
      <c r="I685" s="142"/>
      <c r="J685" s="143"/>
    </row>
    <row r="686">
      <c r="B686" s="14"/>
      <c r="C686" s="14"/>
      <c r="F686" s="14"/>
      <c r="G686" s="14"/>
      <c r="H686" s="14"/>
      <c r="I686" s="142"/>
      <c r="J686" s="143"/>
    </row>
    <row r="687">
      <c r="B687" s="14"/>
      <c r="C687" s="14"/>
      <c r="F687" s="14"/>
      <c r="G687" s="14"/>
      <c r="H687" s="14"/>
      <c r="I687" s="142"/>
      <c r="J687" s="143"/>
    </row>
    <row r="688">
      <c r="B688" s="14"/>
      <c r="C688" s="14"/>
      <c r="F688" s="14"/>
      <c r="G688" s="14"/>
      <c r="H688" s="14"/>
      <c r="I688" s="142"/>
      <c r="J688" s="143"/>
    </row>
    <row r="689">
      <c r="B689" s="14"/>
      <c r="C689" s="14"/>
      <c r="F689" s="14"/>
      <c r="G689" s="14"/>
      <c r="H689" s="14"/>
      <c r="I689" s="142"/>
      <c r="J689" s="143"/>
    </row>
    <row r="690">
      <c r="B690" s="14"/>
      <c r="C690" s="14"/>
      <c r="F690" s="14"/>
      <c r="G690" s="14"/>
      <c r="H690" s="14"/>
      <c r="I690" s="142"/>
      <c r="J690" s="143"/>
    </row>
    <row r="691">
      <c r="B691" s="14"/>
      <c r="C691" s="14"/>
      <c r="F691" s="14"/>
      <c r="G691" s="14"/>
      <c r="H691" s="14"/>
      <c r="I691" s="142"/>
      <c r="J691" s="143"/>
    </row>
    <row r="692">
      <c r="B692" s="14"/>
      <c r="C692" s="14"/>
      <c r="F692" s="14"/>
      <c r="G692" s="14"/>
      <c r="H692" s="14"/>
      <c r="I692" s="142"/>
      <c r="J692" s="143"/>
    </row>
    <row r="693">
      <c r="B693" s="14"/>
      <c r="C693" s="14"/>
      <c r="F693" s="14"/>
      <c r="G693" s="14"/>
      <c r="H693" s="14"/>
      <c r="I693" s="142"/>
      <c r="J693" s="143"/>
    </row>
    <row r="694">
      <c r="B694" s="14"/>
      <c r="C694" s="14"/>
      <c r="F694" s="14"/>
      <c r="G694" s="14"/>
      <c r="H694" s="14"/>
      <c r="I694" s="142"/>
      <c r="J694" s="143"/>
    </row>
    <row r="695">
      <c r="B695" s="14"/>
      <c r="C695" s="14"/>
      <c r="F695" s="14"/>
      <c r="G695" s="14"/>
      <c r="H695" s="14"/>
      <c r="I695" s="142"/>
      <c r="J695" s="143"/>
    </row>
    <row r="696">
      <c r="B696" s="14"/>
      <c r="C696" s="14"/>
      <c r="F696" s="14"/>
      <c r="G696" s="14"/>
      <c r="H696" s="14"/>
      <c r="I696" s="142"/>
      <c r="J696" s="143"/>
    </row>
    <row r="697">
      <c r="B697" s="14"/>
      <c r="C697" s="14"/>
      <c r="F697" s="14"/>
      <c r="G697" s="14"/>
      <c r="H697" s="14"/>
      <c r="I697" s="142"/>
      <c r="J697" s="143"/>
    </row>
    <row r="698">
      <c r="B698" s="14"/>
      <c r="C698" s="14"/>
      <c r="F698" s="14"/>
      <c r="G698" s="14"/>
      <c r="H698" s="14"/>
      <c r="I698" s="142"/>
      <c r="J698" s="143"/>
    </row>
    <row r="699">
      <c r="B699" s="14"/>
      <c r="C699" s="14"/>
      <c r="F699" s="14"/>
      <c r="G699" s="14"/>
      <c r="H699" s="14"/>
      <c r="I699" s="142"/>
      <c r="J699" s="143"/>
    </row>
    <row r="700">
      <c r="B700" s="14"/>
      <c r="C700" s="14"/>
      <c r="F700" s="14"/>
      <c r="G700" s="14"/>
      <c r="H700" s="14"/>
      <c r="I700" s="142"/>
      <c r="J700" s="143"/>
    </row>
    <row r="701">
      <c r="B701" s="14"/>
      <c r="C701" s="14"/>
      <c r="F701" s="14"/>
      <c r="G701" s="14"/>
      <c r="H701" s="14"/>
      <c r="I701" s="142"/>
      <c r="J701" s="143"/>
    </row>
    <row r="702">
      <c r="B702" s="14"/>
      <c r="C702" s="14"/>
      <c r="F702" s="14"/>
      <c r="G702" s="14"/>
      <c r="H702" s="14"/>
      <c r="I702" s="142"/>
      <c r="J702" s="143"/>
    </row>
    <row r="703">
      <c r="B703" s="14"/>
      <c r="C703" s="14"/>
      <c r="F703" s="14"/>
      <c r="G703" s="14"/>
      <c r="H703" s="14"/>
      <c r="I703" s="142"/>
      <c r="J703" s="143"/>
    </row>
    <row r="704">
      <c r="B704" s="14"/>
      <c r="C704" s="14"/>
      <c r="F704" s="14"/>
      <c r="G704" s="14"/>
      <c r="H704" s="14"/>
      <c r="I704" s="142"/>
      <c r="J704" s="143"/>
    </row>
    <row r="705">
      <c r="B705" s="14"/>
      <c r="C705" s="14"/>
      <c r="F705" s="14"/>
      <c r="G705" s="14"/>
      <c r="H705" s="14"/>
      <c r="I705" s="142"/>
      <c r="J705" s="143"/>
    </row>
    <row r="706">
      <c r="B706" s="14"/>
      <c r="C706" s="14"/>
      <c r="F706" s="14"/>
      <c r="G706" s="14"/>
      <c r="H706" s="14"/>
      <c r="I706" s="142"/>
      <c r="J706" s="143"/>
    </row>
    <row r="707">
      <c r="B707" s="14"/>
      <c r="C707" s="14"/>
      <c r="F707" s="14"/>
      <c r="G707" s="14"/>
      <c r="H707" s="14"/>
      <c r="I707" s="142"/>
      <c r="J707" s="143"/>
    </row>
    <row r="708">
      <c r="B708" s="14"/>
      <c r="C708" s="14"/>
      <c r="F708" s="14"/>
      <c r="G708" s="14"/>
      <c r="H708" s="14"/>
      <c r="I708" s="142"/>
      <c r="J708" s="143"/>
    </row>
    <row r="709">
      <c r="B709" s="14"/>
      <c r="C709" s="14"/>
      <c r="F709" s="14"/>
      <c r="G709" s="14"/>
      <c r="H709" s="14"/>
      <c r="I709" s="142"/>
      <c r="J709" s="143"/>
    </row>
    <row r="710">
      <c r="B710" s="14"/>
      <c r="C710" s="14"/>
      <c r="F710" s="14"/>
      <c r="G710" s="14"/>
      <c r="H710" s="14"/>
      <c r="I710" s="142"/>
      <c r="J710" s="143"/>
    </row>
    <row r="711">
      <c r="B711" s="14"/>
      <c r="C711" s="14"/>
      <c r="F711" s="14"/>
      <c r="G711" s="14"/>
      <c r="H711" s="14"/>
      <c r="I711" s="142"/>
      <c r="J711" s="143"/>
    </row>
    <row r="712">
      <c r="B712" s="14"/>
      <c r="C712" s="14"/>
      <c r="F712" s="14"/>
      <c r="G712" s="14"/>
      <c r="H712" s="14"/>
      <c r="I712" s="142"/>
      <c r="J712" s="143"/>
    </row>
    <row r="713">
      <c r="B713" s="14"/>
      <c r="C713" s="14"/>
      <c r="F713" s="14"/>
      <c r="G713" s="14"/>
      <c r="H713" s="14"/>
      <c r="I713" s="142"/>
      <c r="J713" s="143"/>
    </row>
    <row r="714">
      <c r="B714" s="14"/>
      <c r="C714" s="14"/>
      <c r="F714" s="14"/>
      <c r="G714" s="14"/>
      <c r="H714" s="14"/>
      <c r="I714" s="142"/>
      <c r="J714" s="143"/>
    </row>
    <row r="715">
      <c r="B715" s="14"/>
      <c r="C715" s="14"/>
      <c r="F715" s="14"/>
      <c r="G715" s="14"/>
      <c r="H715" s="14"/>
      <c r="I715" s="142"/>
      <c r="J715" s="143"/>
    </row>
    <row r="716">
      <c r="B716" s="14"/>
      <c r="C716" s="14"/>
      <c r="F716" s="14"/>
      <c r="G716" s="14"/>
      <c r="H716" s="14"/>
      <c r="I716" s="142"/>
      <c r="J716" s="143"/>
    </row>
    <row r="717">
      <c r="B717" s="14"/>
      <c r="C717" s="14"/>
      <c r="F717" s="14"/>
      <c r="G717" s="14"/>
      <c r="H717" s="14"/>
      <c r="I717" s="142"/>
      <c r="J717" s="143"/>
    </row>
    <row r="718">
      <c r="B718" s="14"/>
      <c r="C718" s="14"/>
      <c r="F718" s="14"/>
      <c r="G718" s="14"/>
      <c r="H718" s="14"/>
      <c r="I718" s="142"/>
      <c r="J718" s="143"/>
    </row>
    <row r="719">
      <c r="B719" s="14"/>
      <c r="C719" s="14"/>
      <c r="F719" s="14"/>
      <c r="G719" s="14"/>
      <c r="H719" s="14"/>
      <c r="I719" s="142"/>
      <c r="J719" s="143"/>
    </row>
    <row r="720">
      <c r="B720" s="14"/>
      <c r="C720" s="14"/>
      <c r="F720" s="14"/>
      <c r="G720" s="14"/>
      <c r="H720" s="14"/>
      <c r="I720" s="142"/>
      <c r="J720" s="143"/>
    </row>
    <row r="721">
      <c r="B721" s="14"/>
      <c r="C721" s="14"/>
      <c r="F721" s="14"/>
      <c r="G721" s="14"/>
      <c r="H721" s="14"/>
      <c r="I721" s="142"/>
      <c r="J721" s="143"/>
    </row>
    <row r="722">
      <c r="B722" s="14"/>
      <c r="C722" s="14"/>
      <c r="F722" s="14"/>
      <c r="G722" s="14"/>
      <c r="H722" s="14"/>
      <c r="I722" s="142"/>
      <c r="J722" s="143"/>
    </row>
    <row r="723">
      <c r="B723" s="14"/>
      <c r="C723" s="14"/>
      <c r="F723" s="14"/>
      <c r="G723" s="14"/>
      <c r="H723" s="14"/>
      <c r="I723" s="142"/>
      <c r="J723" s="143"/>
    </row>
    <row r="724">
      <c r="B724" s="14"/>
      <c r="C724" s="14"/>
      <c r="F724" s="14"/>
      <c r="G724" s="14"/>
      <c r="H724" s="14"/>
      <c r="I724" s="142"/>
      <c r="J724" s="143"/>
    </row>
    <row r="725">
      <c r="B725" s="14"/>
      <c r="C725" s="14"/>
      <c r="F725" s="14"/>
      <c r="G725" s="14"/>
      <c r="H725" s="14"/>
      <c r="I725" s="142"/>
      <c r="J725" s="143"/>
    </row>
    <row r="726">
      <c r="B726" s="14"/>
      <c r="C726" s="14"/>
      <c r="F726" s="14"/>
      <c r="G726" s="14"/>
      <c r="H726" s="14"/>
      <c r="I726" s="142"/>
      <c r="J726" s="143"/>
    </row>
    <row r="727">
      <c r="B727" s="14"/>
      <c r="C727" s="14"/>
      <c r="F727" s="14"/>
      <c r="G727" s="14"/>
      <c r="H727" s="14"/>
      <c r="I727" s="142"/>
      <c r="J727" s="143"/>
    </row>
    <row r="728">
      <c r="B728" s="14"/>
      <c r="C728" s="14"/>
      <c r="F728" s="14"/>
      <c r="G728" s="14"/>
      <c r="H728" s="14"/>
      <c r="I728" s="142"/>
      <c r="J728" s="143"/>
    </row>
    <row r="729">
      <c r="B729" s="14"/>
      <c r="C729" s="14"/>
      <c r="F729" s="14"/>
      <c r="G729" s="14"/>
      <c r="H729" s="14"/>
      <c r="I729" s="142"/>
      <c r="J729" s="143"/>
    </row>
    <row r="730">
      <c r="B730" s="14"/>
      <c r="C730" s="14"/>
      <c r="F730" s="14"/>
      <c r="G730" s="14"/>
      <c r="H730" s="14"/>
      <c r="I730" s="142"/>
      <c r="J730" s="143"/>
    </row>
    <row r="731">
      <c r="B731" s="14"/>
      <c r="C731" s="14"/>
      <c r="F731" s="14"/>
      <c r="G731" s="14"/>
      <c r="H731" s="14"/>
      <c r="I731" s="142"/>
      <c r="J731" s="143"/>
    </row>
    <row r="732">
      <c r="B732" s="14"/>
      <c r="C732" s="14"/>
      <c r="F732" s="14"/>
      <c r="G732" s="14"/>
      <c r="H732" s="14"/>
      <c r="I732" s="142"/>
      <c r="J732" s="143"/>
    </row>
    <row r="733">
      <c r="B733" s="14"/>
      <c r="C733" s="14"/>
      <c r="F733" s="14"/>
      <c r="G733" s="14"/>
      <c r="H733" s="14"/>
      <c r="I733" s="142"/>
      <c r="J733" s="143"/>
    </row>
    <row r="734">
      <c r="B734" s="14"/>
      <c r="C734" s="14"/>
      <c r="F734" s="14"/>
      <c r="G734" s="14"/>
      <c r="H734" s="14"/>
      <c r="I734" s="142"/>
      <c r="J734" s="143"/>
    </row>
    <row r="735">
      <c r="B735" s="14"/>
      <c r="C735" s="14"/>
      <c r="F735" s="14"/>
      <c r="G735" s="14"/>
      <c r="H735" s="14"/>
      <c r="I735" s="142"/>
      <c r="J735" s="143"/>
    </row>
    <row r="736">
      <c r="B736" s="14"/>
      <c r="C736" s="14"/>
      <c r="F736" s="14"/>
      <c r="G736" s="14"/>
      <c r="H736" s="14"/>
      <c r="I736" s="142"/>
      <c r="J736" s="143"/>
    </row>
    <row r="737">
      <c r="B737" s="14"/>
      <c r="C737" s="14"/>
      <c r="F737" s="14"/>
      <c r="G737" s="14"/>
      <c r="H737" s="14"/>
      <c r="I737" s="142"/>
      <c r="J737" s="143"/>
    </row>
    <row r="738">
      <c r="B738" s="14"/>
      <c r="C738" s="14"/>
      <c r="F738" s="14"/>
      <c r="G738" s="14"/>
      <c r="H738" s="14"/>
      <c r="I738" s="142"/>
      <c r="J738" s="143"/>
    </row>
    <row r="739">
      <c r="B739" s="14"/>
      <c r="C739" s="14"/>
      <c r="F739" s="14"/>
      <c r="G739" s="14"/>
      <c r="H739" s="14"/>
      <c r="I739" s="142"/>
      <c r="J739" s="143"/>
    </row>
    <row r="740">
      <c r="B740" s="14"/>
      <c r="C740" s="14"/>
      <c r="F740" s="14"/>
      <c r="G740" s="14"/>
      <c r="H740" s="14"/>
      <c r="I740" s="142"/>
      <c r="J740" s="143"/>
    </row>
    <row r="741">
      <c r="B741" s="14"/>
      <c r="C741" s="14"/>
      <c r="F741" s="14"/>
      <c r="G741" s="14"/>
      <c r="H741" s="14"/>
      <c r="I741" s="142"/>
      <c r="J741" s="143"/>
    </row>
    <row r="742">
      <c r="B742" s="14"/>
      <c r="C742" s="14"/>
      <c r="F742" s="14"/>
      <c r="G742" s="14"/>
      <c r="H742" s="14"/>
      <c r="I742" s="142"/>
      <c r="J742" s="143"/>
    </row>
    <row r="743">
      <c r="B743" s="14"/>
      <c r="C743" s="14"/>
      <c r="F743" s="14"/>
      <c r="G743" s="14"/>
      <c r="H743" s="14"/>
      <c r="I743" s="142"/>
      <c r="J743" s="143"/>
    </row>
    <row r="744">
      <c r="B744" s="14"/>
      <c r="C744" s="14"/>
      <c r="F744" s="14"/>
      <c r="G744" s="14"/>
      <c r="H744" s="14"/>
      <c r="I744" s="142"/>
      <c r="J744" s="143"/>
    </row>
    <row r="745">
      <c r="B745" s="14"/>
      <c r="C745" s="14"/>
      <c r="F745" s="14"/>
      <c r="G745" s="14"/>
      <c r="H745" s="14"/>
      <c r="I745" s="142"/>
      <c r="J745" s="143"/>
    </row>
    <row r="746">
      <c r="B746" s="14"/>
      <c r="C746" s="14"/>
      <c r="F746" s="14"/>
      <c r="G746" s="14"/>
      <c r="H746" s="14"/>
      <c r="I746" s="142"/>
      <c r="J746" s="143"/>
    </row>
    <row r="747">
      <c r="B747" s="14"/>
      <c r="C747" s="14"/>
      <c r="F747" s="14"/>
      <c r="G747" s="14"/>
      <c r="H747" s="14"/>
      <c r="I747" s="142"/>
      <c r="J747" s="143"/>
    </row>
    <row r="748">
      <c r="B748" s="14"/>
      <c r="C748" s="14"/>
      <c r="F748" s="14"/>
      <c r="G748" s="14"/>
      <c r="H748" s="14"/>
      <c r="I748" s="142"/>
      <c r="J748" s="143"/>
    </row>
    <row r="749">
      <c r="B749" s="14"/>
      <c r="C749" s="14"/>
      <c r="F749" s="14"/>
      <c r="G749" s="14"/>
      <c r="H749" s="14"/>
      <c r="I749" s="142"/>
      <c r="J749" s="143"/>
    </row>
    <row r="750">
      <c r="B750" s="14"/>
      <c r="C750" s="14"/>
      <c r="F750" s="14"/>
      <c r="G750" s="14"/>
      <c r="H750" s="14"/>
      <c r="I750" s="142"/>
      <c r="J750" s="143"/>
    </row>
    <row r="751">
      <c r="B751" s="14"/>
      <c r="C751" s="14"/>
      <c r="F751" s="14"/>
      <c r="G751" s="14"/>
      <c r="H751" s="14"/>
      <c r="I751" s="142"/>
      <c r="J751" s="143"/>
    </row>
    <row r="752">
      <c r="B752" s="14"/>
      <c r="C752" s="14"/>
      <c r="F752" s="14"/>
      <c r="G752" s="14"/>
      <c r="H752" s="14"/>
      <c r="I752" s="142"/>
      <c r="J752" s="143"/>
    </row>
    <row r="753">
      <c r="B753" s="14"/>
      <c r="C753" s="14"/>
      <c r="F753" s="14"/>
      <c r="G753" s="14"/>
      <c r="H753" s="14"/>
      <c r="I753" s="142"/>
      <c r="J753" s="143"/>
    </row>
    <row r="754">
      <c r="B754" s="14"/>
      <c r="C754" s="14"/>
      <c r="F754" s="14"/>
      <c r="G754" s="14"/>
      <c r="H754" s="14"/>
      <c r="I754" s="142"/>
      <c r="J754" s="143"/>
    </row>
    <row r="755">
      <c r="B755" s="14"/>
      <c r="C755" s="14"/>
      <c r="F755" s="14"/>
      <c r="G755" s="14"/>
      <c r="H755" s="14"/>
      <c r="I755" s="142"/>
      <c r="J755" s="143"/>
    </row>
    <row r="756">
      <c r="B756" s="14"/>
      <c r="C756" s="14"/>
      <c r="F756" s="14"/>
      <c r="G756" s="14"/>
      <c r="H756" s="14"/>
      <c r="I756" s="142"/>
      <c r="J756" s="143"/>
    </row>
    <row r="757">
      <c r="B757" s="14"/>
      <c r="C757" s="14"/>
      <c r="F757" s="14"/>
      <c r="G757" s="14"/>
      <c r="H757" s="14"/>
      <c r="I757" s="142"/>
      <c r="J757" s="143"/>
    </row>
    <row r="758">
      <c r="B758" s="14"/>
      <c r="C758" s="14"/>
      <c r="F758" s="14"/>
      <c r="G758" s="14"/>
      <c r="H758" s="14"/>
      <c r="I758" s="142"/>
      <c r="J758" s="143"/>
    </row>
    <row r="759">
      <c r="B759" s="14"/>
      <c r="C759" s="14"/>
      <c r="F759" s="14"/>
      <c r="G759" s="14"/>
      <c r="H759" s="14"/>
      <c r="I759" s="142"/>
      <c r="J759" s="143"/>
    </row>
    <row r="760">
      <c r="B760" s="14"/>
      <c r="C760" s="14"/>
      <c r="F760" s="14"/>
      <c r="G760" s="14"/>
      <c r="H760" s="14"/>
      <c r="I760" s="142"/>
      <c r="J760" s="143"/>
    </row>
    <row r="761">
      <c r="B761" s="14"/>
      <c r="C761" s="14"/>
      <c r="F761" s="14"/>
      <c r="G761" s="14"/>
      <c r="H761" s="14"/>
      <c r="I761" s="142"/>
      <c r="J761" s="143"/>
    </row>
    <row r="762">
      <c r="B762" s="14"/>
      <c r="C762" s="14"/>
      <c r="F762" s="14"/>
      <c r="G762" s="14"/>
      <c r="H762" s="14"/>
      <c r="I762" s="142"/>
      <c r="J762" s="143"/>
    </row>
    <row r="763">
      <c r="B763" s="14"/>
      <c r="C763" s="14"/>
      <c r="F763" s="14"/>
      <c r="G763" s="14"/>
      <c r="H763" s="14"/>
      <c r="I763" s="142"/>
      <c r="J763" s="143"/>
    </row>
    <row r="764">
      <c r="B764" s="14"/>
      <c r="C764" s="14"/>
      <c r="F764" s="14"/>
      <c r="G764" s="14"/>
      <c r="H764" s="14"/>
      <c r="I764" s="142"/>
      <c r="J764" s="143"/>
    </row>
    <row r="765">
      <c r="B765" s="14"/>
      <c r="C765" s="14"/>
      <c r="F765" s="14"/>
      <c r="G765" s="14"/>
      <c r="H765" s="14"/>
      <c r="I765" s="142"/>
      <c r="J765" s="143"/>
    </row>
    <row r="766">
      <c r="B766" s="14"/>
      <c r="C766" s="14"/>
      <c r="F766" s="14"/>
      <c r="G766" s="14"/>
      <c r="H766" s="14"/>
      <c r="I766" s="142"/>
      <c r="J766" s="143"/>
    </row>
    <row r="767">
      <c r="B767" s="14"/>
      <c r="C767" s="14"/>
      <c r="F767" s="14"/>
      <c r="G767" s="14"/>
      <c r="H767" s="14"/>
      <c r="I767" s="142"/>
      <c r="J767" s="143"/>
    </row>
    <row r="768">
      <c r="B768" s="14"/>
      <c r="C768" s="14"/>
      <c r="F768" s="14"/>
      <c r="G768" s="14"/>
      <c r="H768" s="14"/>
      <c r="I768" s="142"/>
      <c r="J768" s="143"/>
    </row>
    <row r="769">
      <c r="B769" s="14"/>
      <c r="C769" s="14"/>
      <c r="F769" s="14"/>
      <c r="G769" s="14"/>
      <c r="H769" s="14"/>
      <c r="I769" s="142"/>
      <c r="J769" s="143"/>
    </row>
    <row r="770">
      <c r="B770" s="14"/>
      <c r="C770" s="14"/>
      <c r="F770" s="14"/>
      <c r="G770" s="14"/>
      <c r="H770" s="14"/>
      <c r="I770" s="142"/>
      <c r="J770" s="143"/>
    </row>
    <row r="771">
      <c r="B771" s="14"/>
      <c r="C771" s="14"/>
      <c r="F771" s="14"/>
      <c r="G771" s="14"/>
      <c r="H771" s="14"/>
      <c r="I771" s="142"/>
      <c r="J771" s="143"/>
    </row>
    <row r="772">
      <c r="B772" s="14"/>
      <c r="C772" s="14"/>
      <c r="F772" s="14"/>
      <c r="G772" s="14"/>
      <c r="H772" s="14"/>
      <c r="I772" s="142"/>
      <c r="J772" s="143"/>
    </row>
    <row r="773">
      <c r="B773" s="14"/>
      <c r="C773" s="14"/>
      <c r="F773" s="14"/>
      <c r="G773" s="14"/>
      <c r="H773" s="14"/>
      <c r="I773" s="142"/>
      <c r="J773" s="143"/>
    </row>
    <row r="774">
      <c r="B774" s="14"/>
      <c r="C774" s="14"/>
      <c r="F774" s="14"/>
      <c r="G774" s="14"/>
      <c r="H774" s="14"/>
      <c r="I774" s="142"/>
      <c r="J774" s="143"/>
    </row>
    <row r="775">
      <c r="B775" s="14"/>
      <c r="C775" s="14"/>
      <c r="F775" s="14"/>
      <c r="G775" s="14"/>
      <c r="H775" s="14"/>
      <c r="I775" s="142"/>
      <c r="J775" s="143"/>
    </row>
    <row r="776">
      <c r="B776" s="14"/>
      <c r="C776" s="14"/>
      <c r="F776" s="14"/>
      <c r="G776" s="14"/>
      <c r="H776" s="14"/>
      <c r="I776" s="142"/>
      <c r="J776" s="143"/>
    </row>
    <row r="777">
      <c r="B777" s="14"/>
      <c r="C777" s="14"/>
      <c r="F777" s="14"/>
      <c r="G777" s="14"/>
      <c r="H777" s="14"/>
      <c r="I777" s="142"/>
      <c r="J777" s="143"/>
    </row>
    <row r="778">
      <c r="B778" s="14"/>
      <c r="C778" s="14"/>
      <c r="F778" s="14"/>
      <c r="G778" s="14"/>
      <c r="H778" s="14"/>
      <c r="I778" s="142"/>
      <c r="J778" s="143"/>
    </row>
    <row r="779">
      <c r="B779" s="14"/>
      <c r="C779" s="14"/>
      <c r="F779" s="14"/>
      <c r="G779" s="14"/>
      <c r="H779" s="14"/>
      <c r="I779" s="142"/>
      <c r="J779" s="143"/>
    </row>
    <row r="780">
      <c r="B780" s="14"/>
      <c r="C780" s="14"/>
      <c r="F780" s="14"/>
      <c r="G780" s="14"/>
      <c r="H780" s="14"/>
      <c r="I780" s="142"/>
      <c r="J780" s="143"/>
    </row>
    <row r="781">
      <c r="B781" s="14"/>
      <c r="C781" s="14"/>
      <c r="F781" s="14"/>
      <c r="G781" s="14"/>
      <c r="H781" s="14"/>
      <c r="I781" s="142"/>
      <c r="J781" s="143"/>
    </row>
    <row r="782">
      <c r="B782" s="14"/>
      <c r="C782" s="14"/>
      <c r="F782" s="14"/>
      <c r="G782" s="14"/>
      <c r="H782" s="14"/>
      <c r="I782" s="142"/>
      <c r="J782" s="143"/>
    </row>
    <row r="783">
      <c r="B783" s="14"/>
      <c r="C783" s="14"/>
      <c r="F783" s="14"/>
      <c r="G783" s="14"/>
      <c r="H783" s="14"/>
      <c r="I783" s="142"/>
      <c r="J783" s="143"/>
    </row>
    <row r="784">
      <c r="B784" s="14"/>
      <c r="C784" s="14"/>
      <c r="F784" s="14"/>
      <c r="G784" s="14"/>
      <c r="H784" s="14"/>
      <c r="I784" s="142"/>
      <c r="J784" s="143"/>
    </row>
    <row r="785">
      <c r="B785" s="14"/>
      <c r="C785" s="14"/>
      <c r="F785" s="14"/>
      <c r="G785" s="14"/>
      <c r="H785" s="14"/>
      <c r="I785" s="142"/>
      <c r="J785" s="143"/>
    </row>
    <row r="786">
      <c r="B786" s="14"/>
      <c r="C786" s="14"/>
      <c r="F786" s="14"/>
      <c r="G786" s="14"/>
      <c r="H786" s="14"/>
      <c r="I786" s="142"/>
      <c r="J786" s="143"/>
    </row>
    <row r="787">
      <c r="B787" s="14"/>
      <c r="C787" s="14"/>
      <c r="F787" s="14"/>
      <c r="G787" s="14"/>
      <c r="H787" s="14"/>
      <c r="I787" s="142"/>
      <c r="J787" s="143"/>
    </row>
    <row r="788">
      <c r="B788" s="14"/>
      <c r="C788" s="14"/>
      <c r="F788" s="14"/>
      <c r="G788" s="14"/>
      <c r="H788" s="14"/>
      <c r="I788" s="142"/>
      <c r="J788" s="143"/>
    </row>
    <row r="789">
      <c r="B789" s="14"/>
      <c r="C789" s="14"/>
      <c r="F789" s="14"/>
      <c r="G789" s="14"/>
      <c r="H789" s="14"/>
      <c r="I789" s="142"/>
      <c r="J789" s="143"/>
    </row>
    <row r="790">
      <c r="B790" s="14"/>
      <c r="C790" s="14"/>
      <c r="F790" s="14"/>
      <c r="G790" s="14"/>
      <c r="H790" s="14"/>
      <c r="I790" s="142"/>
      <c r="J790" s="143"/>
    </row>
    <row r="791">
      <c r="B791" s="14"/>
      <c r="C791" s="14"/>
      <c r="F791" s="14"/>
      <c r="G791" s="14"/>
      <c r="H791" s="14"/>
      <c r="I791" s="142"/>
      <c r="J791" s="143"/>
    </row>
    <row r="792">
      <c r="B792" s="14"/>
      <c r="C792" s="14"/>
      <c r="F792" s="14"/>
      <c r="G792" s="14"/>
      <c r="H792" s="14"/>
      <c r="I792" s="142"/>
      <c r="J792" s="143"/>
    </row>
    <row r="793">
      <c r="B793" s="14"/>
      <c r="C793" s="14"/>
      <c r="F793" s="14"/>
      <c r="G793" s="14"/>
      <c r="H793" s="14"/>
      <c r="I793" s="142"/>
      <c r="J793" s="143"/>
    </row>
    <row r="794">
      <c r="B794" s="14"/>
      <c r="C794" s="14"/>
      <c r="F794" s="14"/>
      <c r="G794" s="14"/>
      <c r="H794" s="14"/>
      <c r="I794" s="142"/>
      <c r="J794" s="143"/>
    </row>
    <row r="795">
      <c r="B795" s="14"/>
      <c r="C795" s="14"/>
      <c r="F795" s="14"/>
      <c r="G795" s="14"/>
      <c r="H795" s="14"/>
      <c r="I795" s="142"/>
      <c r="J795" s="143"/>
    </row>
    <row r="796">
      <c r="B796" s="14"/>
      <c r="C796" s="14"/>
      <c r="F796" s="14"/>
      <c r="G796" s="14"/>
      <c r="H796" s="14"/>
      <c r="I796" s="142"/>
      <c r="J796" s="143"/>
    </row>
    <row r="797">
      <c r="B797" s="14"/>
      <c r="C797" s="14"/>
      <c r="F797" s="14"/>
      <c r="G797" s="14"/>
      <c r="H797" s="14"/>
      <c r="I797" s="142"/>
      <c r="J797" s="143"/>
    </row>
    <row r="798">
      <c r="B798" s="14"/>
      <c r="C798" s="14"/>
      <c r="F798" s="14"/>
      <c r="G798" s="14"/>
      <c r="H798" s="14"/>
      <c r="I798" s="142"/>
      <c r="J798" s="143"/>
    </row>
    <row r="799">
      <c r="B799" s="14"/>
      <c r="C799" s="14"/>
      <c r="F799" s="14"/>
      <c r="G799" s="14"/>
      <c r="H799" s="14"/>
      <c r="I799" s="142"/>
      <c r="J799" s="143"/>
    </row>
    <row r="800">
      <c r="B800" s="14"/>
      <c r="C800" s="14"/>
      <c r="F800" s="14"/>
      <c r="G800" s="14"/>
      <c r="H800" s="14"/>
      <c r="I800" s="142"/>
      <c r="J800" s="143"/>
    </row>
    <row r="801">
      <c r="B801" s="14"/>
      <c r="C801" s="14"/>
      <c r="F801" s="14"/>
      <c r="G801" s="14"/>
      <c r="H801" s="14"/>
      <c r="I801" s="142"/>
      <c r="J801" s="143"/>
    </row>
    <row r="802">
      <c r="B802" s="14"/>
      <c r="C802" s="14"/>
      <c r="F802" s="14"/>
      <c r="G802" s="14"/>
      <c r="H802" s="14"/>
      <c r="I802" s="142"/>
      <c r="J802" s="143"/>
    </row>
    <row r="803">
      <c r="B803" s="14"/>
      <c r="C803" s="14"/>
      <c r="F803" s="14"/>
      <c r="G803" s="14"/>
      <c r="H803" s="14"/>
      <c r="I803" s="142"/>
      <c r="J803" s="143"/>
    </row>
    <row r="804">
      <c r="B804" s="14"/>
      <c r="C804" s="14"/>
      <c r="F804" s="14"/>
      <c r="G804" s="14"/>
      <c r="H804" s="14"/>
      <c r="I804" s="142"/>
      <c r="J804" s="143"/>
    </row>
    <row r="805">
      <c r="B805" s="14"/>
      <c r="C805" s="14"/>
      <c r="F805" s="14"/>
      <c r="G805" s="14"/>
      <c r="H805" s="14"/>
      <c r="I805" s="142"/>
      <c r="J805" s="143"/>
    </row>
    <row r="806">
      <c r="B806" s="14"/>
      <c r="C806" s="14"/>
      <c r="F806" s="14"/>
      <c r="G806" s="14"/>
      <c r="H806" s="14"/>
      <c r="I806" s="142"/>
      <c r="J806" s="143"/>
    </row>
    <row r="807">
      <c r="B807" s="14"/>
      <c r="C807" s="14"/>
      <c r="F807" s="14"/>
      <c r="G807" s="14"/>
      <c r="H807" s="14"/>
      <c r="I807" s="142"/>
      <c r="J807" s="143"/>
    </row>
    <row r="808">
      <c r="B808" s="14"/>
      <c r="C808" s="14"/>
      <c r="F808" s="14"/>
      <c r="G808" s="14"/>
      <c r="H808" s="14"/>
      <c r="I808" s="142"/>
      <c r="J808" s="143"/>
    </row>
    <row r="809">
      <c r="B809" s="14"/>
      <c r="C809" s="14"/>
      <c r="F809" s="14"/>
      <c r="G809" s="14"/>
      <c r="H809" s="14"/>
      <c r="I809" s="142"/>
      <c r="J809" s="143"/>
    </row>
    <row r="810">
      <c r="B810" s="14"/>
      <c r="C810" s="14"/>
      <c r="F810" s="14"/>
      <c r="G810" s="14"/>
      <c r="H810" s="14"/>
      <c r="I810" s="142"/>
      <c r="J810" s="143"/>
    </row>
    <row r="811">
      <c r="B811" s="14"/>
      <c r="C811" s="14"/>
      <c r="F811" s="14"/>
      <c r="G811" s="14"/>
      <c r="H811" s="14"/>
      <c r="I811" s="142"/>
      <c r="J811" s="143"/>
    </row>
    <row r="812">
      <c r="B812" s="14"/>
      <c r="C812" s="14"/>
      <c r="F812" s="14"/>
      <c r="G812" s="14"/>
      <c r="H812" s="14"/>
      <c r="I812" s="142"/>
      <c r="J812" s="143"/>
    </row>
    <row r="813">
      <c r="B813" s="14"/>
      <c r="C813" s="14"/>
      <c r="F813" s="14"/>
      <c r="G813" s="14"/>
      <c r="H813" s="14"/>
      <c r="I813" s="142"/>
      <c r="J813" s="143"/>
    </row>
    <row r="814">
      <c r="B814" s="14"/>
      <c r="C814" s="14"/>
      <c r="F814" s="14"/>
      <c r="G814" s="14"/>
      <c r="H814" s="14"/>
      <c r="I814" s="142"/>
      <c r="J814" s="143"/>
    </row>
    <row r="815">
      <c r="B815" s="14"/>
      <c r="C815" s="14"/>
      <c r="F815" s="14"/>
      <c r="G815" s="14"/>
      <c r="H815" s="14"/>
      <c r="I815" s="142"/>
      <c r="J815" s="143"/>
    </row>
    <row r="816">
      <c r="B816" s="14"/>
      <c r="C816" s="14"/>
      <c r="F816" s="14"/>
      <c r="G816" s="14"/>
      <c r="H816" s="14"/>
      <c r="I816" s="142"/>
      <c r="J816" s="143"/>
    </row>
    <row r="817">
      <c r="B817" s="14"/>
      <c r="C817" s="14"/>
      <c r="F817" s="14"/>
      <c r="G817" s="14"/>
      <c r="H817" s="14"/>
      <c r="I817" s="142"/>
      <c r="J817" s="143"/>
    </row>
    <row r="818">
      <c r="B818" s="14"/>
      <c r="C818" s="14"/>
      <c r="F818" s="14"/>
      <c r="G818" s="14"/>
      <c r="H818" s="14"/>
      <c r="I818" s="142"/>
      <c r="J818" s="143"/>
    </row>
    <row r="819">
      <c r="B819" s="14"/>
      <c r="C819" s="14"/>
      <c r="F819" s="14"/>
      <c r="G819" s="14"/>
      <c r="H819" s="14"/>
      <c r="I819" s="142"/>
      <c r="J819" s="143"/>
    </row>
    <row r="820">
      <c r="B820" s="14"/>
      <c r="C820" s="14"/>
      <c r="F820" s="14"/>
      <c r="G820" s="14"/>
      <c r="H820" s="14"/>
      <c r="I820" s="142"/>
      <c r="J820" s="143"/>
    </row>
    <row r="821">
      <c r="B821" s="14"/>
      <c r="C821" s="14"/>
      <c r="F821" s="14"/>
      <c r="G821" s="14"/>
      <c r="H821" s="14"/>
      <c r="I821" s="142"/>
      <c r="J821" s="143"/>
    </row>
    <row r="822">
      <c r="B822" s="14"/>
      <c r="C822" s="14"/>
      <c r="F822" s="14"/>
      <c r="G822" s="14"/>
      <c r="H822" s="14"/>
      <c r="I822" s="142"/>
      <c r="J822" s="143"/>
    </row>
    <row r="823">
      <c r="B823" s="14"/>
      <c r="C823" s="14"/>
      <c r="F823" s="14"/>
      <c r="G823" s="14"/>
      <c r="H823" s="14"/>
      <c r="I823" s="142"/>
      <c r="J823" s="143"/>
    </row>
    <row r="824">
      <c r="B824" s="14"/>
      <c r="C824" s="14"/>
      <c r="F824" s="14"/>
      <c r="G824" s="14"/>
      <c r="H824" s="14"/>
      <c r="I824" s="142"/>
      <c r="J824" s="143"/>
    </row>
    <row r="825">
      <c r="B825" s="14"/>
      <c r="C825" s="14"/>
      <c r="F825" s="14"/>
      <c r="G825" s="14"/>
      <c r="H825" s="14"/>
      <c r="I825" s="142"/>
      <c r="J825" s="143"/>
    </row>
    <row r="826">
      <c r="B826" s="14"/>
      <c r="C826" s="14"/>
      <c r="F826" s="14"/>
      <c r="G826" s="14"/>
      <c r="H826" s="14"/>
      <c r="I826" s="142"/>
      <c r="J826" s="143"/>
    </row>
    <row r="827">
      <c r="B827" s="14"/>
      <c r="C827" s="14"/>
      <c r="F827" s="14"/>
      <c r="G827" s="14"/>
      <c r="H827" s="14"/>
      <c r="I827" s="142"/>
      <c r="J827" s="143"/>
    </row>
    <row r="828">
      <c r="B828" s="14"/>
      <c r="C828" s="14"/>
      <c r="F828" s="14"/>
      <c r="G828" s="14"/>
      <c r="H828" s="14"/>
      <c r="I828" s="142"/>
      <c r="J828" s="143"/>
    </row>
    <row r="829">
      <c r="B829" s="14"/>
      <c r="C829" s="14"/>
      <c r="F829" s="14"/>
      <c r="G829" s="14"/>
      <c r="H829" s="14"/>
      <c r="I829" s="142"/>
      <c r="J829" s="143"/>
    </row>
    <row r="830">
      <c r="B830" s="14"/>
      <c r="C830" s="14"/>
      <c r="F830" s="14"/>
      <c r="G830" s="14"/>
      <c r="H830" s="14"/>
      <c r="I830" s="142"/>
      <c r="J830" s="143"/>
    </row>
    <row r="831">
      <c r="B831" s="14"/>
      <c r="C831" s="14"/>
      <c r="F831" s="14"/>
      <c r="G831" s="14"/>
      <c r="H831" s="14"/>
      <c r="I831" s="142"/>
      <c r="J831" s="143"/>
    </row>
    <row r="832">
      <c r="B832" s="14"/>
      <c r="C832" s="14"/>
      <c r="F832" s="14"/>
      <c r="G832" s="14"/>
      <c r="H832" s="14"/>
      <c r="I832" s="142"/>
      <c r="J832" s="143"/>
    </row>
    <row r="833">
      <c r="B833" s="14"/>
      <c r="C833" s="14"/>
      <c r="F833" s="14"/>
      <c r="G833" s="14"/>
      <c r="H833" s="14"/>
      <c r="I833" s="142"/>
      <c r="J833" s="143"/>
    </row>
    <row r="834">
      <c r="B834" s="14"/>
      <c r="C834" s="14"/>
      <c r="F834" s="14"/>
      <c r="G834" s="14"/>
      <c r="H834" s="14"/>
      <c r="I834" s="142"/>
      <c r="J834" s="143"/>
    </row>
    <row r="835">
      <c r="B835" s="14"/>
      <c r="C835" s="14"/>
      <c r="F835" s="14"/>
      <c r="G835" s="14"/>
      <c r="H835" s="14"/>
      <c r="I835" s="142"/>
      <c r="J835" s="143"/>
    </row>
    <row r="836">
      <c r="B836" s="14"/>
      <c r="C836" s="14"/>
      <c r="F836" s="14"/>
      <c r="G836" s="14"/>
      <c r="H836" s="14"/>
      <c r="I836" s="142"/>
      <c r="J836" s="143"/>
    </row>
    <row r="837">
      <c r="B837" s="14"/>
      <c r="C837" s="14"/>
      <c r="F837" s="14"/>
      <c r="G837" s="14"/>
      <c r="H837" s="14"/>
      <c r="I837" s="142"/>
      <c r="J837" s="143"/>
    </row>
    <row r="838">
      <c r="B838" s="14"/>
      <c r="C838" s="14"/>
      <c r="F838" s="14"/>
      <c r="G838" s="14"/>
      <c r="H838" s="14"/>
      <c r="I838" s="142"/>
      <c r="J838" s="143"/>
    </row>
    <row r="839">
      <c r="B839" s="14"/>
      <c r="C839" s="14"/>
      <c r="F839" s="14"/>
      <c r="G839" s="14"/>
      <c r="H839" s="14"/>
      <c r="I839" s="142"/>
      <c r="J839" s="143"/>
    </row>
    <row r="840">
      <c r="B840" s="14"/>
      <c r="C840" s="14"/>
      <c r="F840" s="14"/>
      <c r="G840" s="14"/>
      <c r="H840" s="14"/>
      <c r="I840" s="142"/>
      <c r="J840" s="143"/>
    </row>
    <row r="841">
      <c r="B841" s="14"/>
      <c r="C841" s="14"/>
      <c r="F841" s="14"/>
      <c r="G841" s="14"/>
      <c r="H841" s="14"/>
      <c r="I841" s="142"/>
      <c r="J841" s="143"/>
    </row>
    <row r="842">
      <c r="B842" s="14"/>
      <c r="C842" s="14"/>
      <c r="F842" s="14"/>
      <c r="G842" s="14"/>
      <c r="H842" s="14"/>
      <c r="I842" s="142"/>
      <c r="J842" s="143"/>
    </row>
    <row r="843">
      <c r="B843" s="14"/>
      <c r="C843" s="14"/>
      <c r="F843" s="14"/>
      <c r="G843" s="14"/>
      <c r="H843" s="14"/>
      <c r="I843" s="142"/>
      <c r="J843" s="143"/>
    </row>
    <row r="844">
      <c r="B844" s="14"/>
      <c r="C844" s="14"/>
      <c r="F844" s="14"/>
      <c r="G844" s="14"/>
      <c r="H844" s="14"/>
      <c r="I844" s="142"/>
      <c r="J844" s="143"/>
    </row>
    <row r="845">
      <c r="B845" s="14"/>
      <c r="C845" s="14"/>
      <c r="F845" s="14"/>
      <c r="G845" s="14"/>
      <c r="H845" s="14"/>
      <c r="I845" s="142"/>
      <c r="J845" s="143"/>
    </row>
    <row r="846">
      <c r="B846" s="14"/>
      <c r="C846" s="14"/>
      <c r="F846" s="14"/>
      <c r="G846" s="14"/>
      <c r="H846" s="14"/>
      <c r="I846" s="142"/>
      <c r="J846" s="143"/>
    </row>
    <row r="847">
      <c r="B847" s="14"/>
      <c r="C847" s="14"/>
      <c r="F847" s="14"/>
      <c r="G847" s="14"/>
      <c r="H847" s="14"/>
      <c r="I847" s="142"/>
      <c r="J847" s="143"/>
    </row>
    <row r="848">
      <c r="B848" s="14"/>
      <c r="C848" s="14"/>
      <c r="F848" s="14"/>
      <c r="G848" s="14"/>
      <c r="H848" s="14"/>
      <c r="I848" s="142"/>
      <c r="J848" s="143"/>
    </row>
    <row r="849">
      <c r="B849" s="14"/>
      <c r="C849" s="14"/>
      <c r="F849" s="14"/>
      <c r="G849" s="14"/>
      <c r="H849" s="14"/>
      <c r="I849" s="142"/>
      <c r="J849" s="143"/>
    </row>
    <row r="850">
      <c r="B850" s="14"/>
      <c r="C850" s="14"/>
      <c r="F850" s="14"/>
      <c r="G850" s="14"/>
      <c r="H850" s="14"/>
      <c r="I850" s="142"/>
      <c r="J850" s="143"/>
    </row>
    <row r="851">
      <c r="B851" s="14"/>
      <c r="C851" s="14"/>
      <c r="F851" s="14"/>
      <c r="G851" s="14"/>
      <c r="H851" s="14"/>
      <c r="I851" s="142"/>
      <c r="J851" s="143"/>
    </row>
    <row r="852">
      <c r="B852" s="14"/>
      <c r="C852" s="14"/>
      <c r="F852" s="14"/>
      <c r="G852" s="14"/>
      <c r="H852" s="14"/>
      <c r="I852" s="142"/>
      <c r="J852" s="143"/>
    </row>
    <row r="853">
      <c r="B853" s="14"/>
      <c r="C853" s="14"/>
      <c r="F853" s="14"/>
      <c r="G853" s="14"/>
      <c r="H853" s="14"/>
      <c r="I853" s="142"/>
      <c r="J853" s="143"/>
    </row>
    <row r="854">
      <c r="B854" s="14"/>
      <c r="C854" s="14"/>
      <c r="F854" s="14"/>
      <c r="G854" s="14"/>
      <c r="H854" s="14"/>
      <c r="I854" s="142"/>
      <c r="J854" s="143"/>
    </row>
    <row r="855">
      <c r="B855" s="14"/>
      <c r="C855" s="14"/>
      <c r="F855" s="14"/>
      <c r="G855" s="14"/>
      <c r="H855" s="14"/>
      <c r="I855" s="142"/>
      <c r="J855" s="143"/>
    </row>
    <row r="856">
      <c r="B856" s="14"/>
      <c r="C856" s="14"/>
      <c r="F856" s="14"/>
      <c r="G856" s="14"/>
      <c r="H856" s="14"/>
      <c r="I856" s="142"/>
      <c r="J856" s="143"/>
    </row>
    <row r="857">
      <c r="B857" s="14"/>
      <c r="C857" s="14"/>
      <c r="F857" s="14"/>
      <c r="G857" s="14"/>
      <c r="H857" s="14"/>
      <c r="I857" s="142"/>
      <c r="J857" s="143"/>
    </row>
    <row r="858">
      <c r="B858" s="14"/>
      <c r="C858" s="14"/>
      <c r="F858" s="14"/>
      <c r="G858" s="14"/>
      <c r="H858" s="14"/>
      <c r="I858" s="142"/>
      <c r="J858" s="143"/>
    </row>
    <row r="859">
      <c r="B859" s="14"/>
      <c r="C859" s="14"/>
      <c r="F859" s="14"/>
      <c r="G859" s="14"/>
      <c r="H859" s="14"/>
      <c r="I859" s="142"/>
      <c r="J859" s="143"/>
    </row>
    <row r="860">
      <c r="B860" s="14"/>
      <c r="C860" s="14"/>
      <c r="F860" s="14"/>
      <c r="G860" s="14"/>
      <c r="H860" s="14"/>
      <c r="I860" s="142"/>
      <c r="J860" s="143"/>
    </row>
    <row r="861">
      <c r="B861" s="14"/>
      <c r="C861" s="14"/>
      <c r="F861" s="14"/>
      <c r="G861" s="14"/>
      <c r="H861" s="14"/>
      <c r="I861" s="142"/>
      <c r="J861" s="143"/>
    </row>
    <row r="862">
      <c r="B862" s="14"/>
      <c r="C862" s="14"/>
      <c r="F862" s="14"/>
      <c r="G862" s="14"/>
      <c r="H862" s="14"/>
      <c r="I862" s="142"/>
      <c r="J862" s="143"/>
    </row>
    <row r="863">
      <c r="B863" s="14"/>
      <c r="C863" s="14"/>
      <c r="F863" s="14"/>
      <c r="G863" s="14"/>
      <c r="H863" s="14"/>
      <c r="I863" s="142"/>
      <c r="J863" s="143"/>
    </row>
    <row r="864">
      <c r="B864" s="14"/>
      <c r="C864" s="14"/>
      <c r="F864" s="14"/>
      <c r="G864" s="14"/>
      <c r="H864" s="14"/>
      <c r="I864" s="142"/>
      <c r="J864" s="143"/>
    </row>
    <row r="865">
      <c r="B865" s="14"/>
      <c r="C865" s="14"/>
      <c r="F865" s="14"/>
      <c r="G865" s="14"/>
      <c r="H865" s="14"/>
      <c r="I865" s="142"/>
      <c r="J865" s="143"/>
    </row>
    <row r="866">
      <c r="B866" s="14"/>
      <c r="C866" s="14"/>
      <c r="F866" s="14"/>
      <c r="G866" s="14"/>
      <c r="H866" s="14"/>
      <c r="I866" s="142"/>
      <c r="J866" s="143"/>
    </row>
    <row r="867">
      <c r="B867" s="14"/>
      <c r="C867" s="14"/>
      <c r="F867" s="14"/>
      <c r="G867" s="14"/>
      <c r="H867" s="14"/>
      <c r="I867" s="142"/>
      <c r="J867" s="143"/>
    </row>
    <row r="868">
      <c r="B868" s="14"/>
      <c r="C868" s="14"/>
      <c r="F868" s="14"/>
      <c r="G868" s="14"/>
      <c r="H868" s="14"/>
      <c r="I868" s="142"/>
      <c r="J868" s="143"/>
    </row>
    <row r="869">
      <c r="B869" s="14"/>
      <c r="C869" s="14"/>
      <c r="F869" s="14"/>
      <c r="G869" s="14"/>
      <c r="H869" s="14"/>
      <c r="I869" s="142"/>
      <c r="J869" s="143"/>
    </row>
    <row r="870">
      <c r="B870" s="14"/>
      <c r="C870" s="14"/>
      <c r="F870" s="14"/>
      <c r="G870" s="14"/>
      <c r="H870" s="14"/>
      <c r="I870" s="142"/>
      <c r="J870" s="143"/>
    </row>
    <row r="871">
      <c r="B871" s="14"/>
      <c r="C871" s="14"/>
      <c r="F871" s="14"/>
      <c r="G871" s="14"/>
      <c r="H871" s="14"/>
      <c r="I871" s="142"/>
      <c r="J871" s="143"/>
    </row>
    <row r="872">
      <c r="B872" s="14"/>
      <c r="C872" s="14"/>
      <c r="F872" s="14"/>
      <c r="G872" s="14"/>
      <c r="H872" s="14"/>
      <c r="I872" s="142"/>
      <c r="J872" s="143"/>
    </row>
    <row r="873">
      <c r="B873" s="14"/>
      <c r="C873" s="14"/>
      <c r="F873" s="14"/>
      <c r="G873" s="14"/>
      <c r="H873" s="14"/>
      <c r="I873" s="142"/>
      <c r="J873" s="143"/>
    </row>
    <row r="874">
      <c r="B874" s="14"/>
      <c r="C874" s="14"/>
      <c r="F874" s="14"/>
      <c r="G874" s="14"/>
      <c r="H874" s="14"/>
      <c r="I874" s="142"/>
      <c r="J874" s="143"/>
    </row>
    <row r="875">
      <c r="B875" s="14"/>
      <c r="C875" s="14"/>
      <c r="F875" s="14"/>
      <c r="G875" s="14"/>
      <c r="H875" s="14"/>
      <c r="I875" s="142"/>
      <c r="J875" s="143"/>
    </row>
    <row r="876">
      <c r="B876" s="14"/>
      <c r="C876" s="14"/>
      <c r="F876" s="14"/>
      <c r="G876" s="14"/>
      <c r="H876" s="14"/>
      <c r="I876" s="142"/>
      <c r="J876" s="143"/>
    </row>
    <row r="877">
      <c r="B877" s="14"/>
      <c r="C877" s="14"/>
      <c r="F877" s="14"/>
      <c r="G877" s="14"/>
      <c r="H877" s="14"/>
      <c r="I877" s="142"/>
      <c r="J877" s="143"/>
    </row>
    <row r="878">
      <c r="B878" s="14"/>
      <c r="C878" s="14"/>
      <c r="F878" s="14"/>
      <c r="G878" s="14"/>
      <c r="H878" s="14"/>
      <c r="I878" s="142"/>
      <c r="J878" s="143"/>
    </row>
    <row r="879">
      <c r="B879" s="14"/>
      <c r="C879" s="14"/>
      <c r="F879" s="14"/>
      <c r="G879" s="14"/>
      <c r="H879" s="14"/>
      <c r="I879" s="142"/>
      <c r="J879" s="143"/>
    </row>
    <row r="880">
      <c r="B880" s="14"/>
      <c r="C880" s="14"/>
      <c r="F880" s="14"/>
      <c r="G880" s="14"/>
      <c r="H880" s="14"/>
      <c r="I880" s="142"/>
      <c r="J880" s="143"/>
    </row>
    <row r="881">
      <c r="B881" s="14"/>
      <c r="C881" s="14"/>
      <c r="F881" s="14"/>
      <c r="G881" s="14"/>
      <c r="H881" s="14"/>
      <c r="I881" s="142"/>
      <c r="J881" s="143"/>
    </row>
    <row r="882">
      <c r="B882" s="14"/>
      <c r="C882" s="14"/>
      <c r="F882" s="14"/>
      <c r="G882" s="14"/>
      <c r="H882" s="14"/>
      <c r="I882" s="142"/>
      <c r="J882" s="143"/>
    </row>
    <row r="883">
      <c r="B883" s="14"/>
      <c r="C883" s="14"/>
      <c r="F883" s="14"/>
      <c r="G883" s="14"/>
      <c r="H883" s="14"/>
      <c r="I883" s="142"/>
      <c r="J883" s="143"/>
    </row>
    <row r="884">
      <c r="B884" s="14"/>
      <c r="C884" s="14"/>
      <c r="F884" s="14"/>
      <c r="G884" s="14"/>
      <c r="H884" s="14"/>
      <c r="I884" s="142"/>
      <c r="J884" s="143"/>
    </row>
    <row r="885">
      <c r="B885" s="14"/>
      <c r="C885" s="14"/>
      <c r="F885" s="14"/>
      <c r="G885" s="14"/>
      <c r="H885" s="14"/>
      <c r="I885" s="142"/>
      <c r="J885" s="143"/>
    </row>
    <row r="886">
      <c r="B886" s="14"/>
      <c r="C886" s="14"/>
      <c r="F886" s="14"/>
      <c r="G886" s="14"/>
      <c r="H886" s="14"/>
      <c r="I886" s="142"/>
      <c r="J886" s="143"/>
    </row>
    <row r="887">
      <c r="B887" s="14"/>
      <c r="C887" s="14"/>
      <c r="F887" s="14"/>
      <c r="G887" s="14"/>
      <c r="H887" s="14"/>
      <c r="I887" s="142"/>
      <c r="J887" s="143"/>
    </row>
    <row r="888">
      <c r="B888" s="14"/>
      <c r="C888" s="14"/>
      <c r="F888" s="14"/>
      <c r="G888" s="14"/>
      <c r="H888" s="14"/>
      <c r="I888" s="142"/>
      <c r="J888" s="143"/>
    </row>
    <row r="889">
      <c r="B889" s="14"/>
      <c r="C889" s="14"/>
      <c r="F889" s="14"/>
      <c r="G889" s="14"/>
      <c r="H889" s="14"/>
      <c r="I889" s="142"/>
      <c r="J889" s="143"/>
    </row>
    <row r="890">
      <c r="B890" s="14"/>
      <c r="C890" s="14"/>
      <c r="F890" s="14"/>
      <c r="G890" s="14"/>
      <c r="H890" s="14"/>
      <c r="I890" s="142"/>
      <c r="J890" s="143"/>
    </row>
    <row r="891">
      <c r="B891" s="14"/>
      <c r="C891" s="14"/>
      <c r="F891" s="14"/>
      <c r="G891" s="14"/>
      <c r="H891" s="14"/>
      <c r="I891" s="142"/>
      <c r="J891" s="143"/>
    </row>
    <row r="892">
      <c r="B892" s="14"/>
      <c r="C892" s="14"/>
      <c r="F892" s="14"/>
      <c r="G892" s="14"/>
      <c r="H892" s="14"/>
      <c r="I892" s="142"/>
      <c r="J892" s="143"/>
    </row>
    <row r="893">
      <c r="B893" s="14"/>
      <c r="C893" s="14"/>
      <c r="F893" s="14"/>
      <c r="G893" s="14"/>
      <c r="H893" s="14"/>
      <c r="I893" s="142"/>
      <c r="J893" s="143"/>
    </row>
    <row r="894">
      <c r="B894" s="14"/>
      <c r="C894" s="14"/>
      <c r="F894" s="14"/>
      <c r="G894" s="14"/>
      <c r="H894" s="14"/>
      <c r="I894" s="142"/>
      <c r="J894" s="143"/>
    </row>
    <row r="895">
      <c r="B895" s="14"/>
      <c r="C895" s="14"/>
      <c r="F895" s="14"/>
      <c r="G895" s="14"/>
      <c r="H895" s="14"/>
      <c r="I895" s="142"/>
      <c r="J895" s="143"/>
    </row>
    <row r="896">
      <c r="B896" s="14"/>
      <c r="C896" s="14"/>
      <c r="F896" s="14"/>
      <c r="G896" s="14"/>
      <c r="H896" s="14"/>
      <c r="I896" s="142"/>
      <c r="J896" s="143"/>
    </row>
    <row r="897">
      <c r="B897" s="14"/>
      <c r="C897" s="14"/>
      <c r="F897" s="14"/>
      <c r="G897" s="14"/>
      <c r="H897" s="14"/>
      <c r="I897" s="142"/>
      <c r="J897" s="143"/>
    </row>
    <row r="898">
      <c r="B898" s="14"/>
      <c r="C898" s="14"/>
      <c r="F898" s="14"/>
      <c r="G898" s="14"/>
      <c r="H898" s="14"/>
      <c r="I898" s="142"/>
      <c r="J898" s="143"/>
    </row>
    <row r="899">
      <c r="B899" s="14"/>
      <c r="C899" s="14"/>
      <c r="F899" s="14"/>
      <c r="G899" s="14"/>
      <c r="H899" s="14"/>
      <c r="I899" s="142"/>
      <c r="J899" s="143"/>
    </row>
    <row r="900">
      <c r="B900" s="14"/>
      <c r="C900" s="14"/>
      <c r="F900" s="14"/>
      <c r="G900" s="14"/>
      <c r="H900" s="14"/>
      <c r="I900" s="142"/>
      <c r="J900" s="143"/>
    </row>
    <row r="901">
      <c r="B901" s="14"/>
      <c r="C901" s="14"/>
      <c r="F901" s="14"/>
      <c r="G901" s="14"/>
      <c r="H901" s="14"/>
      <c r="I901" s="142"/>
      <c r="J901" s="143"/>
    </row>
    <row r="902">
      <c r="B902" s="14"/>
      <c r="C902" s="14"/>
      <c r="F902" s="14"/>
      <c r="G902" s="14"/>
      <c r="H902" s="14"/>
      <c r="I902" s="142"/>
      <c r="J902" s="143"/>
    </row>
    <row r="903">
      <c r="B903" s="14"/>
      <c r="C903" s="14"/>
      <c r="F903" s="14"/>
      <c r="G903" s="14"/>
      <c r="H903" s="14"/>
      <c r="I903" s="142"/>
      <c r="J903" s="143"/>
    </row>
    <row r="904">
      <c r="B904" s="14"/>
      <c r="C904" s="14"/>
      <c r="F904" s="14"/>
      <c r="G904" s="14"/>
      <c r="H904" s="14"/>
      <c r="I904" s="142"/>
      <c r="J904" s="143"/>
    </row>
    <row r="905">
      <c r="B905" s="14"/>
      <c r="C905" s="14"/>
      <c r="F905" s="14"/>
      <c r="G905" s="14"/>
      <c r="H905" s="14"/>
      <c r="I905" s="142"/>
      <c r="J905" s="143"/>
    </row>
    <row r="906">
      <c r="B906" s="14"/>
      <c r="C906" s="14"/>
      <c r="F906" s="14"/>
      <c r="G906" s="14"/>
      <c r="H906" s="14"/>
      <c r="I906" s="142"/>
      <c r="J906" s="143"/>
    </row>
    <row r="907">
      <c r="B907" s="14"/>
      <c r="C907" s="14"/>
      <c r="F907" s="14"/>
      <c r="G907" s="14"/>
      <c r="H907" s="14"/>
      <c r="I907" s="142"/>
      <c r="J907" s="143"/>
    </row>
    <row r="908">
      <c r="B908" s="14"/>
      <c r="C908" s="14"/>
      <c r="F908" s="14"/>
      <c r="G908" s="14"/>
      <c r="H908" s="14"/>
      <c r="I908" s="142"/>
      <c r="J908" s="143"/>
    </row>
    <row r="909">
      <c r="B909" s="14"/>
      <c r="C909" s="14"/>
      <c r="F909" s="14"/>
      <c r="G909" s="14"/>
      <c r="H909" s="14"/>
      <c r="I909" s="142"/>
      <c r="J909" s="143"/>
    </row>
    <row r="910">
      <c r="B910" s="14"/>
      <c r="C910" s="14"/>
      <c r="F910" s="14"/>
      <c r="G910" s="14"/>
      <c r="H910" s="14"/>
      <c r="I910" s="142"/>
      <c r="J910" s="143"/>
    </row>
    <row r="911">
      <c r="B911" s="14"/>
      <c r="C911" s="14"/>
      <c r="F911" s="14"/>
      <c r="G911" s="14"/>
      <c r="H911" s="14"/>
      <c r="I911" s="142"/>
      <c r="J911" s="143"/>
    </row>
    <row r="912">
      <c r="B912" s="14"/>
      <c r="C912" s="14"/>
      <c r="F912" s="14"/>
      <c r="G912" s="14"/>
      <c r="H912" s="14"/>
      <c r="I912" s="142"/>
      <c r="J912" s="143"/>
    </row>
    <row r="913">
      <c r="B913" s="14"/>
      <c r="C913" s="14"/>
      <c r="F913" s="14"/>
      <c r="G913" s="14"/>
      <c r="H913" s="14"/>
      <c r="I913" s="142"/>
      <c r="J913" s="143"/>
    </row>
    <row r="914">
      <c r="B914" s="14"/>
      <c r="C914" s="14"/>
      <c r="F914" s="14"/>
      <c r="G914" s="14"/>
      <c r="H914" s="14"/>
      <c r="I914" s="142"/>
      <c r="J914" s="143"/>
    </row>
    <row r="915">
      <c r="B915" s="14"/>
      <c r="C915" s="14"/>
      <c r="F915" s="14"/>
      <c r="G915" s="14"/>
      <c r="H915" s="14"/>
      <c r="I915" s="142"/>
      <c r="J915" s="143"/>
    </row>
    <row r="916">
      <c r="B916" s="14"/>
      <c r="C916" s="14"/>
      <c r="F916" s="14"/>
      <c r="G916" s="14"/>
      <c r="H916" s="14"/>
      <c r="I916" s="142"/>
      <c r="J916" s="143"/>
    </row>
    <row r="917">
      <c r="B917" s="14"/>
      <c r="C917" s="14"/>
      <c r="F917" s="14"/>
      <c r="G917" s="14"/>
      <c r="H917" s="14"/>
      <c r="I917" s="142"/>
      <c r="J917" s="143"/>
    </row>
    <row r="918">
      <c r="B918" s="14"/>
      <c r="C918" s="14"/>
      <c r="F918" s="14"/>
      <c r="G918" s="14"/>
      <c r="H918" s="14"/>
      <c r="I918" s="142"/>
      <c r="J918" s="143"/>
    </row>
    <row r="919">
      <c r="B919" s="14"/>
      <c r="C919" s="14"/>
      <c r="F919" s="14"/>
      <c r="G919" s="14"/>
      <c r="H919" s="14"/>
      <c r="I919" s="142"/>
      <c r="J919" s="143"/>
    </row>
    <row r="920">
      <c r="B920" s="14"/>
      <c r="C920" s="14"/>
      <c r="F920" s="14"/>
      <c r="G920" s="14"/>
      <c r="H920" s="14"/>
      <c r="I920" s="142"/>
      <c r="J920" s="143"/>
    </row>
    <row r="921">
      <c r="B921" s="14"/>
      <c r="C921" s="14"/>
      <c r="F921" s="14"/>
      <c r="G921" s="14"/>
      <c r="H921" s="14"/>
      <c r="I921" s="142"/>
      <c r="J921" s="143"/>
    </row>
    <row r="922">
      <c r="B922" s="14"/>
      <c r="C922" s="14"/>
      <c r="F922" s="14"/>
      <c r="G922" s="14"/>
      <c r="H922" s="14"/>
      <c r="I922" s="142"/>
      <c r="J922" s="143"/>
    </row>
    <row r="923">
      <c r="B923" s="14"/>
      <c r="C923" s="14"/>
      <c r="F923" s="14"/>
      <c r="G923" s="14"/>
      <c r="H923" s="14"/>
      <c r="I923" s="142"/>
      <c r="J923" s="143"/>
    </row>
    <row r="924">
      <c r="B924" s="14"/>
      <c r="C924" s="14"/>
      <c r="F924" s="14"/>
      <c r="G924" s="14"/>
      <c r="H924" s="14"/>
      <c r="I924" s="142"/>
      <c r="J924" s="143"/>
    </row>
    <row r="925">
      <c r="B925" s="14"/>
      <c r="C925" s="14"/>
      <c r="F925" s="14"/>
      <c r="G925" s="14"/>
      <c r="H925" s="14"/>
      <c r="I925" s="142"/>
      <c r="J925" s="143"/>
    </row>
    <row r="926">
      <c r="B926" s="14"/>
      <c r="C926" s="14"/>
      <c r="F926" s="14"/>
      <c r="G926" s="14"/>
      <c r="H926" s="14"/>
      <c r="I926" s="142"/>
      <c r="J926" s="143"/>
    </row>
    <row r="927">
      <c r="B927" s="14"/>
      <c r="C927" s="14"/>
      <c r="F927" s="14"/>
      <c r="G927" s="14"/>
      <c r="H927" s="14"/>
      <c r="I927" s="142"/>
      <c r="J927" s="143"/>
    </row>
    <row r="928">
      <c r="B928" s="14"/>
      <c r="C928" s="14"/>
      <c r="F928" s="14"/>
      <c r="G928" s="14"/>
      <c r="H928" s="14"/>
      <c r="I928" s="142"/>
      <c r="J928" s="143"/>
    </row>
    <row r="929">
      <c r="B929" s="14"/>
      <c r="C929" s="14"/>
      <c r="F929" s="14"/>
      <c r="G929" s="14"/>
      <c r="H929" s="14"/>
      <c r="I929" s="142"/>
      <c r="J929" s="143"/>
    </row>
    <row r="930">
      <c r="B930" s="14"/>
      <c r="C930" s="14"/>
      <c r="F930" s="14"/>
      <c r="G930" s="14"/>
      <c r="H930" s="14"/>
      <c r="I930" s="142"/>
      <c r="J930" s="143"/>
    </row>
    <row r="931">
      <c r="B931" s="14"/>
      <c r="C931" s="14"/>
      <c r="F931" s="14"/>
      <c r="G931" s="14"/>
      <c r="H931" s="14"/>
      <c r="I931" s="142"/>
      <c r="J931" s="143"/>
    </row>
    <row r="932">
      <c r="B932" s="14"/>
      <c r="C932" s="14"/>
      <c r="F932" s="14"/>
      <c r="G932" s="14"/>
      <c r="H932" s="14"/>
      <c r="I932" s="142"/>
      <c r="J932" s="143"/>
    </row>
    <row r="933">
      <c r="B933" s="14"/>
      <c r="C933" s="14"/>
      <c r="F933" s="14"/>
      <c r="G933" s="14"/>
      <c r="H933" s="14"/>
      <c r="I933" s="142"/>
      <c r="J933" s="143"/>
    </row>
    <row r="934">
      <c r="B934" s="14"/>
      <c r="C934" s="14"/>
      <c r="F934" s="14"/>
      <c r="G934" s="14"/>
      <c r="H934" s="14"/>
      <c r="I934" s="142"/>
      <c r="J934" s="143"/>
    </row>
    <row r="935">
      <c r="B935" s="14"/>
      <c r="C935" s="14"/>
      <c r="F935" s="14"/>
      <c r="G935" s="14"/>
      <c r="H935" s="14"/>
      <c r="I935" s="142"/>
      <c r="J935" s="143"/>
    </row>
    <row r="936">
      <c r="B936" s="14"/>
      <c r="C936" s="14"/>
      <c r="F936" s="14"/>
      <c r="G936" s="14"/>
      <c r="H936" s="14"/>
      <c r="I936" s="142"/>
      <c r="J936" s="143"/>
    </row>
    <row r="937">
      <c r="B937" s="14"/>
      <c r="C937" s="14"/>
      <c r="F937" s="14"/>
      <c r="G937" s="14"/>
      <c r="H937" s="14"/>
      <c r="I937" s="142"/>
      <c r="J937" s="143"/>
    </row>
    <row r="938">
      <c r="B938" s="14"/>
      <c r="C938" s="14"/>
      <c r="F938" s="14"/>
      <c r="G938" s="14"/>
      <c r="H938" s="14"/>
      <c r="I938" s="142"/>
      <c r="J938" s="143"/>
    </row>
    <row r="939">
      <c r="B939" s="14"/>
      <c r="C939" s="14"/>
      <c r="F939" s="14"/>
      <c r="G939" s="14"/>
      <c r="H939" s="14"/>
      <c r="I939" s="142"/>
      <c r="J939" s="143"/>
    </row>
    <row r="940">
      <c r="B940" s="14"/>
      <c r="C940" s="14"/>
      <c r="F940" s="14"/>
      <c r="G940" s="14"/>
      <c r="H940" s="14"/>
      <c r="I940" s="142"/>
      <c r="J940" s="143"/>
    </row>
    <row r="941">
      <c r="B941" s="14"/>
      <c r="C941" s="14"/>
      <c r="F941" s="14"/>
      <c r="G941" s="14"/>
      <c r="H941" s="14"/>
      <c r="I941" s="142"/>
      <c r="J941" s="143"/>
    </row>
    <row r="942">
      <c r="B942" s="14"/>
      <c r="C942" s="14"/>
      <c r="F942" s="14"/>
      <c r="G942" s="14"/>
      <c r="H942" s="14"/>
      <c r="I942" s="142"/>
      <c r="J942" s="143"/>
    </row>
    <row r="943">
      <c r="B943" s="14"/>
      <c r="C943" s="14"/>
      <c r="F943" s="14"/>
      <c r="G943" s="14"/>
      <c r="H943" s="14"/>
      <c r="I943" s="142"/>
      <c r="J943" s="143"/>
    </row>
    <row r="944">
      <c r="B944" s="14"/>
      <c r="C944" s="14"/>
      <c r="F944" s="14"/>
      <c r="G944" s="14"/>
      <c r="H944" s="14"/>
      <c r="I944" s="142"/>
      <c r="J944" s="143"/>
    </row>
    <row r="945">
      <c r="B945" s="14"/>
      <c r="C945" s="14"/>
      <c r="F945" s="14"/>
      <c r="G945" s="14"/>
      <c r="H945" s="14"/>
      <c r="I945" s="142"/>
      <c r="J945" s="143"/>
    </row>
    <row r="946">
      <c r="B946" s="14"/>
      <c r="C946" s="14"/>
      <c r="F946" s="14"/>
      <c r="G946" s="14"/>
      <c r="H946" s="14"/>
      <c r="I946" s="142"/>
      <c r="J946" s="143"/>
    </row>
    <row r="947">
      <c r="B947" s="14"/>
      <c r="C947" s="14"/>
      <c r="F947" s="14"/>
      <c r="G947" s="14"/>
      <c r="H947" s="14"/>
      <c r="I947" s="142"/>
      <c r="J947" s="143"/>
    </row>
    <row r="948">
      <c r="B948" s="14"/>
      <c r="C948" s="14"/>
      <c r="F948" s="14"/>
      <c r="G948" s="14"/>
      <c r="H948" s="14"/>
      <c r="I948" s="142"/>
      <c r="J948" s="143"/>
    </row>
    <row r="949">
      <c r="B949" s="14"/>
      <c r="C949" s="14"/>
      <c r="F949" s="14"/>
      <c r="G949" s="14"/>
      <c r="H949" s="14"/>
      <c r="I949" s="142"/>
      <c r="J949" s="143"/>
    </row>
    <row r="950">
      <c r="B950" s="14"/>
      <c r="C950" s="14"/>
      <c r="F950" s="14"/>
      <c r="G950" s="14"/>
      <c r="H950" s="14"/>
      <c r="I950" s="142"/>
      <c r="J950" s="143"/>
    </row>
    <row r="951">
      <c r="B951" s="14"/>
      <c r="C951" s="14"/>
      <c r="F951" s="14"/>
      <c r="G951" s="14"/>
      <c r="H951" s="14"/>
      <c r="I951" s="142"/>
      <c r="J951" s="143"/>
    </row>
    <row r="952">
      <c r="B952" s="14"/>
      <c r="C952" s="14"/>
      <c r="F952" s="14"/>
      <c r="G952" s="14"/>
      <c r="H952" s="14"/>
      <c r="I952" s="142"/>
      <c r="J952" s="143"/>
    </row>
    <row r="953">
      <c r="B953" s="14"/>
      <c r="C953" s="14"/>
      <c r="F953" s="14"/>
      <c r="G953" s="14"/>
      <c r="H953" s="14"/>
      <c r="I953" s="142"/>
      <c r="J953" s="143"/>
    </row>
    <row r="954">
      <c r="B954" s="14"/>
      <c r="C954" s="14"/>
      <c r="F954" s="14"/>
      <c r="G954" s="14"/>
      <c r="H954" s="14"/>
      <c r="I954" s="142"/>
      <c r="J954" s="143"/>
    </row>
    <row r="955">
      <c r="B955" s="14"/>
      <c r="C955" s="14"/>
      <c r="F955" s="14"/>
      <c r="G955" s="14"/>
      <c r="H955" s="14"/>
      <c r="I955" s="142"/>
      <c r="J955" s="143"/>
    </row>
    <row r="956">
      <c r="B956" s="14"/>
      <c r="C956" s="14"/>
      <c r="F956" s="14"/>
      <c r="G956" s="14"/>
      <c r="H956" s="14"/>
      <c r="I956" s="142"/>
      <c r="J956" s="143"/>
    </row>
    <row r="957">
      <c r="B957" s="14"/>
      <c r="C957" s="14"/>
      <c r="F957" s="14"/>
      <c r="G957" s="14"/>
      <c r="H957" s="14"/>
      <c r="I957" s="142"/>
      <c r="J957" s="143"/>
    </row>
    <row r="958">
      <c r="B958" s="14"/>
      <c r="C958" s="14"/>
      <c r="F958" s="14"/>
      <c r="G958" s="14"/>
      <c r="H958" s="14"/>
      <c r="I958" s="142"/>
      <c r="J958" s="143"/>
    </row>
    <row r="959">
      <c r="B959" s="14"/>
      <c r="C959" s="14"/>
      <c r="F959" s="14"/>
      <c r="G959" s="14"/>
      <c r="H959" s="14"/>
      <c r="I959" s="142"/>
      <c r="J959" s="143"/>
    </row>
    <row r="960">
      <c r="B960" s="14"/>
      <c r="C960" s="14"/>
      <c r="F960" s="14"/>
      <c r="G960" s="14"/>
      <c r="H960" s="14"/>
      <c r="I960" s="142"/>
      <c r="J960" s="143"/>
    </row>
    <row r="961">
      <c r="B961" s="14"/>
      <c r="C961" s="14"/>
      <c r="F961" s="14"/>
      <c r="G961" s="14"/>
      <c r="H961" s="14"/>
      <c r="I961" s="142"/>
      <c r="J961" s="143"/>
    </row>
    <row r="962">
      <c r="B962" s="14"/>
      <c r="C962" s="14"/>
      <c r="F962" s="14"/>
      <c r="G962" s="14"/>
      <c r="H962" s="14"/>
      <c r="I962" s="142"/>
      <c r="J962" s="143"/>
    </row>
    <row r="963">
      <c r="B963" s="14"/>
      <c r="C963" s="14"/>
      <c r="F963" s="14"/>
      <c r="G963" s="14"/>
      <c r="H963" s="14"/>
      <c r="I963" s="142"/>
      <c r="J963" s="143"/>
    </row>
    <row r="964">
      <c r="B964" s="14"/>
      <c r="C964" s="14"/>
      <c r="F964" s="14"/>
      <c r="G964" s="14"/>
      <c r="H964" s="14"/>
      <c r="I964" s="142"/>
      <c r="J964" s="143"/>
    </row>
    <row r="965">
      <c r="B965" s="14"/>
      <c r="C965" s="14"/>
      <c r="F965" s="14"/>
      <c r="G965" s="14"/>
      <c r="H965" s="14"/>
      <c r="I965" s="142"/>
      <c r="J965" s="143"/>
    </row>
    <row r="966">
      <c r="B966" s="14"/>
      <c r="C966" s="14"/>
      <c r="F966" s="14"/>
      <c r="G966" s="14"/>
      <c r="H966" s="14"/>
      <c r="I966" s="142"/>
      <c r="J966" s="143"/>
    </row>
    <row r="967">
      <c r="B967" s="14"/>
      <c r="C967" s="14"/>
      <c r="F967" s="14"/>
      <c r="G967" s="14"/>
      <c r="H967" s="14"/>
      <c r="I967" s="142"/>
      <c r="J967" s="143"/>
    </row>
    <row r="968">
      <c r="B968" s="14"/>
      <c r="C968" s="14"/>
      <c r="F968" s="14"/>
      <c r="G968" s="14"/>
      <c r="H968" s="14"/>
      <c r="I968" s="142"/>
      <c r="J968" s="143"/>
    </row>
    <row r="969">
      <c r="B969" s="14"/>
      <c r="C969" s="14"/>
      <c r="F969" s="14"/>
      <c r="G969" s="14"/>
      <c r="H969" s="14"/>
      <c r="I969" s="142"/>
      <c r="J969" s="143"/>
    </row>
    <row r="970">
      <c r="B970" s="14"/>
      <c r="C970" s="14"/>
      <c r="F970" s="14"/>
      <c r="G970" s="14"/>
      <c r="H970" s="14"/>
      <c r="I970" s="142"/>
      <c r="J970" s="143"/>
    </row>
    <row r="971">
      <c r="B971" s="14"/>
      <c r="C971" s="14"/>
      <c r="F971" s="14"/>
      <c r="G971" s="14"/>
      <c r="H971" s="14"/>
      <c r="I971" s="142"/>
      <c r="J971" s="143"/>
    </row>
    <row r="972">
      <c r="B972" s="14"/>
      <c r="C972" s="14"/>
      <c r="F972" s="14"/>
      <c r="G972" s="14"/>
      <c r="H972" s="14"/>
      <c r="I972" s="142"/>
      <c r="J972" s="143"/>
    </row>
    <row r="973">
      <c r="B973" s="14"/>
      <c r="C973" s="14"/>
      <c r="F973" s="14"/>
      <c r="G973" s="14"/>
      <c r="H973" s="14"/>
      <c r="I973" s="142"/>
      <c r="J973" s="143"/>
    </row>
    <row r="974">
      <c r="B974" s="14"/>
      <c r="C974" s="14"/>
      <c r="F974" s="14"/>
      <c r="G974" s="14"/>
      <c r="H974" s="14"/>
      <c r="I974" s="142"/>
      <c r="J974" s="143"/>
    </row>
    <row r="975">
      <c r="B975" s="14"/>
      <c r="C975" s="14"/>
      <c r="F975" s="14"/>
      <c r="G975" s="14"/>
      <c r="H975" s="14"/>
      <c r="I975" s="142"/>
      <c r="J975" s="143"/>
    </row>
    <row r="976">
      <c r="B976" s="14"/>
      <c r="C976" s="14"/>
      <c r="F976" s="14"/>
      <c r="G976" s="14"/>
      <c r="H976" s="14"/>
      <c r="I976" s="142"/>
      <c r="J976" s="143"/>
    </row>
    <row r="977">
      <c r="B977" s="14"/>
      <c r="C977" s="14"/>
      <c r="F977" s="14"/>
      <c r="G977" s="14"/>
      <c r="H977" s="14"/>
      <c r="I977" s="142"/>
      <c r="J977" s="143"/>
    </row>
    <row r="978">
      <c r="B978" s="14"/>
      <c r="C978" s="14"/>
      <c r="F978" s="14"/>
      <c r="G978" s="14"/>
      <c r="H978" s="14"/>
      <c r="I978" s="142"/>
      <c r="J978" s="143"/>
    </row>
    <row r="979">
      <c r="B979" s="14"/>
      <c r="C979" s="14"/>
      <c r="F979" s="14"/>
      <c r="G979" s="14"/>
      <c r="H979" s="14"/>
      <c r="I979" s="142"/>
      <c r="J979" s="143"/>
    </row>
    <row r="980">
      <c r="B980" s="14"/>
      <c r="C980" s="14"/>
      <c r="F980" s="14"/>
      <c r="G980" s="14"/>
      <c r="H980" s="14"/>
      <c r="I980" s="142"/>
      <c r="J980" s="143"/>
    </row>
    <row r="981">
      <c r="B981" s="14"/>
      <c r="C981" s="14"/>
      <c r="F981" s="14"/>
      <c r="G981" s="14"/>
      <c r="H981" s="14"/>
      <c r="I981" s="142"/>
      <c r="J981" s="143"/>
    </row>
    <row r="982">
      <c r="B982" s="14"/>
      <c r="C982" s="14"/>
      <c r="F982" s="14"/>
      <c r="G982" s="14"/>
      <c r="H982" s="14"/>
      <c r="I982" s="142"/>
      <c r="J982" s="143"/>
    </row>
    <row r="983">
      <c r="B983" s="14"/>
      <c r="C983" s="14"/>
      <c r="F983" s="14"/>
      <c r="G983" s="14"/>
      <c r="H983" s="14"/>
      <c r="I983" s="142"/>
      <c r="J983" s="143"/>
    </row>
    <row r="984">
      <c r="B984" s="14"/>
      <c r="C984" s="14"/>
      <c r="F984" s="14"/>
      <c r="G984" s="14"/>
      <c r="H984" s="14"/>
      <c r="I984" s="142"/>
      <c r="J984" s="143"/>
    </row>
    <row r="985">
      <c r="B985" s="14"/>
      <c r="C985" s="14"/>
      <c r="F985" s="14"/>
      <c r="G985" s="14"/>
      <c r="H985" s="14"/>
      <c r="I985" s="142"/>
      <c r="J985" s="143"/>
    </row>
    <row r="986">
      <c r="B986" s="14"/>
      <c r="C986" s="14"/>
      <c r="F986" s="14"/>
      <c r="G986" s="14"/>
      <c r="H986" s="14"/>
      <c r="I986" s="142"/>
      <c r="J986" s="143"/>
    </row>
    <row r="987">
      <c r="B987" s="14"/>
      <c r="C987" s="14"/>
      <c r="F987" s="14"/>
      <c r="G987" s="14"/>
      <c r="H987" s="14"/>
      <c r="I987" s="142"/>
      <c r="J987" s="143"/>
    </row>
    <row r="988">
      <c r="B988" s="14"/>
      <c r="C988" s="14"/>
      <c r="F988" s="14"/>
      <c r="G988" s="14"/>
      <c r="H988" s="14"/>
      <c r="I988" s="142"/>
      <c r="J988" s="143"/>
    </row>
    <row r="989">
      <c r="B989" s="14"/>
      <c r="C989" s="14"/>
      <c r="F989" s="14"/>
      <c r="G989" s="14"/>
      <c r="H989" s="14"/>
      <c r="I989" s="142"/>
      <c r="J989" s="143"/>
    </row>
    <row r="990">
      <c r="B990" s="14"/>
      <c r="C990" s="14"/>
      <c r="F990" s="14"/>
      <c r="G990" s="14"/>
      <c r="H990" s="14"/>
      <c r="I990" s="142"/>
      <c r="J990" s="143"/>
    </row>
    <row r="991">
      <c r="B991" s="14"/>
      <c r="C991" s="14"/>
      <c r="F991" s="14"/>
      <c r="G991" s="14"/>
      <c r="H991" s="14"/>
      <c r="I991" s="142"/>
      <c r="J991" s="143"/>
    </row>
    <row r="992">
      <c r="B992" s="14"/>
      <c r="C992" s="14"/>
      <c r="F992" s="14"/>
      <c r="G992" s="14"/>
      <c r="H992" s="14"/>
      <c r="I992" s="142"/>
      <c r="J992" s="143"/>
    </row>
    <row r="993">
      <c r="B993" s="14"/>
      <c r="C993" s="14"/>
      <c r="F993" s="14"/>
      <c r="G993" s="14"/>
      <c r="H993" s="14"/>
      <c r="I993" s="142"/>
      <c r="J993" s="143"/>
    </row>
    <row r="994">
      <c r="B994" s="14"/>
      <c r="C994" s="14"/>
      <c r="F994" s="14"/>
      <c r="G994" s="14"/>
      <c r="H994" s="14"/>
      <c r="I994" s="142"/>
      <c r="J994" s="143"/>
    </row>
    <row r="995">
      <c r="B995" s="14"/>
      <c r="C995" s="14"/>
      <c r="F995" s="14"/>
      <c r="G995" s="14"/>
      <c r="H995" s="14"/>
      <c r="I995" s="142"/>
      <c r="J995" s="143"/>
    </row>
    <row r="996">
      <c r="B996" s="14"/>
      <c r="C996" s="14"/>
      <c r="F996" s="14"/>
      <c r="G996" s="14"/>
      <c r="H996" s="14"/>
      <c r="I996" s="142"/>
      <c r="J996" s="143"/>
    </row>
    <row r="997">
      <c r="B997" s="14"/>
      <c r="C997" s="14"/>
      <c r="F997" s="14"/>
      <c r="G997" s="14"/>
      <c r="H997" s="14"/>
      <c r="I997" s="142"/>
      <c r="J997" s="143"/>
    </row>
    <row r="998">
      <c r="B998" s="14"/>
      <c r="C998" s="14"/>
      <c r="F998" s="14"/>
      <c r="G998" s="14"/>
      <c r="H998" s="14"/>
      <c r="I998" s="142"/>
      <c r="J998" s="143"/>
    </row>
    <row r="999">
      <c r="B999" s="14"/>
      <c r="C999" s="14"/>
      <c r="F999" s="14"/>
      <c r="G999" s="14"/>
      <c r="H999" s="14"/>
      <c r="I999" s="142"/>
      <c r="J999" s="143"/>
    </row>
    <row r="1000">
      <c r="B1000" s="14"/>
      <c r="C1000" s="14"/>
      <c r="F1000" s="14"/>
      <c r="G1000" s="14"/>
      <c r="H1000" s="14"/>
      <c r="I1000" s="142"/>
      <c r="J1000" s="143"/>
    </row>
    <row r="1001">
      <c r="B1001" s="14"/>
      <c r="C1001" s="14"/>
      <c r="F1001" s="14"/>
      <c r="G1001" s="14"/>
      <c r="H1001" s="14"/>
      <c r="I1001" s="142"/>
      <c r="J1001" s="143"/>
    </row>
    <row r="1002">
      <c r="B1002" s="14"/>
      <c r="C1002" s="14"/>
      <c r="F1002" s="14"/>
      <c r="G1002" s="14"/>
      <c r="H1002" s="14"/>
      <c r="I1002" s="142"/>
      <c r="J1002" s="143"/>
    </row>
    <row r="1003">
      <c r="B1003" s="14"/>
      <c r="C1003" s="14"/>
      <c r="F1003" s="14"/>
      <c r="G1003" s="14"/>
      <c r="H1003" s="14"/>
      <c r="I1003" s="142"/>
      <c r="J1003" s="143"/>
    </row>
    <row r="1004">
      <c r="B1004" s="14"/>
      <c r="C1004" s="14"/>
      <c r="F1004" s="14"/>
      <c r="G1004" s="14"/>
      <c r="H1004" s="14"/>
      <c r="I1004" s="142"/>
      <c r="J1004" s="143"/>
    </row>
    <row r="1005">
      <c r="B1005" s="14"/>
      <c r="C1005" s="14"/>
      <c r="F1005" s="14"/>
      <c r="G1005" s="14"/>
      <c r="H1005" s="14"/>
      <c r="I1005" s="142"/>
      <c r="J1005" s="143"/>
    </row>
    <row r="1006">
      <c r="B1006" s="14"/>
      <c r="C1006" s="14"/>
      <c r="F1006" s="14"/>
      <c r="G1006" s="14"/>
      <c r="H1006" s="14"/>
      <c r="I1006" s="142"/>
      <c r="J1006" s="143"/>
    </row>
    <row r="1007">
      <c r="B1007" s="14"/>
      <c r="C1007" s="14"/>
      <c r="F1007" s="14"/>
      <c r="G1007" s="14"/>
      <c r="H1007" s="14"/>
      <c r="I1007" s="142"/>
      <c r="J1007" s="143"/>
    </row>
    <row r="1008">
      <c r="B1008" s="14"/>
      <c r="C1008" s="14"/>
      <c r="F1008" s="14"/>
      <c r="G1008" s="14"/>
      <c r="H1008" s="14"/>
      <c r="I1008" s="142"/>
      <c r="J1008" s="143"/>
    </row>
    <row r="1009">
      <c r="B1009" s="14"/>
      <c r="C1009" s="14"/>
      <c r="F1009" s="14"/>
      <c r="G1009" s="14"/>
      <c r="H1009" s="14"/>
      <c r="I1009" s="142"/>
      <c r="J1009" s="143"/>
    </row>
    <row r="1010">
      <c r="B1010" s="14"/>
      <c r="C1010" s="14"/>
      <c r="F1010" s="14"/>
      <c r="G1010" s="14"/>
      <c r="H1010" s="14"/>
      <c r="I1010" s="142"/>
      <c r="J1010" s="143"/>
    </row>
    <row r="1011">
      <c r="B1011" s="14"/>
      <c r="C1011" s="14"/>
      <c r="F1011" s="14"/>
      <c r="G1011" s="14"/>
      <c r="H1011" s="14"/>
      <c r="I1011" s="142"/>
      <c r="J1011" s="143"/>
    </row>
    <row r="1012">
      <c r="B1012" s="14"/>
      <c r="C1012" s="14"/>
      <c r="F1012" s="14"/>
      <c r="G1012" s="14"/>
      <c r="H1012" s="14"/>
      <c r="I1012" s="142"/>
      <c r="J1012" s="143"/>
    </row>
    <row r="1013">
      <c r="B1013" s="14"/>
      <c r="C1013" s="14"/>
      <c r="F1013" s="14"/>
      <c r="G1013" s="14"/>
      <c r="H1013" s="14"/>
      <c r="I1013" s="142"/>
      <c r="J1013" s="143"/>
    </row>
    <row r="1014">
      <c r="B1014" s="14"/>
      <c r="C1014" s="14"/>
      <c r="F1014" s="14"/>
      <c r="G1014" s="14"/>
      <c r="H1014" s="14"/>
      <c r="I1014" s="142"/>
      <c r="J1014" s="143"/>
    </row>
    <row r="1015">
      <c r="B1015" s="14"/>
      <c r="C1015" s="14"/>
      <c r="F1015" s="14"/>
      <c r="G1015" s="14"/>
      <c r="H1015" s="14"/>
      <c r="I1015" s="142"/>
      <c r="J1015" s="143"/>
    </row>
    <row r="1016">
      <c r="B1016" s="14"/>
      <c r="C1016" s="14"/>
      <c r="F1016" s="14"/>
      <c r="G1016" s="14"/>
      <c r="H1016" s="14"/>
      <c r="I1016" s="142"/>
      <c r="J1016" s="143"/>
    </row>
    <row r="1017">
      <c r="B1017" s="14"/>
      <c r="C1017" s="14"/>
      <c r="F1017" s="14"/>
      <c r="G1017" s="14"/>
      <c r="H1017" s="14"/>
      <c r="I1017" s="142"/>
      <c r="J1017" s="143"/>
    </row>
    <row r="1018">
      <c r="B1018" s="14"/>
      <c r="C1018" s="14"/>
      <c r="F1018" s="14"/>
      <c r="G1018" s="14"/>
      <c r="H1018" s="14"/>
      <c r="I1018" s="142"/>
      <c r="J1018" s="143"/>
    </row>
    <row r="1019">
      <c r="B1019" s="14"/>
      <c r="C1019" s="14"/>
      <c r="F1019" s="14"/>
      <c r="G1019" s="14"/>
      <c r="H1019" s="14"/>
      <c r="I1019" s="142"/>
      <c r="J1019" s="143"/>
    </row>
    <row r="1020">
      <c r="B1020" s="14"/>
      <c r="C1020" s="14"/>
      <c r="F1020" s="14"/>
      <c r="G1020" s="14"/>
      <c r="H1020" s="14"/>
      <c r="I1020" s="142"/>
      <c r="J1020" s="143"/>
    </row>
    <row r="1021">
      <c r="B1021" s="14"/>
      <c r="C1021" s="14"/>
      <c r="F1021" s="14"/>
      <c r="G1021" s="14"/>
      <c r="H1021" s="14"/>
      <c r="I1021" s="142"/>
      <c r="J1021" s="143"/>
    </row>
    <row r="1022">
      <c r="B1022" s="14"/>
      <c r="C1022" s="14"/>
      <c r="F1022" s="14"/>
      <c r="G1022" s="14"/>
      <c r="H1022" s="14"/>
      <c r="I1022" s="142"/>
      <c r="J1022" s="143"/>
    </row>
    <row r="1023">
      <c r="B1023" s="14"/>
      <c r="C1023" s="14"/>
      <c r="F1023" s="14"/>
      <c r="G1023" s="14"/>
      <c r="H1023" s="14"/>
      <c r="I1023" s="142"/>
      <c r="J1023" s="143"/>
    </row>
    <row r="1024">
      <c r="B1024" s="14"/>
      <c r="C1024" s="14"/>
      <c r="F1024" s="14"/>
      <c r="G1024" s="14"/>
      <c r="H1024" s="14"/>
      <c r="I1024" s="142"/>
      <c r="J1024" s="143"/>
    </row>
    <row r="1025">
      <c r="B1025" s="14"/>
      <c r="C1025" s="14"/>
      <c r="F1025" s="14"/>
      <c r="G1025" s="14"/>
      <c r="H1025" s="14"/>
      <c r="I1025" s="142"/>
      <c r="J1025" s="143"/>
    </row>
    <row r="1026">
      <c r="B1026" s="14"/>
      <c r="C1026" s="14"/>
      <c r="F1026" s="14"/>
      <c r="G1026" s="14"/>
      <c r="H1026" s="14"/>
      <c r="I1026" s="142"/>
      <c r="J1026" s="143"/>
    </row>
    <row r="1027">
      <c r="B1027" s="14"/>
      <c r="C1027" s="14"/>
      <c r="F1027" s="14"/>
      <c r="G1027" s="14"/>
      <c r="H1027" s="14"/>
      <c r="I1027" s="142"/>
      <c r="J1027" s="143"/>
    </row>
    <row r="1028">
      <c r="B1028" s="14"/>
      <c r="C1028" s="14"/>
      <c r="F1028" s="14"/>
      <c r="G1028" s="14"/>
      <c r="H1028" s="14"/>
      <c r="I1028" s="142"/>
      <c r="J1028" s="143"/>
    </row>
    <row r="1029">
      <c r="B1029" s="14"/>
      <c r="C1029" s="14"/>
      <c r="F1029" s="14"/>
      <c r="G1029" s="14"/>
      <c r="H1029" s="14"/>
      <c r="I1029" s="142"/>
      <c r="J1029" s="143"/>
    </row>
    <row r="1030">
      <c r="B1030" s="14"/>
      <c r="C1030" s="14"/>
      <c r="F1030" s="14"/>
      <c r="G1030" s="14"/>
      <c r="H1030" s="14"/>
      <c r="I1030" s="142"/>
      <c r="J1030" s="143"/>
    </row>
    <row r="1031">
      <c r="B1031" s="14"/>
      <c r="C1031" s="14"/>
      <c r="F1031" s="14"/>
      <c r="G1031" s="14"/>
      <c r="H1031" s="14"/>
      <c r="I1031" s="142"/>
      <c r="J1031" s="143"/>
    </row>
    <row r="1032">
      <c r="B1032" s="14"/>
      <c r="C1032" s="14"/>
      <c r="F1032" s="14"/>
      <c r="G1032" s="14"/>
      <c r="H1032" s="14"/>
      <c r="I1032" s="142"/>
      <c r="J1032" s="143"/>
    </row>
    <row r="1033">
      <c r="B1033" s="14"/>
      <c r="C1033" s="14"/>
      <c r="F1033" s="14"/>
      <c r="G1033" s="14"/>
      <c r="H1033" s="14"/>
      <c r="I1033" s="142"/>
      <c r="J1033" s="143"/>
    </row>
    <row r="1034">
      <c r="B1034" s="14"/>
      <c r="C1034" s="14"/>
      <c r="F1034" s="14"/>
      <c r="G1034" s="14"/>
      <c r="H1034" s="14"/>
      <c r="I1034" s="142"/>
      <c r="J1034" s="143"/>
    </row>
    <row r="1035">
      <c r="B1035" s="14"/>
      <c r="C1035" s="14"/>
      <c r="F1035" s="14"/>
      <c r="G1035" s="14"/>
      <c r="H1035" s="14"/>
      <c r="I1035" s="142"/>
      <c r="J1035" s="143"/>
    </row>
    <row r="1036">
      <c r="B1036" s="14"/>
      <c r="C1036" s="14"/>
      <c r="F1036" s="14"/>
      <c r="G1036" s="14"/>
      <c r="H1036" s="14"/>
      <c r="I1036" s="142"/>
      <c r="J1036" s="143"/>
    </row>
    <row r="1037">
      <c r="B1037" s="14"/>
      <c r="C1037" s="14"/>
      <c r="F1037" s="14"/>
      <c r="G1037" s="14"/>
      <c r="H1037" s="14"/>
      <c r="I1037" s="142"/>
      <c r="J1037" s="143"/>
    </row>
    <row r="1038">
      <c r="B1038" s="14"/>
      <c r="C1038" s="14"/>
      <c r="F1038" s="14"/>
      <c r="G1038" s="14"/>
      <c r="H1038" s="14"/>
      <c r="I1038" s="142"/>
      <c r="J1038" s="143"/>
    </row>
    <row r="1039">
      <c r="B1039" s="14"/>
      <c r="C1039" s="14"/>
      <c r="F1039" s="14"/>
      <c r="G1039" s="14"/>
      <c r="H1039" s="14"/>
      <c r="I1039" s="142"/>
      <c r="J1039" s="143"/>
    </row>
    <row r="1040">
      <c r="B1040" s="14"/>
      <c r="C1040" s="14"/>
      <c r="F1040" s="14"/>
      <c r="G1040" s="14"/>
      <c r="H1040" s="14"/>
      <c r="I1040" s="142"/>
      <c r="J1040" s="143"/>
    </row>
    <row r="1041">
      <c r="B1041" s="14"/>
      <c r="C1041" s="14"/>
      <c r="F1041" s="14"/>
      <c r="G1041" s="14"/>
      <c r="H1041" s="14"/>
      <c r="I1041" s="142"/>
      <c r="J1041" s="143"/>
    </row>
    <row r="1042">
      <c r="B1042" s="14"/>
      <c r="C1042" s="14"/>
      <c r="F1042" s="14"/>
      <c r="G1042" s="14"/>
      <c r="H1042" s="14"/>
      <c r="I1042" s="142"/>
      <c r="J1042" s="143"/>
    </row>
    <row r="1043">
      <c r="B1043" s="14"/>
      <c r="C1043" s="14"/>
      <c r="F1043" s="14"/>
      <c r="G1043" s="14"/>
      <c r="H1043" s="14"/>
      <c r="I1043" s="142"/>
      <c r="J1043" s="143"/>
    </row>
    <row r="1044">
      <c r="B1044" s="14"/>
      <c r="C1044" s="14"/>
      <c r="F1044" s="14"/>
      <c r="G1044" s="14"/>
      <c r="H1044" s="14"/>
      <c r="I1044" s="142"/>
      <c r="J1044" s="143"/>
    </row>
    <row r="1045">
      <c r="B1045" s="14"/>
      <c r="C1045" s="14"/>
      <c r="F1045" s="14"/>
      <c r="G1045" s="14"/>
      <c r="H1045" s="14"/>
      <c r="I1045" s="142"/>
      <c r="J1045" s="143"/>
    </row>
    <row r="1046">
      <c r="B1046" s="14"/>
      <c r="C1046" s="14"/>
      <c r="F1046" s="14"/>
      <c r="G1046" s="14"/>
      <c r="H1046" s="14"/>
      <c r="I1046" s="142"/>
      <c r="J1046" s="143"/>
    </row>
    <row r="1047">
      <c r="B1047" s="14"/>
      <c r="C1047" s="14"/>
      <c r="F1047" s="14"/>
      <c r="G1047" s="14"/>
      <c r="H1047" s="14"/>
      <c r="I1047" s="142"/>
      <c r="J1047" s="143"/>
    </row>
    <row r="1048">
      <c r="B1048" s="14"/>
      <c r="C1048" s="14"/>
      <c r="F1048" s="14"/>
      <c r="G1048" s="14"/>
      <c r="H1048" s="14"/>
      <c r="I1048" s="142"/>
      <c r="J1048" s="143"/>
    </row>
    <row r="1049">
      <c r="B1049" s="14"/>
      <c r="C1049" s="14"/>
      <c r="F1049" s="14"/>
      <c r="G1049" s="14"/>
      <c r="H1049" s="14"/>
      <c r="I1049" s="142"/>
      <c r="J1049" s="143"/>
    </row>
    <row r="1050">
      <c r="B1050" s="14"/>
      <c r="C1050" s="14"/>
      <c r="F1050" s="14"/>
      <c r="G1050" s="14"/>
      <c r="H1050" s="14"/>
      <c r="I1050" s="142"/>
      <c r="J1050" s="143"/>
    </row>
    <row r="1051">
      <c r="B1051" s="14"/>
      <c r="C1051" s="14"/>
      <c r="F1051" s="14"/>
      <c r="G1051" s="14"/>
      <c r="H1051" s="14"/>
      <c r="I1051" s="142"/>
      <c r="J1051" s="143"/>
    </row>
    <row r="1052">
      <c r="B1052" s="14"/>
      <c r="C1052" s="14"/>
      <c r="F1052" s="14"/>
      <c r="G1052" s="14"/>
      <c r="H1052" s="14"/>
      <c r="I1052" s="142"/>
      <c r="J1052" s="143"/>
    </row>
    <row r="1053">
      <c r="B1053" s="14"/>
      <c r="C1053" s="14"/>
      <c r="F1053" s="14"/>
      <c r="G1053" s="14"/>
      <c r="H1053" s="14"/>
      <c r="I1053" s="142"/>
      <c r="J1053" s="143"/>
    </row>
    <row r="1054">
      <c r="B1054" s="14"/>
      <c r="C1054" s="14"/>
      <c r="F1054" s="14"/>
      <c r="G1054" s="14"/>
      <c r="H1054" s="14"/>
      <c r="I1054" s="142"/>
      <c r="J1054" s="143"/>
    </row>
    <row r="1055">
      <c r="B1055" s="14"/>
      <c r="C1055" s="14"/>
      <c r="F1055" s="14"/>
      <c r="G1055" s="14"/>
      <c r="H1055" s="14"/>
      <c r="I1055" s="142"/>
      <c r="J1055" s="143"/>
    </row>
    <row r="1056">
      <c r="B1056" s="14"/>
      <c r="C1056" s="14"/>
      <c r="F1056" s="14"/>
      <c r="G1056" s="14"/>
      <c r="H1056" s="14"/>
      <c r="I1056" s="142"/>
      <c r="J1056" s="143"/>
    </row>
    <row r="1057">
      <c r="B1057" s="14"/>
      <c r="C1057" s="14"/>
      <c r="F1057" s="14"/>
      <c r="G1057" s="14"/>
      <c r="H1057" s="14"/>
      <c r="I1057" s="142"/>
      <c r="J1057" s="143"/>
    </row>
    <row r="1058">
      <c r="B1058" s="14"/>
      <c r="C1058" s="14"/>
      <c r="F1058" s="14"/>
      <c r="G1058" s="14"/>
      <c r="H1058" s="14"/>
      <c r="I1058" s="142"/>
      <c r="J1058" s="143"/>
    </row>
    <row r="1059">
      <c r="B1059" s="14"/>
      <c r="C1059" s="14"/>
      <c r="F1059" s="14"/>
      <c r="G1059" s="14"/>
      <c r="H1059" s="14"/>
      <c r="I1059" s="142"/>
      <c r="J1059" s="143"/>
    </row>
    <row r="1060">
      <c r="B1060" s="14"/>
      <c r="C1060" s="14"/>
      <c r="F1060" s="14"/>
      <c r="G1060" s="14"/>
      <c r="H1060" s="14"/>
      <c r="I1060" s="142"/>
      <c r="J1060" s="143"/>
    </row>
    <row r="1061">
      <c r="B1061" s="14"/>
      <c r="C1061" s="14"/>
      <c r="F1061" s="14"/>
      <c r="G1061" s="14"/>
      <c r="H1061" s="14"/>
      <c r="I1061" s="142"/>
      <c r="J1061" s="143"/>
    </row>
    <row r="1062">
      <c r="B1062" s="14"/>
      <c r="C1062" s="14"/>
      <c r="F1062" s="14"/>
      <c r="G1062" s="14"/>
      <c r="H1062" s="14"/>
      <c r="I1062" s="142"/>
      <c r="J1062" s="143"/>
    </row>
    <row r="1063">
      <c r="B1063" s="14"/>
      <c r="C1063" s="14"/>
      <c r="F1063" s="14"/>
      <c r="G1063" s="14"/>
      <c r="H1063" s="14"/>
      <c r="I1063" s="142"/>
      <c r="J1063" s="143"/>
    </row>
    <row r="1064">
      <c r="B1064" s="14"/>
      <c r="C1064" s="14"/>
      <c r="F1064" s="14"/>
      <c r="G1064" s="14"/>
      <c r="H1064" s="14"/>
      <c r="I1064" s="142"/>
      <c r="J1064" s="143"/>
    </row>
    <row r="1065">
      <c r="B1065" s="14"/>
      <c r="C1065" s="14"/>
      <c r="F1065" s="14"/>
      <c r="G1065" s="14"/>
      <c r="H1065" s="14"/>
      <c r="I1065" s="142"/>
      <c r="J1065" s="143"/>
    </row>
    <row r="1066">
      <c r="B1066" s="14"/>
      <c r="C1066" s="14"/>
      <c r="F1066" s="14"/>
      <c r="G1066" s="14"/>
      <c r="H1066" s="14"/>
      <c r="I1066" s="142"/>
      <c r="J1066" s="143"/>
    </row>
    <row r="1067">
      <c r="B1067" s="14"/>
      <c r="C1067" s="14"/>
      <c r="F1067" s="14"/>
      <c r="G1067" s="14"/>
      <c r="H1067" s="14"/>
      <c r="I1067" s="142"/>
      <c r="J1067" s="143"/>
    </row>
    <row r="1068">
      <c r="B1068" s="14"/>
      <c r="C1068" s="14"/>
      <c r="F1068" s="14"/>
      <c r="G1068" s="14"/>
      <c r="H1068" s="14"/>
      <c r="I1068" s="142"/>
      <c r="J1068" s="143"/>
    </row>
    <row r="1069">
      <c r="B1069" s="14"/>
      <c r="C1069" s="14"/>
      <c r="F1069" s="14"/>
      <c r="G1069" s="14"/>
      <c r="H1069" s="14"/>
      <c r="I1069" s="142"/>
      <c r="J1069" s="143"/>
    </row>
    <row r="1070">
      <c r="B1070" s="14"/>
      <c r="C1070" s="14"/>
      <c r="F1070" s="14"/>
      <c r="G1070" s="14"/>
      <c r="H1070" s="14"/>
      <c r="I1070" s="142"/>
      <c r="J1070" s="143"/>
    </row>
    <row r="1071">
      <c r="B1071" s="14"/>
      <c r="C1071" s="14"/>
      <c r="F1071" s="14"/>
      <c r="G1071" s="14"/>
      <c r="H1071" s="14"/>
      <c r="I1071" s="142"/>
      <c r="J1071" s="143"/>
    </row>
    <row r="1072">
      <c r="B1072" s="14"/>
      <c r="C1072" s="14"/>
      <c r="F1072" s="14"/>
      <c r="G1072" s="14"/>
      <c r="H1072" s="14"/>
      <c r="I1072" s="142"/>
      <c r="J1072" s="143"/>
    </row>
    <row r="1073">
      <c r="B1073" s="14"/>
      <c r="C1073" s="14"/>
      <c r="F1073" s="14"/>
      <c r="G1073" s="14"/>
      <c r="H1073" s="14"/>
      <c r="I1073" s="142"/>
      <c r="J1073" s="143"/>
    </row>
    <row r="1074">
      <c r="B1074" s="14"/>
      <c r="C1074" s="14"/>
      <c r="F1074" s="14"/>
      <c r="G1074" s="14"/>
      <c r="H1074" s="14"/>
      <c r="I1074" s="142"/>
      <c r="J1074" s="143"/>
    </row>
    <row r="1075">
      <c r="B1075" s="14"/>
      <c r="C1075" s="14"/>
      <c r="F1075" s="14"/>
      <c r="G1075" s="14"/>
      <c r="H1075" s="14"/>
      <c r="I1075" s="142"/>
      <c r="J1075" s="143"/>
    </row>
    <row r="1076">
      <c r="B1076" s="14"/>
      <c r="C1076" s="14"/>
      <c r="F1076" s="14"/>
      <c r="G1076" s="14"/>
      <c r="H1076" s="14"/>
      <c r="I1076" s="142"/>
      <c r="J1076" s="143"/>
    </row>
    <row r="1077">
      <c r="B1077" s="14"/>
      <c r="C1077" s="14"/>
      <c r="F1077" s="14"/>
      <c r="G1077" s="14"/>
      <c r="H1077" s="14"/>
      <c r="I1077" s="142"/>
      <c r="J1077" s="143"/>
    </row>
    <row r="1078">
      <c r="B1078" s="14"/>
      <c r="C1078" s="14"/>
      <c r="F1078" s="14"/>
      <c r="G1078" s="14"/>
      <c r="H1078" s="14"/>
      <c r="I1078" s="142"/>
      <c r="J1078" s="143"/>
    </row>
    <row r="1079">
      <c r="B1079" s="14"/>
      <c r="C1079" s="14"/>
      <c r="F1079" s="14"/>
      <c r="G1079" s="14"/>
      <c r="H1079" s="14"/>
      <c r="I1079" s="142"/>
      <c r="J1079" s="143"/>
    </row>
    <row r="1080">
      <c r="B1080" s="14"/>
      <c r="C1080" s="14"/>
      <c r="F1080" s="14"/>
      <c r="G1080" s="14"/>
      <c r="H1080" s="14"/>
      <c r="I1080" s="142"/>
      <c r="J1080" s="143"/>
    </row>
    <row r="1081">
      <c r="B1081" s="14"/>
      <c r="C1081" s="14"/>
      <c r="F1081" s="14"/>
      <c r="G1081" s="14"/>
      <c r="H1081" s="14"/>
      <c r="I1081" s="142"/>
      <c r="J1081" s="143"/>
    </row>
    <row r="1082">
      <c r="B1082" s="14"/>
      <c r="C1082" s="14"/>
      <c r="F1082" s="14"/>
      <c r="G1082" s="14"/>
      <c r="H1082" s="14"/>
      <c r="I1082" s="142"/>
      <c r="J1082" s="143"/>
    </row>
    <row r="1083">
      <c r="B1083" s="14"/>
      <c r="C1083" s="14"/>
      <c r="F1083" s="14"/>
      <c r="G1083" s="14"/>
      <c r="H1083" s="14"/>
      <c r="I1083" s="142"/>
      <c r="J1083" s="143"/>
    </row>
    <row r="1084">
      <c r="B1084" s="14"/>
      <c r="C1084" s="14"/>
      <c r="F1084" s="14"/>
      <c r="G1084" s="14"/>
      <c r="H1084" s="14"/>
      <c r="I1084" s="142"/>
      <c r="J1084" s="143"/>
    </row>
    <row r="1085">
      <c r="B1085" s="14"/>
      <c r="C1085" s="14"/>
      <c r="F1085" s="14"/>
      <c r="G1085" s="14"/>
      <c r="H1085" s="14"/>
      <c r="I1085" s="142"/>
      <c r="J1085" s="143"/>
    </row>
    <row r="1086">
      <c r="B1086" s="14"/>
      <c r="C1086" s="14"/>
      <c r="F1086" s="14"/>
      <c r="G1086" s="14"/>
      <c r="H1086" s="14"/>
      <c r="I1086" s="142"/>
      <c r="J1086" s="143"/>
    </row>
    <row r="1087">
      <c r="B1087" s="14"/>
      <c r="C1087" s="14"/>
      <c r="F1087" s="14"/>
      <c r="G1087" s="14"/>
      <c r="H1087" s="14"/>
      <c r="I1087" s="142"/>
      <c r="J1087" s="143"/>
    </row>
    <row r="1088">
      <c r="B1088" s="14"/>
      <c r="C1088" s="14"/>
      <c r="F1088" s="14"/>
      <c r="G1088" s="14"/>
      <c r="H1088" s="14"/>
      <c r="I1088" s="142"/>
      <c r="J1088" s="143"/>
    </row>
    <row r="1089">
      <c r="B1089" s="14"/>
      <c r="C1089" s="14"/>
      <c r="F1089" s="14"/>
      <c r="G1089" s="14"/>
      <c r="H1089" s="14"/>
      <c r="I1089" s="142"/>
      <c r="J1089" s="143"/>
    </row>
    <row r="1090">
      <c r="B1090" s="14"/>
      <c r="C1090" s="14"/>
      <c r="F1090" s="14"/>
      <c r="G1090" s="14"/>
      <c r="H1090" s="14"/>
      <c r="I1090" s="142"/>
      <c r="J1090" s="143"/>
    </row>
    <row r="1091">
      <c r="B1091" s="14"/>
      <c r="C1091" s="14"/>
      <c r="F1091" s="14"/>
      <c r="G1091" s="14"/>
      <c r="H1091" s="14"/>
      <c r="I1091" s="142"/>
      <c r="J1091" s="143"/>
    </row>
    <row r="1092">
      <c r="B1092" s="14"/>
      <c r="C1092" s="14"/>
      <c r="F1092" s="14"/>
      <c r="G1092" s="14"/>
      <c r="H1092" s="14"/>
      <c r="I1092" s="142"/>
      <c r="J1092" s="143"/>
    </row>
    <row r="1093">
      <c r="B1093" s="14"/>
      <c r="C1093" s="14"/>
      <c r="F1093" s="14"/>
      <c r="G1093" s="14"/>
      <c r="H1093" s="14"/>
      <c r="I1093" s="142"/>
      <c r="J1093" s="143"/>
    </row>
    <row r="1094">
      <c r="B1094" s="14"/>
      <c r="C1094" s="14"/>
      <c r="F1094" s="14"/>
      <c r="G1094" s="14"/>
      <c r="H1094" s="14"/>
      <c r="I1094" s="142"/>
      <c r="J1094" s="143"/>
    </row>
    <row r="1095">
      <c r="B1095" s="14"/>
      <c r="C1095" s="14"/>
      <c r="F1095" s="14"/>
      <c r="G1095" s="14"/>
      <c r="H1095" s="14"/>
      <c r="I1095" s="142"/>
      <c r="J1095" s="143"/>
    </row>
    <row r="1096">
      <c r="B1096" s="14"/>
      <c r="C1096" s="14"/>
      <c r="F1096" s="14"/>
      <c r="G1096" s="14"/>
      <c r="H1096" s="14"/>
      <c r="I1096" s="142"/>
      <c r="J1096" s="143"/>
    </row>
    <row r="1097">
      <c r="B1097" s="14"/>
      <c r="C1097" s="14"/>
      <c r="F1097" s="14"/>
      <c r="G1097" s="14"/>
      <c r="H1097" s="14"/>
      <c r="I1097" s="142"/>
      <c r="J1097" s="143"/>
    </row>
    <row r="1098">
      <c r="B1098" s="14"/>
      <c r="C1098" s="14"/>
      <c r="F1098" s="14"/>
      <c r="G1098" s="14"/>
      <c r="H1098" s="14"/>
      <c r="I1098" s="142"/>
      <c r="J1098" s="143"/>
    </row>
    <row r="1099">
      <c r="B1099" s="14"/>
      <c r="C1099" s="14"/>
      <c r="F1099" s="14"/>
      <c r="G1099" s="14"/>
      <c r="H1099" s="14"/>
      <c r="I1099" s="142"/>
      <c r="J1099" s="143"/>
    </row>
    <row r="1100">
      <c r="B1100" s="14"/>
      <c r="C1100" s="14"/>
      <c r="F1100" s="14"/>
      <c r="G1100" s="14"/>
      <c r="H1100" s="14"/>
      <c r="I1100" s="142"/>
      <c r="J1100" s="143"/>
    </row>
    <row r="1101">
      <c r="B1101" s="14"/>
      <c r="C1101" s="14"/>
      <c r="F1101" s="14"/>
      <c r="G1101" s="14"/>
      <c r="H1101" s="14"/>
      <c r="I1101" s="142"/>
      <c r="J1101" s="143"/>
    </row>
    <row r="1102">
      <c r="B1102" s="14"/>
      <c r="C1102" s="14"/>
      <c r="F1102" s="14"/>
      <c r="G1102" s="14"/>
      <c r="H1102" s="14"/>
      <c r="I1102" s="142"/>
      <c r="J1102" s="143"/>
    </row>
    <row r="1103">
      <c r="B1103" s="14"/>
      <c r="C1103" s="14"/>
      <c r="F1103" s="14"/>
      <c r="G1103" s="14"/>
      <c r="H1103" s="14"/>
      <c r="I1103" s="142"/>
      <c r="J1103" s="143"/>
    </row>
    <row r="1104">
      <c r="B1104" s="14"/>
      <c r="C1104" s="14"/>
      <c r="F1104" s="14"/>
      <c r="G1104" s="14"/>
      <c r="H1104" s="14"/>
      <c r="I1104" s="142"/>
      <c r="J1104" s="143"/>
    </row>
    <row r="1105">
      <c r="B1105" s="14"/>
      <c r="C1105" s="14"/>
      <c r="F1105" s="14"/>
      <c r="G1105" s="14"/>
      <c r="H1105" s="14"/>
      <c r="I1105" s="142"/>
      <c r="J1105" s="143"/>
    </row>
    <row r="1106">
      <c r="B1106" s="14"/>
      <c r="C1106" s="14"/>
      <c r="F1106" s="14"/>
      <c r="G1106" s="14"/>
      <c r="H1106" s="14"/>
      <c r="I1106" s="142"/>
      <c r="J1106" s="143"/>
    </row>
    <row r="1107">
      <c r="B1107" s="14"/>
      <c r="C1107" s="14"/>
      <c r="F1107" s="14"/>
      <c r="G1107" s="14"/>
      <c r="H1107" s="14"/>
      <c r="I1107" s="142"/>
      <c r="J1107" s="143"/>
    </row>
    <row r="1108">
      <c r="B1108" s="14"/>
      <c r="C1108" s="14"/>
      <c r="F1108" s="14"/>
      <c r="G1108" s="14"/>
      <c r="H1108" s="14"/>
      <c r="I1108" s="142"/>
      <c r="J1108" s="143"/>
    </row>
    <row r="1109">
      <c r="B1109" s="14"/>
      <c r="C1109" s="14"/>
      <c r="F1109" s="14"/>
      <c r="G1109" s="14"/>
      <c r="H1109" s="14"/>
      <c r="I1109" s="142"/>
      <c r="J1109" s="143"/>
    </row>
    <row r="1110">
      <c r="B1110" s="14"/>
      <c r="C1110" s="14"/>
      <c r="F1110" s="14"/>
      <c r="G1110" s="14"/>
      <c r="H1110" s="14"/>
      <c r="I1110" s="142"/>
      <c r="J1110" s="143"/>
    </row>
    <row r="1111">
      <c r="B1111" s="14"/>
      <c r="C1111" s="14"/>
      <c r="F1111" s="14"/>
      <c r="G1111" s="14"/>
      <c r="H1111" s="14"/>
      <c r="I1111" s="142"/>
      <c r="J1111" s="143"/>
    </row>
    <row r="1112">
      <c r="B1112" s="14"/>
      <c r="C1112" s="14"/>
      <c r="F1112" s="14"/>
      <c r="G1112" s="14"/>
      <c r="H1112" s="14"/>
      <c r="I1112" s="142"/>
      <c r="J1112" s="143"/>
    </row>
    <row r="1113">
      <c r="B1113" s="14"/>
      <c r="C1113" s="14"/>
      <c r="F1113" s="14"/>
      <c r="G1113" s="14"/>
      <c r="H1113" s="14"/>
      <c r="I1113" s="142"/>
      <c r="J1113" s="143"/>
    </row>
    <row r="1114">
      <c r="B1114" s="14"/>
      <c r="C1114" s="14"/>
      <c r="F1114" s="14"/>
      <c r="G1114" s="14"/>
      <c r="H1114" s="14"/>
      <c r="I1114" s="142"/>
      <c r="J1114" s="143"/>
    </row>
    <row r="1115">
      <c r="B1115" s="14"/>
      <c r="C1115" s="14"/>
      <c r="F1115" s="14"/>
      <c r="G1115" s="14"/>
      <c r="H1115" s="14"/>
      <c r="I1115" s="142"/>
      <c r="J1115" s="143"/>
    </row>
    <row r="1116">
      <c r="B1116" s="14"/>
      <c r="C1116" s="14"/>
      <c r="F1116" s="14"/>
      <c r="G1116" s="14"/>
      <c r="H1116" s="14"/>
      <c r="I1116" s="142"/>
      <c r="J1116" s="143"/>
    </row>
    <row r="1117">
      <c r="B1117" s="14"/>
      <c r="C1117" s="14"/>
      <c r="F1117" s="14"/>
      <c r="G1117" s="14"/>
      <c r="H1117" s="14"/>
      <c r="I1117" s="142"/>
      <c r="J1117" s="143"/>
    </row>
    <row r="1118">
      <c r="B1118" s="14"/>
      <c r="C1118" s="14"/>
      <c r="F1118" s="14"/>
      <c r="G1118" s="14"/>
      <c r="H1118" s="14"/>
      <c r="I1118" s="142"/>
      <c r="J1118" s="143"/>
    </row>
    <row r="1119">
      <c r="B1119" s="14"/>
      <c r="C1119" s="14"/>
      <c r="F1119" s="14"/>
      <c r="G1119" s="14"/>
      <c r="H1119" s="14"/>
      <c r="I1119" s="142"/>
      <c r="J1119" s="143"/>
    </row>
    <row r="1120">
      <c r="B1120" s="14"/>
      <c r="C1120" s="14"/>
      <c r="F1120" s="14"/>
      <c r="G1120" s="14"/>
      <c r="H1120" s="14"/>
      <c r="I1120" s="142"/>
      <c r="J1120" s="143"/>
    </row>
    <row r="1121">
      <c r="B1121" s="14"/>
      <c r="C1121" s="14"/>
      <c r="F1121" s="14"/>
      <c r="G1121" s="14"/>
      <c r="H1121" s="14"/>
      <c r="I1121" s="142"/>
      <c r="J1121" s="143"/>
    </row>
    <row r="1122">
      <c r="B1122" s="14"/>
      <c r="C1122" s="14"/>
      <c r="F1122" s="14"/>
      <c r="G1122" s="14"/>
      <c r="H1122" s="14"/>
      <c r="I1122" s="142"/>
      <c r="J1122" s="143"/>
    </row>
    <row r="1123">
      <c r="B1123" s="14"/>
      <c r="C1123" s="14"/>
      <c r="F1123" s="14"/>
      <c r="G1123" s="14"/>
      <c r="H1123" s="14"/>
      <c r="I1123" s="142"/>
      <c r="J1123" s="143"/>
    </row>
    <row r="1124">
      <c r="B1124" s="14"/>
      <c r="C1124" s="14"/>
      <c r="F1124" s="14"/>
      <c r="G1124" s="14"/>
      <c r="H1124" s="14"/>
      <c r="I1124" s="142"/>
      <c r="J1124" s="143"/>
    </row>
    <row r="1125">
      <c r="B1125" s="14"/>
      <c r="C1125" s="14"/>
      <c r="F1125" s="14"/>
      <c r="G1125" s="14"/>
      <c r="H1125" s="14"/>
      <c r="I1125" s="142"/>
      <c r="J1125" s="143"/>
    </row>
    <row r="1126">
      <c r="B1126" s="14"/>
      <c r="C1126" s="14"/>
      <c r="F1126" s="14"/>
      <c r="G1126" s="14"/>
      <c r="H1126" s="14"/>
      <c r="I1126" s="142"/>
      <c r="J1126" s="143"/>
    </row>
    <row r="1127">
      <c r="B1127" s="14"/>
      <c r="C1127" s="14"/>
      <c r="F1127" s="14"/>
      <c r="G1127" s="14"/>
      <c r="H1127" s="14"/>
      <c r="I1127" s="142"/>
      <c r="J1127" s="143"/>
    </row>
    <row r="1128">
      <c r="B1128" s="14"/>
      <c r="C1128" s="14"/>
      <c r="F1128" s="14"/>
      <c r="G1128" s="14"/>
      <c r="H1128" s="14"/>
      <c r="I1128" s="142"/>
      <c r="J1128" s="143"/>
    </row>
    <row r="1129">
      <c r="B1129" s="14"/>
      <c r="C1129" s="14"/>
      <c r="F1129" s="14"/>
      <c r="G1129" s="14"/>
      <c r="H1129" s="14"/>
      <c r="I1129" s="142"/>
      <c r="J1129" s="143"/>
    </row>
    <row r="1130">
      <c r="B1130" s="14"/>
      <c r="C1130" s="14"/>
      <c r="F1130" s="14"/>
      <c r="G1130" s="14"/>
      <c r="H1130" s="14"/>
      <c r="I1130" s="142"/>
      <c r="J1130" s="143"/>
    </row>
    <row r="1131">
      <c r="B1131" s="14"/>
      <c r="C1131" s="14"/>
      <c r="F1131" s="14"/>
      <c r="G1131" s="14"/>
      <c r="H1131" s="14"/>
      <c r="I1131" s="142"/>
      <c r="J1131" s="143"/>
    </row>
    <row r="1132">
      <c r="B1132" s="14"/>
      <c r="C1132" s="14"/>
      <c r="F1132" s="14"/>
      <c r="G1132" s="14"/>
      <c r="H1132" s="14"/>
      <c r="I1132" s="142"/>
      <c r="J1132" s="143"/>
    </row>
    <row r="1133">
      <c r="B1133" s="14"/>
      <c r="C1133" s="14"/>
      <c r="F1133" s="14"/>
      <c r="G1133" s="14"/>
      <c r="H1133" s="14"/>
      <c r="I1133" s="142"/>
      <c r="J1133" s="143"/>
    </row>
    <row r="1134">
      <c r="B1134" s="14"/>
      <c r="C1134" s="14"/>
      <c r="F1134" s="14"/>
      <c r="G1134" s="14"/>
      <c r="H1134" s="14"/>
      <c r="I1134" s="142"/>
      <c r="J1134" s="143"/>
    </row>
    <row r="1135">
      <c r="B1135" s="14"/>
      <c r="C1135" s="14"/>
      <c r="F1135" s="14"/>
      <c r="G1135" s="14"/>
      <c r="H1135" s="14"/>
      <c r="I1135" s="142"/>
      <c r="J1135" s="143"/>
    </row>
    <row r="1136">
      <c r="B1136" s="14"/>
      <c r="C1136" s="14"/>
      <c r="F1136" s="14"/>
      <c r="G1136" s="14"/>
      <c r="H1136" s="14"/>
      <c r="I1136" s="142"/>
      <c r="J1136" s="143"/>
    </row>
    <row r="1137">
      <c r="B1137" s="14"/>
      <c r="C1137" s="14"/>
      <c r="F1137" s="14"/>
      <c r="G1137" s="14"/>
      <c r="H1137" s="14"/>
      <c r="I1137" s="142"/>
      <c r="J1137" s="143"/>
    </row>
    <row r="1138">
      <c r="B1138" s="14"/>
      <c r="C1138" s="14"/>
      <c r="F1138" s="14"/>
      <c r="G1138" s="14"/>
      <c r="H1138" s="14"/>
      <c r="I1138" s="142"/>
      <c r="J1138" s="143"/>
    </row>
    <row r="1139">
      <c r="B1139" s="14"/>
      <c r="C1139" s="14"/>
      <c r="F1139" s="14"/>
      <c r="G1139" s="14"/>
      <c r="H1139" s="14"/>
      <c r="I1139" s="142"/>
      <c r="J1139" s="143"/>
    </row>
    <row r="1140">
      <c r="B1140" s="14"/>
      <c r="C1140" s="14"/>
      <c r="F1140" s="14"/>
      <c r="G1140" s="14"/>
      <c r="H1140" s="14"/>
      <c r="I1140" s="142"/>
      <c r="J1140" s="143"/>
    </row>
    <row r="1141">
      <c r="B1141" s="14"/>
      <c r="C1141" s="14"/>
      <c r="F1141" s="14"/>
      <c r="G1141" s="14"/>
      <c r="H1141" s="14"/>
      <c r="I1141" s="142"/>
      <c r="J1141" s="143"/>
    </row>
    <row r="1142">
      <c r="B1142" s="14"/>
      <c r="C1142" s="14"/>
      <c r="F1142" s="14"/>
      <c r="G1142" s="14"/>
      <c r="H1142" s="14"/>
      <c r="I1142" s="142"/>
      <c r="J1142" s="143"/>
    </row>
    <row r="1143">
      <c r="B1143" s="14"/>
      <c r="C1143" s="14"/>
      <c r="F1143" s="14"/>
      <c r="G1143" s="14"/>
      <c r="H1143" s="14"/>
      <c r="I1143" s="142"/>
      <c r="J1143" s="143"/>
    </row>
    <row r="1144">
      <c r="B1144" s="14"/>
      <c r="C1144" s="14"/>
      <c r="F1144" s="14"/>
      <c r="G1144" s="14"/>
      <c r="H1144" s="14"/>
      <c r="I1144" s="142"/>
      <c r="J1144" s="143"/>
    </row>
    <row r="1145">
      <c r="B1145" s="14"/>
      <c r="C1145" s="14"/>
      <c r="F1145" s="14"/>
      <c r="G1145" s="14"/>
      <c r="H1145" s="14"/>
      <c r="I1145" s="142"/>
      <c r="J1145" s="143"/>
    </row>
    <row r="1146">
      <c r="B1146" s="14"/>
      <c r="C1146" s="14"/>
      <c r="F1146" s="14"/>
      <c r="G1146" s="14"/>
      <c r="H1146" s="14"/>
      <c r="I1146" s="142"/>
      <c r="J1146" s="143"/>
    </row>
    <row r="1147">
      <c r="B1147" s="14"/>
      <c r="C1147" s="14"/>
      <c r="F1147" s="14"/>
      <c r="G1147" s="14"/>
      <c r="H1147" s="14"/>
      <c r="I1147" s="142"/>
      <c r="J1147" s="143"/>
    </row>
    <row r="1148">
      <c r="B1148" s="14"/>
      <c r="C1148" s="14"/>
      <c r="F1148" s="14"/>
      <c r="G1148" s="14"/>
      <c r="H1148" s="14"/>
      <c r="I1148" s="142"/>
      <c r="J1148" s="143"/>
    </row>
    <row r="1149">
      <c r="B1149" s="14"/>
      <c r="C1149" s="14"/>
      <c r="F1149" s="14"/>
      <c r="G1149" s="14"/>
      <c r="H1149" s="14"/>
      <c r="I1149" s="142"/>
      <c r="J1149" s="143"/>
    </row>
    <row r="1150">
      <c r="B1150" s="14"/>
      <c r="C1150" s="14"/>
      <c r="F1150" s="14"/>
      <c r="G1150" s="14"/>
      <c r="H1150" s="14"/>
      <c r="I1150" s="142"/>
      <c r="J1150" s="143"/>
    </row>
    <row r="1151">
      <c r="B1151" s="14"/>
      <c r="C1151" s="14"/>
      <c r="F1151" s="14"/>
      <c r="G1151" s="14"/>
      <c r="H1151" s="14"/>
      <c r="I1151" s="142"/>
      <c r="J1151" s="143"/>
    </row>
    <row r="1152">
      <c r="B1152" s="14"/>
      <c r="C1152" s="14"/>
      <c r="F1152" s="14"/>
      <c r="G1152" s="14"/>
      <c r="H1152" s="14"/>
      <c r="I1152" s="142"/>
      <c r="J1152" s="143"/>
    </row>
    <row r="1153">
      <c r="B1153" s="14"/>
      <c r="C1153" s="14"/>
      <c r="F1153" s="14"/>
      <c r="G1153" s="14"/>
      <c r="H1153" s="14"/>
      <c r="I1153" s="142"/>
      <c r="J1153" s="143"/>
    </row>
    <row r="1154">
      <c r="B1154" s="14"/>
      <c r="C1154" s="14"/>
      <c r="F1154" s="14"/>
      <c r="G1154" s="14"/>
      <c r="H1154" s="14"/>
      <c r="I1154" s="142"/>
      <c r="J1154" s="143"/>
    </row>
    <row r="1155">
      <c r="B1155" s="14"/>
      <c r="C1155" s="14"/>
      <c r="F1155" s="14"/>
      <c r="G1155" s="14"/>
      <c r="H1155" s="14"/>
      <c r="I1155" s="142"/>
      <c r="J1155" s="143"/>
    </row>
    <row r="1156">
      <c r="B1156" s="14"/>
      <c r="C1156" s="14"/>
      <c r="F1156" s="14"/>
      <c r="G1156" s="14"/>
      <c r="H1156" s="14"/>
      <c r="I1156" s="142"/>
      <c r="J1156" s="143"/>
    </row>
    <row r="1157">
      <c r="B1157" s="14"/>
      <c r="C1157" s="14"/>
      <c r="F1157" s="14"/>
      <c r="G1157" s="14"/>
      <c r="H1157" s="14"/>
      <c r="I1157" s="142"/>
      <c r="J1157" s="143"/>
    </row>
    <row r="1158">
      <c r="B1158" s="14"/>
      <c r="C1158" s="14"/>
      <c r="F1158" s="14"/>
      <c r="G1158" s="14"/>
      <c r="H1158" s="14"/>
      <c r="I1158" s="142"/>
      <c r="J1158" s="143"/>
    </row>
    <row r="1159">
      <c r="B1159" s="14"/>
      <c r="C1159" s="14"/>
      <c r="F1159" s="14"/>
      <c r="G1159" s="14"/>
      <c r="H1159" s="14"/>
      <c r="I1159" s="142"/>
      <c r="J1159" s="143"/>
    </row>
    <row r="1160">
      <c r="B1160" s="14"/>
      <c r="C1160" s="14"/>
      <c r="F1160" s="14"/>
      <c r="G1160" s="14"/>
      <c r="H1160" s="14"/>
      <c r="I1160" s="142"/>
      <c r="J1160" s="143"/>
    </row>
    <row r="1161">
      <c r="B1161" s="14"/>
      <c r="C1161" s="14"/>
      <c r="F1161" s="14"/>
      <c r="G1161" s="14"/>
      <c r="H1161" s="14"/>
      <c r="I1161" s="142"/>
      <c r="J1161" s="143"/>
    </row>
    <row r="1162">
      <c r="B1162" s="14"/>
      <c r="C1162" s="14"/>
      <c r="F1162" s="14"/>
      <c r="G1162" s="14"/>
      <c r="H1162" s="14"/>
      <c r="I1162" s="142"/>
      <c r="J1162" s="143"/>
    </row>
    <row r="1163">
      <c r="B1163" s="14"/>
      <c r="C1163" s="14"/>
      <c r="F1163" s="14"/>
      <c r="G1163" s="14"/>
      <c r="H1163" s="14"/>
      <c r="I1163" s="142"/>
      <c r="J1163" s="143"/>
    </row>
    <row r="1164">
      <c r="B1164" s="14"/>
      <c r="C1164" s="14"/>
      <c r="F1164" s="14"/>
      <c r="G1164" s="14"/>
      <c r="H1164" s="14"/>
      <c r="I1164" s="142"/>
      <c r="J1164" s="143"/>
    </row>
    <row r="1165">
      <c r="B1165" s="14"/>
      <c r="C1165" s="14"/>
      <c r="F1165" s="14"/>
      <c r="G1165" s="14"/>
      <c r="H1165" s="14"/>
      <c r="I1165" s="142"/>
      <c r="J1165" s="143"/>
    </row>
    <row r="1166">
      <c r="B1166" s="14"/>
      <c r="C1166" s="14"/>
      <c r="F1166" s="14"/>
      <c r="G1166" s="14"/>
      <c r="H1166" s="14"/>
      <c r="I1166" s="142"/>
      <c r="J1166" s="143"/>
    </row>
    <row r="1167">
      <c r="B1167" s="14"/>
      <c r="C1167" s="14"/>
      <c r="F1167" s="14"/>
      <c r="G1167" s="14"/>
      <c r="H1167" s="14"/>
      <c r="I1167" s="142"/>
      <c r="J1167" s="143"/>
    </row>
    <row r="1168">
      <c r="B1168" s="14"/>
      <c r="C1168" s="14"/>
      <c r="F1168" s="14"/>
      <c r="G1168" s="14"/>
      <c r="H1168" s="14"/>
      <c r="I1168" s="142"/>
      <c r="J1168" s="143"/>
    </row>
    <row r="1169">
      <c r="B1169" s="14"/>
      <c r="C1169" s="14"/>
      <c r="F1169" s="14"/>
      <c r="G1169" s="14"/>
      <c r="H1169" s="14"/>
      <c r="I1169" s="142"/>
      <c r="J1169" s="143"/>
    </row>
    <row r="1170">
      <c r="B1170" s="14"/>
      <c r="C1170" s="14"/>
      <c r="F1170" s="14"/>
      <c r="G1170" s="14"/>
      <c r="H1170" s="14"/>
      <c r="I1170" s="142"/>
      <c r="J1170" s="143"/>
    </row>
    <row r="1171">
      <c r="B1171" s="14"/>
      <c r="C1171" s="14"/>
      <c r="F1171" s="14"/>
      <c r="G1171" s="14"/>
      <c r="H1171" s="14"/>
      <c r="I1171" s="142"/>
      <c r="J1171" s="143"/>
    </row>
    <row r="1172">
      <c r="B1172" s="14"/>
      <c r="C1172" s="14"/>
      <c r="F1172" s="14"/>
      <c r="G1172" s="14"/>
      <c r="H1172" s="14"/>
      <c r="I1172" s="142"/>
      <c r="J1172" s="143"/>
    </row>
    <row r="1173">
      <c r="B1173" s="14"/>
      <c r="C1173" s="14"/>
      <c r="F1173" s="14"/>
      <c r="G1173" s="14"/>
      <c r="H1173" s="14"/>
      <c r="I1173" s="142"/>
      <c r="J1173" s="143"/>
    </row>
    <row r="1174">
      <c r="B1174" s="14"/>
      <c r="C1174" s="14"/>
      <c r="F1174" s="14"/>
      <c r="G1174" s="14"/>
      <c r="H1174" s="14"/>
      <c r="I1174" s="142"/>
      <c r="J1174" s="143"/>
    </row>
    <row r="1175">
      <c r="B1175" s="14"/>
      <c r="C1175" s="14"/>
      <c r="F1175" s="14"/>
      <c r="G1175" s="14"/>
      <c r="H1175" s="14"/>
      <c r="I1175" s="142"/>
      <c r="J1175" s="143"/>
    </row>
    <row r="1176">
      <c r="B1176" s="14"/>
      <c r="C1176" s="14"/>
      <c r="F1176" s="14"/>
      <c r="G1176" s="14"/>
      <c r="H1176" s="14"/>
      <c r="I1176" s="142"/>
      <c r="J1176" s="143"/>
    </row>
    <row r="1177">
      <c r="B1177" s="14"/>
      <c r="C1177" s="14"/>
      <c r="F1177" s="14"/>
      <c r="G1177" s="14"/>
      <c r="H1177" s="14"/>
      <c r="I1177" s="142"/>
      <c r="J1177" s="143"/>
    </row>
    <row r="1178">
      <c r="B1178" s="14"/>
      <c r="C1178" s="14"/>
      <c r="F1178" s="14"/>
      <c r="G1178" s="14"/>
      <c r="H1178" s="14"/>
      <c r="I1178" s="142"/>
      <c r="J1178" s="143"/>
    </row>
    <row r="1179">
      <c r="B1179" s="14"/>
      <c r="C1179" s="14"/>
      <c r="F1179" s="14"/>
      <c r="G1179" s="14"/>
      <c r="H1179" s="14"/>
      <c r="I1179" s="142"/>
      <c r="J1179" s="143"/>
    </row>
    <row r="1180">
      <c r="B1180" s="14"/>
      <c r="C1180" s="14"/>
      <c r="F1180" s="14"/>
      <c r="G1180" s="14"/>
      <c r="H1180" s="14"/>
      <c r="I1180" s="142"/>
      <c r="J1180" s="143"/>
    </row>
    <row r="1181">
      <c r="B1181" s="14"/>
      <c r="C1181" s="14"/>
      <c r="F1181" s="14"/>
      <c r="G1181" s="14"/>
      <c r="H1181" s="14"/>
      <c r="I1181" s="142"/>
      <c r="J1181" s="143"/>
    </row>
    <row r="1182">
      <c r="B1182" s="14"/>
      <c r="C1182" s="14"/>
      <c r="F1182" s="14"/>
      <c r="G1182" s="14"/>
      <c r="H1182" s="14"/>
      <c r="I1182" s="142"/>
      <c r="J1182" s="143"/>
    </row>
    <row r="1183">
      <c r="B1183" s="14"/>
      <c r="C1183" s="14"/>
      <c r="F1183" s="14"/>
      <c r="G1183" s="14"/>
      <c r="H1183" s="14"/>
      <c r="I1183" s="142"/>
      <c r="J1183" s="143"/>
    </row>
    <row r="1184">
      <c r="B1184" s="14"/>
      <c r="C1184" s="14"/>
      <c r="F1184" s="14"/>
      <c r="G1184" s="14"/>
      <c r="H1184" s="14"/>
      <c r="I1184" s="142"/>
      <c r="J1184" s="143"/>
    </row>
    <row r="1185">
      <c r="B1185" s="14"/>
      <c r="C1185" s="14"/>
      <c r="F1185" s="14"/>
      <c r="G1185" s="14"/>
      <c r="H1185" s="14"/>
      <c r="I1185" s="142"/>
      <c r="J1185" s="143"/>
    </row>
    <row r="1186">
      <c r="B1186" s="14"/>
      <c r="C1186" s="14"/>
      <c r="F1186" s="14"/>
      <c r="G1186" s="14"/>
      <c r="H1186" s="14"/>
      <c r="I1186" s="142"/>
      <c r="J1186" s="143"/>
    </row>
    <row r="1187">
      <c r="B1187" s="14"/>
      <c r="C1187" s="14"/>
      <c r="F1187" s="14"/>
      <c r="G1187" s="14"/>
      <c r="H1187" s="14"/>
      <c r="I1187" s="142"/>
      <c r="J1187" s="143"/>
    </row>
    <row r="1188">
      <c r="B1188" s="14"/>
      <c r="C1188" s="14"/>
      <c r="F1188" s="14"/>
      <c r="G1188" s="14"/>
      <c r="H1188" s="14"/>
      <c r="I1188" s="142"/>
      <c r="J1188" s="143"/>
    </row>
    <row r="1189">
      <c r="B1189" s="14"/>
      <c r="C1189" s="14"/>
      <c r="F1189" s="14"/>
      <c r="G1189" s="14"/>
      <c r="H1189" s="14"/>
      <c r="I1189" s="142"/>
      <c r="J1189" s="143"/>
    </row>
    <row r="1190">
      <c r="B1190" s="14"/>
      <c r="C1190" s="14"/>
      <c r="F1190" s="14"/>
      <c r="G1190" s="14"/>
      <c r="H1190" s="14"/>
      <c r="I1190" s="142"/>
      <c r="J1190" s="143"/>
    </row>
    <row r="1191">
      <c r="B1191" s="14"/>
      <c r="C1191" s="14"/>
      <c r="F1191" s="14"/>
      <c r="G1191" s="14"/>
      <c r="H1191" s="14"/>
      <c r="I1191" s="142"/>
      <c r="J1191" s="143"/>
    </row>
    <row r="1192">
      <c r="B1192" s="14"/>
      <c r="C1192" s="14"/>
      <c r="F1192" s="14"/>
      <c r="G1192" s="14"/>
      <c r="H1192" s="14"/>
      <c r="I1192" s="142"/>
      <c r="J1192" s="143"/>
    </row>
    <row r="1193">
      <c r="B1193" s="14"/>
      <c r="C1193" s="14"/>
      <c r="F1193" s="14"/>
      <c r="G1193" s="14"/>
      <c r="H1193" s="14"/>
      <c r="I1193" s="142"/>
      <c r="J1193" s="143"/>
    </row>
    <row r="1194">
      <c r="B1194" s="14"/>
      <c r="C1194" s="14"/>
      <c r="F1194" s="14"/>
      <c r="G1194" s="14"/>
      <c r="H1194" s="14"/>
      <c r="I1194" s="142"/>
      <c r="J1194" s="143"/>
    </row>
    <row r="1195">
      <c r="B1195" s="14"/>
      <c r="C1195" s="14"/>
      <c r="F1195" s="14"/>
      <c r="G1195" s="14"/>
      <c r="H1195" s="14"/>
      <c r="I1195" s="142"/>
      <c r="J1195" s="143"/>
    </row>
    <row r="1196">
      <c r="B1196" s="14"/>
      <c r="C1196" s="14"/>
      <c r="F1196" s="14"/>
      <c r="G1196" s="14"/>
      <c r="H1196" s="14"/>
      <c r="I1196" s="142"/>
      <c r="J1196" s="143"/>
    </row>
    <row r="1197">
      <c r="B1197" s="14"/>
      <c r="C1197" s="14"/>
      <c r="F1197" s="14"/>
      <c r="G1197" s="14"/>
      <c r="H1197" s="14"/>
      <c r="I1197" s="142"/>
      <c r="J1197" s="143"/>
    </row>
    <row r="1198">
      <c r="B1198" s="14"/>
      <c r="C1198" s="14"/>
      <c r="F1198" s="14"/>
      <c r="G1198" s="14"/>
      <c r="H1198" s="14"/>
      <c r="I1198" s="142"/>
      <c r="J1198" s="143"/>
    </row>
    <row r="1199">
      <c r="B1199" s="14"/>
      <c r="C1199" s="14"/>
      <c r="F1199" s="14"/>
      <c r="G1199" s="14"/>
      <c r="H1199" s="14"/>
      <c r="I1199" s="142"/>
      <c r="J1199" s="143"/>
    </row>
    <row r="1200">
      <c r="B1200" s="14"/>
      <c r="C1200" s="14"/>
      <c r="F1200" s="14"/>
      <c r="G1200" s="14"/>
      <c r="H1200" s="14"/>
      <c r="I1200" s="142"/>
      <c r="J1200" s="143"/>
    </row>
    <row r="1201">
      <c r="B1201" s="14"/>
      <c r="C1201" s="14"/>
      <c r="F1201" s="14"/>
      <c r="G1201" s="14"/>
      <c r="H1201" s="14"/>
      <c r="I1201" s="142"/>
      <c r="J1201" s="143"/>
    </row>
    <row r="1202">
      <c r="B1202" s="14"/>
      <c r="C1202" s="14"/>
      <c r="F1202" s="14"/>
      <c r="G1202" s="14"/>
      <c r="H1202" s="14"/>
      <c r="I1202" s="142"/>
      <c r="J1202" s="143"/>
    </row>
    <row r="1203">
      <c r="B1203" s="14"/>
      <c r="C1203" s="14"/>
      <c r="F1203" s="14"/>
      <c r="G1203" s="14"/>
      <c r="H1203" s="14"/>
      <c r="I1203" s="142"/>
      <c r="J1203" s="143"/>
    </row>
    <row r="1204">
      <c r="B1204" s="14"/>
      <c r="C1204" s="14"/>
      <c r="F1204" s="14"/>
      <c r="G1204" s="14"/>
      <c r="H1204" s="14"/>
      <c r="I1204" s="142"/>
      <c r="J1204" s="143"/>
    </row>
    <row r="1205">
      <c r="B1205" s="14"/>
      <c r="C1205" s="14"/>
      <c r="F1205" s="14"/>
      <c r="G1205" s="14"/>
      <c r="H1205" s="14"/>
      <c r="I1205" s="142"/>
      <c r="J1205" s="143"/>
    </row>
    <row r="1206">
      <c r="B1206" s="14"/>
      <c r="C1206" s="14"/>
      <c r="F1206" s="14"/>
      <c r="G1206" s="14"/>
      <c r="H1206" s="14"/>
      <c r="I1206" s="142"/>
      <c r="J1206" s="143"/>
    </row>
    <row r="1207">
      <c r="B1207" s="14"/>
      <c r="C1207" s="14"/>
      <c r="F1207" s="14"/>
      <c r="G1207" s="14"/>
      <c r="H1207" s="14"/>
      <c r="I1207" s="142"/>
      <c r="J1207" s="143"/>
    </row>
    <row r="1208">
      <c r="B1208" s="14"/>
      <c r="C1208" s="14"/>
      <c r="F1208" s="14"/>
      <c r="G1208" s="14"/>
      <c r="H1208" s="14"/>
      <c r="I1208" s="142"/>
      <c r="J1208" s="143"/>
    </row>
    <row r="1209">
      <c r="B1209" s="14"/>
      <c r="C1209" s="14"/>
      <c r="F1209" s="14"/>
      <c r="G1209" s="14"/>
      <c r="H1209" s="14"/>
      <c r="I1209" s="142"/>
      <c r="J1209" s="143"/>
    </row>
    <row r="1210">
      <c r="B1210" s="14"/>
      <c r="C1210" s="14"/>
      <c r="F1210" s="14"/>
      <c r="G1210" s="14"/>
      <c r="H1210" s="14"/>
      <c r="I1210" s="142"/>
      <c r="J1210" s="143"/>
    </row>
    <row r="1211">
      <c r="B1211" s="14"/>
      <c r="C1211" s="14"/>
      <c r="F1211" s="14"/>
      <c r="G1211" s="14"/>
      <c r="H1211" s="14"/>
      <c r="I1211" s="142"/>
      <c r="J1211" s="143"/>
    </row>
    <row r="1212">
      <c r="B1212" s="14"/>
      <c r="C1212" s="14"/>
      <c r="F1212" s="14"/>
      <c r="G1212" s="14"/>
      <c r="H1212" s="14"/>
      <c r="I1212" s="142"/>
      <c r="J1212" s="143"/>
    </row>
    <row r="1213">
      <c r="B1213" s="14"/>
      <c r="C1213" s="14"/>
      <c r="F1213" s="14"/>
      <c r="G1213" s="14"/>
      <c r="H1213" s="14"/>
      <c r="I1213" s="142"/>
      <c r="J1213" s="143"/>
    </row>
    <row r="1214">
      <c r="B1214" s="14"/>
      <c r="C1214" s="14"/>
      <c r="F1214" s="14"/>
      <c r="G1214" s="14"/>
      <c r="H1214" s="14"/>
      <c r="I1214" s="142"/>
      <c r="J1214" s="143"/>
    </row>
    <row r="1215">
      <c r="B1215" s="14"/>
      <c r="C1215" s="14"/>
      <c r="F1215" s="14"/>
      <c r="G1215" s="14"/>
      <c r="H1215" s="14"/>
      <c r="I1215" s="142"/>
      <c r="J1215" s="143"/>
    </row>
    <row r="1216">
      <c r="B1216" s="14"/>
      <c r="C1216" s="14"/>
      <c r="F1216" s="14"/>
      <c r="G1216" s="14"/>
      <c r="H1216" s="14"/>
      <c r="I1216" s="142"/>
      <c r="J1216" s="143"/>
    </row>
    <row r="1217">
      <c r="B1217" s="14"/>
      <c r="C1217" s="14"/>
      <c r="F1217" s="14"/>
      <c r="G1217" s="14"/>
      <c r="H1217" s="14"/>
      <c r="I1217" s="142"/>
      <c r="J1217" s="143"/>
    </row>
    <row r="1218">
      <c r="B1218" s="14"/>
      <c r="C1218" s="14"/>
      <c r="F1218" s="14"/>
      <c r="G1218" s="14"/>
      <c r="H1218" s="14"/>
      <c r="I1218" s="142"/>
      <c r="J1218" s="143"/>
    </row>
    <row r="1219">
      <c r="B1219" s="14"/>
      <c r="C1219" s="14"/>
      <c r="F1219" s="14"/>
      <c r="G1219" s="14"/>
      <c r="H1219" s="14"/>
      <c r="I1219" s="142"/>
      <c r="J1219" s="143"/>
    </row>
    <row r="1220">
      <c r="B1220" s="14"/>
      <c r="C1220" s="14"/>
      <c r="F1220" s="14"/>
      <c r="G1220" s="14"/>
      <c r="H1220" s="14"/>
      <c r="I1220" s="142"/>
      <c r="J1220" s="143"/>
    </row>
    <row r="1221">
      <c r="B1221" s="14"/>
      <c r="C1221" s="14"/>
      <c r="F1221" s="14"/>
      <c r="G1221" s="14"/>
      <c r="H1221" s="14"/>
      <c r="I1221" s="142"/>
      <c r="J1221" s="143"/>
    </row>
    <row r="1222">
      <c r="B1222" s="14"/>
      <c r="C1222" s="14"/>
      <c r="F1222" s="14"/>
      <c r="G1222" s="14"/>
      <c r="H1222" s="14"/>
      <c r="I1222" s="142"/>
      <c r="J1222" s="143"/>
    </row>
    <row r="1223">
      <c r="B1223" s="14"/>
      <c r="C1223" s="14"/>
      <c r="F1223" s="14"/>
      <c r="G1223" s="14"/>
      <c r="H1223" s="14"/>
      <c r="I1223" s="142"/>
      <c r="J1223" s="143"/>
    </row>
    <row r="1224">
      <c r="B1224" s="14"/>
      <c r="C1224" s="14"/>
      <c r="F1224" s="14"/>
      <c r="G1224" s="14"/>
      <c r="H1224" s="14"/>
      <c r="I1224" s="142"/>
      <c r="J1224" s="143"/>
    </row>
    <row r="1225">
      <c r="B1225" s="14"/>
      <c r="C1225" s="14"/>
      <c r="F1225" s="14"/>
      <c r="G1225" s="14"/>
      <c r="H1225" s="14"/>
      <c r="I1225" s="142"/>
      <c r="J1225" s="143"/>
    </row>
    <row r="1226">
      <c r="B1226" s="14"/>
      <c r="C1226" s="14"/>
      <c r="F1226" s="14"/>
      <c r="G1226" s="14"/>
      <c r="H1226" s="14"/>
      <c r="I1226" s="142"/>
      <c r="J1226" s="143"/>
    </row>
    <row r="1227">
      <c r="B1227" s="14"/>
      <c r="C1227" s="14"/>
      <c r="F1227" s="14"/>
      <c r="G1227" s="14"/>
      <c r="H1227" s="14"/>
      <c r="I1227" s="142"/>
      <c r="J1227" s="143"/>
    </row>
    <row r="1228">
      <c r="B1228" s="14"/>
      <c r="C1228" s="14"/>
      <c r="F1228" s="14"/>
      <c r="G1228" s="14"/>
      <c r="H1228" s="14"/>
      <c r="I1228" s="142"/>
      <c r="J1228" s="143"/>
    </row>
    <row r="1229">
      <c r="B1229" s="14"/>
      <c r="C1229" s="14"/>
      <c r="F1229" s="14"/>
      <c r="G1229" s="14"/>
      <c r="H1229" s="14"/>
      <c r="I1229" s="142"/>
      <c r="J1229" s="143"/>
    </row>
    <row r="1230">
      <c r="B1230" s="14"/>
      <c r="C1230" s="14"/>
      <c r="F1230" s="14"/>
      <c r="G1230" s="14"/>
      <c r="H1230" s="14"/>
      <c r="I1230" s="142"/>
      <c r="J1230" s="143"/>
    </row>
    <row r="1231">
      <c r="B1231" s="14"/>
      <c r="C1231" s="14"/>
      <c r="F1231" s="14"/>
      <c r="G1231" s="14"/>
      <c r="H1231" s="14"/>
      <c r="I1231" s="142"/>
      <c r="J1231" s="143"/>
    </row>
    <row r="1232">
      <c r="B1232" s="14"/>
      <c r="C1232" s="14"/>
      <c r="F1232" s="14"/>
      <c r="G1232" s="14"/>
      <c r="H1232" s="14"/>
      <c r="I1232" s="142"/>
      <c r="J1232" s="143"/>
    </row>
    <row r="1233">
      <c r="B1233" s="14"/>
      <c r="C1233" s="14"/>
      <c r="F1233" s="14"/>
      <c r="G1233" s="14"/>
      <c r="H1233" s="14"/>
      <c r="I1233" s="142"/>
      <c r="J1233" s="143"/>
    </row>
    <row r="1234">
      <c r="B1234" s="14"/>
      <c r="C1234" s="14"/>
      <c r="F1234" s="14"/>
      <c r="G1234" s="14"/>
      <c r="H1234" s="14"/>
      <c r="I1234" s="142"/>
      <c r="J1234" s="143"/>
    </row>
    <row r="1235">
      <c r="B1235" s="14"/>
      <c r="C1235" s="14"/>
      <c r="F1235" s="14"/>
      <c r="G1235" s="14"/>
      <c r="H1235" s="14"/>
      <c r="I1235" s="142"/>
      <c r="J1235" s="143"/>
    </row>
    <row r="1236">
      <c r="B1236" s="14"/>
      <c r="C1236" s="14"/>
      <c r="F1236" s="14"/>
      <c r="G1236" s="14"/>
      <c r="H1236" s="14"/>
      <c r="I1236" s="142"/>
      <c r="J1236" s="143"/>
    </row>
    <row r="1237">
      <c r="B1237" s="14"/>
      <c r="C1237" s="14"/>
      <c r="F1237" s="14"/>
      <c r="G1237" s="14"/>
      <c r="H1237" s="14"/>
      <c r="I1237" s="142"/>
      <c r="J1237" s="143"/>
    </row>
    <row r="1238">
      <c r="B1238" s="14"/>
      <c r="C1238" s="14"/>
      <c r="F1238" s="14"/>
      <c r="G1238" s="14"/>
      <c r="H1238" s="14"/>
      <c r="I1238" s="142"/>
      <c r="J1238" s="143"/>
    </row>
    <row r="1239">
      <c r="B1239" s="14"/>
      <c r="C1239" s="14"/>
      <c r="F1239" s="14"/>
      <c r="G1239" s="14"/>
      <c r="H1239" s="14"/>
      <c r="I1239" s="142"/>
      <c r="J1239" s="143"/>
    </row>
    <row r="1240">
      <c r="B1240" s="14"/>
      <c r="C1240" s="14"/>
      <c r="F1240" s="14"/>
      <c r="G1240" s="14"/>
      <c r="H1240" s="14"/>
      <c r="I1240" s="142"/>
      <c r="J1240" s="143"/>
    </row>
    <row r="1241">
      <c r="B1241" s="14"/>
      <c r="C1241" s="14"/>
      <c r="F1241" s="14"/>
      <c r="G1241" s="14"/>
      <c r="H1241" s="14"/>
      <c r="I1241" s="142"/>
      <c r="J1241" s="143"/>
    </row>
    <row r="1242">
      <c r="B1242" s="14"/>
      <c r="C1242" s="14"/>
      <c r="F1242" s="14"/>
      <c r="G1242" s="14"/>
      <c r="H1242" s="14"/>
      <c r="I1242" s="142"/>
      <c r="J1242" s="143"/>
    </row>
    <row r="1243">
      <c r="B1243" s="14"/>
      <c r="C1243" s="14"/>
      <c r="F1243" s="14"/>
      <c r="G1243" s="14"/>
      <c r="H1243" s="14"/>
      <c r="I1243" s="142"/>
      <c r="J1243" s="143"/>
    </row>
    <row r="1244">
      <c r="B1244" s="14"/>
      <c r="C1244" s="14"/>
      <c r="F1244" s="14"/>
      <c r="G1244" s="14"/>
      <c r="H1244" s="14"/>
      <c r="I1244" s="142"/>
      <c r="J1244" s="143"/>
    </row>
    <row r="1245">
      <c r="B1245" s="14"/>
      <c r="C1245" s="14"/>
      <c r="F1245" s="14"/>
      <c r="G1245" s="14"/>
      <c r="H1245" s="14"/>
      <c r="I1245" s="142"/>
      <c r="J1245" s="143"/>
    </row>
    <row r="1246">
      <c r="B1246" s="14"/>
      <c r="C1246" s="14"/>
      <c r="F1246" s="14"/>
      <c r="G1246" s="14"/>
      <c r="H1246" s="14"/>
      <c r="I1246" s="142"/>
      <c r="J1246" s="143"/>
    </row>
    <row r="1247">
      <c r="B1247" s="14"/>
      <c r="C1247" s="14"/>
      <c r="F1247" s="14"/>
      <c r="G1247" s="14"/>
      <c r="H1247" s="14"/>
      <c r="I1247" s="142"/>
      <c r="J1247" s="143"/>
    </row>
    <row r="1248">
      <c r="B1248" s="14"/>
      <c r="C1248" s="14"/>
      <c r="F1248" s="14"/>
      <c r="G1248" s="14"/>
      <c r="H1248" s="14"/>
      <c r="I1248" s="142"/>
      <c r="J1248" s="143"/>
    </row>
    <row r="1249">
      <c r="B1249" s="14"/>
      <c r="C1249" s="14"/>
      <c r="F1249" s="14"/>
      <c r="G1249" s="14"/>
      <c r="H1249" s="14"/>
      <c r="I1249" s="142"/>
      <c r="J1249" s="143"/>
    </row>
    <row r="1250">
      <c r="B1250" s="14"/>
      <c r="C1250" s="14"/>
      <c r="F1250" s="14"/>
      <c r="G1250" s="14"/>
      <c r="H1250" s="14"/>
      <c r="I1250" s="142"/>
      <c r="J1250" s="143"/>
    </row>
    <row r="1251">
      <c r="B1251" s="14"/>
      <c r="C1251" s="14"/>
      <c r="F1251" s="14"/>
      <c r="G1251" s="14"/>
      <c r="H1251" s="14"/>
      <c r="I1251" s="142"/>
      <c r="J1251" s="143"/>
    </row>
    <row r="1252">
      <c r="B1252" s="14"/>
      <c r="C1252" s="14"/>
      <c r="F1252" s="14"/>
      <c r="G1252" s="14"/>
      <c r="H1252" s="14"/>
      <c r="I1252" s="142"/>
      <c r="J1252" s="143"/>
    </row>
    <row r="1253">
      <c r="B1253" s="14"/>
      <c r="C1253" s="14"/>
      <c r="F1253" s="14"/>
      <c r="G1253" s="14"/>
      <c r="H1253" s="14"/>
      <c r="I1253" s="142"/>
      <c r="J1253" s="143"/>
    </row>
    <row r="1254">
      <c r="B1254" s="14"/>
      <c r="C1254" s="14"/>
      <c r="F1254" s="14"/>
      <c r="G1254" s="14"/>
      <c r="H1254" s="14"/>
      <c r="I1254" s="142"/>
      <c r="J1254" s="143"/>
    </row>
    <row r="1255">
      <c r="B1255" s="14"/>
      <c r="C1255" s="14"/>
      <c r="F1255" s="14"/>
      <c r="G1255" s="14"/>
      <c r="H1255" s="14"/>
      <c r="I1255" s="142"/>
      <c r="J1255" s="143"/>
    </row>
    <row r="1256">
      <c r="B1256" s="14"/>
      <c r="C1256" s="14"/>
      <c r="F1256" s="14"/>
      <c r="G1256" s="14"/>
      <c r="H1256" s="14"/>
      <c r="I1256" s="142"/>
      <c r="J1256" s="143"/>
    </row>
    <row r="1257">
      <c r="B1257" s="14"/>
      <c r="C1257" s="14"/>
      <c r="F1257" s="14"/>
      <c r="G1257" s="14"/>
      <c r="H1257" s="14"/>
      <c r="I1257" s="142"/>
      <c r="J1257" s="143"/>
    </row>
    <row r="1258">
      <c r="B1258" s="14"/>
      <c r="C1258" s="14"/>
      <c r="F1258" s="14"/>
      <c r="G1258" s="14"/>
      <c r="H1258" s="14"/>
      <c r="I1258" s="142"/>
      <c r="J1258" s="143"/>
    </row>
    <row r="1259">
      <c r="B1259" s="14"/>
      <c r="C1259" s="14"/>
      <c r="F1259" s="14"/>
      <c r="G1259" s="14"/>
      <c r="H1259" s="14"/>
      <c r="I1259" s="142"/>
      <c r="J1259" s="143"/>
    </row>
    <row r="1260">
      <c r="B1260" s="14"/>
      <c r="C1260" s="14"/>
      <c r="F1260" s="14"/>
      <c r="G1260" s="14"/>
      <c r="H1260" s="14"/>
      <c r="I1260" s="142"/>
      <c r="J1260" s="143"/>
    </row>
    <row r="1261">
      <c r="B1261" s="14"/>
      <c r="C1261" s="14"/>
      <c r="F1261" s="14"/>
      <c r="G1261" s="14"/>
      <c r="H1261" s="14"/>
      <c r="I1261" s="142"/>
      <c r="J1261" s="143"/>
    </row>
    <row r="1262">
      <c r="B1262" s="14"/>
      <c r="C1262" s="14"/>
      <c r="F1262" s="14"/>
      <c r="G1262" s="14"/>
      <c r="H1262" s="14"/>
      <c r="I1262" s="142"/>
      <c r="J1262" s="143"/>
    </row>
    <row r="1263">
      <c r="B1263" s="14"/>
      <c r="C1263" s="14"/>
      <c r="F1263" s="14"/>
      <c r="G1263" s="14"/>
      <c r="H1263" s="14"/>
      <c r="I1263" s="142"/>
      <c r="J1263" s="143"/>
    </row>
    <row r="1264">
      <c r="B1264" s="14"/>
      <c r="C1264" s="14"/>
      <c r="F1264" s="14"/>
      <c r="G1264" s="14"/>
      <c r="H1264" s="14"/>
      <c r="I1264" s="142"/>
      <c r="J1264" s="143"/>
    </row>
    <row r="1265">
      <c r="B1265" s="14"/>
      <c r="C1265" s="14"/>
      <c r="F1265" s="14"/>
      <c r="G1265" s="14"/>
      <c r="H1265" s="14"/>
      <c r="I1265" s="142"/>
      <c r="J1265" s="143"/>
    </row>
    <row r="1266">
      <c r="B1266" s="14"/>
      <c r="C1266" s="14"/>
      <c r="F1266" s="14"/>
      <c r="G1266" s="14"/>
      <c r="H1266" s="14"/>
      <c r="I1266" s="142"/>
      <c r="J1266" s="143"/>
    </row>
    <row r="1267">
      <c r="B1267" s="14"/>
      <c r="C1267" s="14"/>
      <c r="F1267" s="14"/>
      <c r="G1267" s="14"/>
      <c r="H1267" s="14"/>
      <c r="I1267" s="142"/>
      <c r="J1267" s="143"/>
    </row>
    <row r="1268">
      <c r="B1268" s="14"/>
      <c r="C1268" s="14"/>
      <c r="F1268" s="14"/>
      <c r="G1268" s="14"/>
      <c r="H1268" s="14"/>
      <c r="I1268" s="142"/>
      <c r="J1268" s="143"/>
    </row>
    <row r="1269">
      <c r="B1269" s="14"/>
      <c r="C1269" s="14"/>
      <c r="F1269" s="14"/>
      <c r="G1269" s="14"/>
      <c r="H1269" s="14"/>
      <c r="I1269" s="142"/>
      <c r="J1269" s="143"/>
    </row>
    <row r="1270">
      <c r="B1270" s="14"/>
      <c r="C1270" s="14"/>
      <c r="F1270" s="14"/>
      <c r="G1270" s="14"/>
      <c r="H1270" s="14"/>
      <c r="I1270" s="142"/>
      <c r="J1270" s="143"/>
    </row>
    <row r="1271">
      <c r="B1271" s="14"/>
      <c r="C1271" s="14"/>
      <c r="F1271" s="14"/>
      <c r="G1271" s="14"/>
      <c r="H1271" s="14"/>
      <c r="I1271" s="142"/>
      <c r="J1271" s="143"/>
    </row>
    <row r="1272">
      <c r="B1272" s="14"/>
      <c r="C1272" s="14"/>
      <c r="F1272" s="14"/>
      <c r="G1272" s="14"/>
      <c r="H1272" s="14"/>
      <c r="I1272" s="142"/>
      <c r="J1272" s="143"/>
    </row>
    <row r="1273">
      <c r="B1273" s="14"/>
      <c r="C1273" s="14"/>
      <c r="F1273" s="14"/>
      <c r="G1273" s="14"/>
      <c r="H1273" s="14"/>
      <c r="I1273" s="142"/>
      <c r="J1273" s="143"/>
    </row>
    <row r="1274">
      <c r="B1274" s="14"/>
      <c r="C1274" s="14"/>
      <c r="F1274" s="14"/>
      <c r="G1274" s="14"/>
      <c r="H1274" s="14"/>
      <c r="I1274" s="142"/>
      <c r="J1274" s="143"/>
    </row>
    <row r="1275">
      <c r="B1275" s="14"/>
      <c r="C1275" s="14"/>
      <c r="F1275" s="14"/>
      <c r="G1275" s="14"/>
      <c r="H1275" s="14"/>
      <c r="I1275" s="142"/>
      <c r="J1275" s="143"/>
    </row>
    <row r="1276">
      <c r="B1276" s="14"/>
      <c r="C1276" s="14"/>
      <c r="F1276" s="14"/>
      <c r="G1276" s="14"/>
      <c r="H1276" s="14"/>
      <c r="I1276" s="142"/>
      <c r="J1276" s="143"/>
    </row>
    <row r="1277">
      <c r="B1277" s="14"/>
      <c r="C1277" s="14"/>
      <c r="F1277" s="14"/>
      <c r="G1277" s="14"/>
      <c r="H1277" s="14"/>
      <c r="I1277" s="142"/>
      <c r="J1277" s="143"/>
    </row>
    <row r="1278">
      <c r="B1278" s="14"/>
      <c r="C1278" s="14"/>
      <c r="F1278" s="14"/>
      <c r="G1278" s="14"/>
      <c r="H1278" s="14"/>
      <c r="I1278" s="142"/>
      <c r="J1278" s="143"/>
    </row>
    <row r="1279">
      <c r="B1279" s="14"/>
      <c r="C1279" s="14"/>
      <c r="F1279" s="14"/>
      <c r="G1279" s="14"/>
      <c r="H1279" s="14"/>
      <c r="I1279" s="142"/>
      <c r="J1279" s="143"/>
    </row>
    <row r="1280">
      <c r="B1280" s="14"/>
      <c r="C1280" s="14"/>
      <c r="F1280" s="14"/>
      <c r="G1280" s="14"/>
      <c r="H1280" s="14"/>
      <c r="I1280" s="142"/>
      <c r="J1280" s="143"/>
    </row>
    <row r="1281">
      <c r="B1281" s="14"/>
      <c r="C1281" s="14"/>
      <c r="F1281" s="14"/>
      <c r="G1281" s="14"/>
      <c r="H1281" s="14"/>
      <c r="I1281" s="142"/>
      <c r="J1281" s="143"/>
    </row>
    <row r="1282">
      <c r="B1282" s="14"/>
      <c r="C1282" s="14"/>
      <c r="F1282" s="14"/>
      <c r="G1282" s="14"/>
      <c r="H1282" s="14"/>
      <c r="I1282" s="142"/>
      <c r="J1282" s="143"/>
    </row>
    <row r="1283">
      <c r="B1283" s="14"/>
      <c r="C1283" s="14"/>
      <c r="F1283" s="14"/>
      <c r="G1283" s="14"/>
      <c r="H1283" s="14"/>
      <c r="I1283" s="142"/>
      <c r="J1283" s="143"/>
    </row>
    <row r="1284">
      <c r="B1284" s="14"/>
      <c r="C1284" s="14"/>
      <c r="F1284" s="14"/>
      <c r="G1284" s="14"/>
      <c r="H1284" s="14"/>
      <c r="I1284" s="142"/>
      <c r="J1284" s="143"/>
    </row>
    <row r="1285">
      <c r="B1285" s="14"/>
      <c r="C1285" s="14"/>
      <c r="F1285" s="14"/>
      <c r="G1285" s="14"/>
      <c r="H1285" s="14"/>
      <c r="I1285" s="142"/>
      <c r="J1285" s="143"/>
    </row>
    <row r="1286">
      <c r="B1286" s="14"/>
      <c r="C1286" s="14"/>
      <c r="F1286" s="14"/>
      <c r="G1286" s="14"/>
      <c r="H1286" s="14"/>
      <c r="I1286" s="142"/>
      <c r="J1286" s="143"/>
    </row>
    <row r="1287">
      <c r="B1287" s="14"/>
      <c r="C1287" s="14"/>
      <c r="F1287" s="14"/>
      <c r="G1287" s="14"/>
      <c r="H1287" s="14"/>
      <c r="I1287" s="142"/>
      <c r="J1287" s="143"/>
    </row>
    <row r="1288">
      <c r="B1288" s="14"/>
      <c r="C1288" s="14"/>
      <c r="F1288" s="14"/>
      <c r="G1288" s="14"/>
      <c r="H1288" s="14"/>
      <c r="I1288" s="142"/>
      <c r="J1288" s="143"/>
    </row>
    <row r="1289">
      <c r="B1289" s="14"/>
      <c r="C1289" s="14"/>
      <c r="F1289" s="14"/>
      <c r="G1289" s="14"/>
      <c r="H1289" s="14"/>
      <c r="I1289" s="142"/>
      <c r="J1289" s="143"/>
    </row>
    <row r="1290">
      <c r="B1290" s="14"/>
      <c r="C1290" s="14"/>
      <c r="F1290" s="14"/>
      <c r="G1290" s="14"/>
      <c r="H1290" s="14"/>
      <c r="I1290" s="142"/>
      <c r="J1290" s="143"/>
    </row>
    <row r="1291">
      <c r="B1291" s="14"/>
      <c r="C1291" s="14"/>
      <c r="F1291" s="14"/>
      <c r="G1291" s="14"/>
      <c r="H1291" s="14"/>
      <c r="I1291" s="142"/>
      <c r="J1291" s="143"/>
    </row>
    <row r="1292">
      <c r="B1292" s="14"/>
      <c r="C1292" s="14"/>
      <c r="F1292" s="14"/>
      <c r="G1292" s="14"/>
      <c r="H1292" s="14"/>
      <c r="I1292" s="142"/>
      <c r="J1292" s="143"/>
    </row>
    <row r="1293">
      <c r="B1293" s="14"/>
      <c r="C1293" s="14"/>
      <c r="F1293" s="14"/>
      <c r="G1293" s="14"/>
      <c r="H1293" s="14"/>
      <c r="I1293" s="142"/>
      <c r="J1293" s="143"/>
    </row>
    <row r="1294">
      <c r="B1294" s="14"/>
      <c r="C1294" s="14"/>
      <c r="F1294" s="14"/>
      <c r="G1294" s="14"/>
      <c r="H1294" s="14"/>
      <c r="I1294" s="142"/>
      <c r="J1294" s="143"/>
    </row>
    <row r="1295">
      <c r="B1295" s="14"/>
      <c r="C1295" s="14"/>
      <c r="F1295" s="14"/>
      <c r="G1295" s="14"/>
      <c r="H1295" s="14"/>
      <c r="I1295" s="142"/>
      <c r="J1295" s="143"/>
    </row>
    <row r="1296">
      <c r="B1296" s="14"/>
      <c r="C1296" s="14"/>
      <c r="F1296" s="14"/>
      <c r="G1296" s="14"/>
      <c r="H1296" s="14"/>
      <c r="I1296" s="142"/>
      <c r="J1296" s="143"/>
    </row>
    <row r="1297">
      <c r="B1297" s="14"/>
      <c r="C1297" s="14"/>
      <c r="F1297" s="14"/>
      <c r="G1297" s="14"/>
      <c r="H1297" s="14"/>
      <c r="I1297" s="142"/>
      <c r="J1297" s="143"/>
    </row>
    <row r="1298">
      <c r="B1298" s="14"/>
      <c r="C1298" s="14"/>
      <c r="F1298" s="14"/>
      <c r="G1298" s="14"/>
      <c r="H1298" s="14"/>
      <c r="I1298" s="142"/>
      <c r="J1298" s="143"/>
    </row>
    <row r="1299">
      <c r="B1299" s="14"/>
      <c r="C1299" s="14"/>
      <c r="F1299" s="14"/>
      <c r="G1299" s="14"/>
      <c r="H1299" s="14"/>
      <c r="I1299" s="142"/>
      <c r="J1299" s="143"/>
    </row>
    <row r="1300">
      <c r="B1300" s="14"/>
      <c r="C1300" s="14"/>
      <c r="F1300" s="14"/>
      <c r="G1300" s="14"/>
      <c r="H1300" s="14"/>
      <c r="I1300" s="142"/>
      <c r="J1300" s="143"/>
    </row>
    <row r="1301">
      <c r="B1301" s="14"/>
      <c r="C1301" s="14"/>
      <c r="F1301" s="14"/>
      <c r="G1301" s="14"/>
      <c r="H1301" s="14"/>
      <c r="I1301" s="142"/>
      <c r="J1301" s="143"/>
    </row>
    <row r="1302">
      <c r="B1302" s="14"/>
      <c r="C1302" s="14"/>
      <c r="F1302" s="14"/>
      <c r="G1302" s="14"/>
      <c r="H1302" s="14"/>
      <c r="I1302" s="142"/>
      <c r="J1302" s="143"/>
    </row>
    <row r="1303">
      <c r="B1303" s="14"/>
      <c r="C1303" s="14"/>
      <c r="F1303" s="14"/>
      <c r="G1303" s="14"/>
      <c r="H1303" s="14"/>
      <c r="I1303" s="142"/>
      <c r="J1303" s="143"/>
    </row>
    <row r="1304">
      <c r="B1304" s="14"/>
      <c r="C1304" s="14"/>
      <c r="F1304" s="14"/>
      <c r="G1304" s="14"/>
      <c r="H1304" s="14"/>
      <c r="I1304" s="142"/>
      <c r="J1304" s="143"/>
    </row>
    <row r="1305">
      <c r="B1305" s="14"/>
      <c r="C1305" s="14"/>
      <c r="F1305" s="14"/>
      <c r="G1305" s="14"/>
      <c r="H1305" s="14"/>
      <c r="I1305" s="142"/>
      <c r="J1305" s="143"/>
    </row>
    <row r="1306">
      <c r="B1306" s="14"/>
      <c r="C1306" s="14"/>
      <c r="F1306" s="14"/>
      <c r="G1306" s="14"/>
      <c r="H1306" s="14"/>
      <c r="I1306" s="142"/>
      <c r="J1306" s="143"/>
    </row>
    <row r="1307">
      <c r="B1307" s="14"/>
      <c r="C1307" s="14"/>
      <c r="F1307" s="14"/>
      <c r="G1307" s="14"/>
      <c r="H1307" s="14"/>
      <c r="I1307" s="142"/>
      <c r="J1307" s="143"/>
    </row>
    <row r="1308">
      <c r="B1308" s="14"/>
      <c r="C1308" s="14"/>
      <c r="F1308" s="14"/>
      <c r="G1308" s="14"/>
      <c r="H1308" s="14"/>
      <c r="I1308" s="142"/>
      <c r="J1308" s="143"/>
    </row>
    <row r="1309">
      <c r="B1309" s="14"/>
      <c r="C1309" s="14"/>
      <c r="F1309" s="14"/>
      <c r="G1309" s="14"/>
      <c r="H1309" s="14"/>
      <c r="I1309" s="142"/>
      <c r="J1309" s="143"/>
    </row>
    <row r="1310">
      <c r="B1310" s="14"/>
      <c r="C1310" s="14"/>
      <c r="F1310" s="14"/>
      <c r="G1310" s="14"/>
      <c r="H1310" s="14"/>
      <c r="I1310" s="142"/>
      <c r="J1310" s="143"/>
    </row>
    <row r="1311">
      <c r="B1311" s="14"/>
      <c r="C1311" s="14"/>
      <c r="F1311" s="14"/>
      <c r="G1311" s="14"/>
      <c r="H1311" s="14"/>
      <c r="I1311" s="142"/>
      <c r="J1311" s="143"/>
    </row>
    <row r="1312">
      <c r="B1312" s="14"/>
      <c r="C1312" s="14"/>
      <c r="F1312" s="14"/>
      <c r="G1312" s="14"/>
      <c r="H1312" s="14"/>
      <c r="I1312" s="142"/>
      <c r="J1312" s="143"/>
    </row>
    <row r="1313">
      <c r="B1313" s="14"/>
      <c r="C1313" s="14"/>
      <c r="F1313" s="14"/>
      <c r="G1313" s="14"/>
      <c r="H1313" s="14"/>
      <c r="I1313" s="142"/>
      <c r="J1313" s="143"/>
    </row>
    <row r="1314">
      <c r="B1314" s="14"/>
      <c r="C1314" s="14"/>
      <c r="F1314" s="14"/>
      <c r="G1314" s="14"/>
      <c r="H1314" s="14"/>
      <c r="I1314" s="142"/>
      <c r="J1314" s="143"/>
    </row>
    <row r="1315">
      <c r="B1315" s="14"/>
      <c r="C1315" s="14"/>
      <c r="F1315" s="14"/>
      <c r="G1315" s="14"/>
      <c r="H1315" s="14"/>
      <c r="I1315" s="142"/>
      <c r="J1315" s="143"/>
    </row>
    <row r="1316">
      <c r="B1316" s="14"/>
      <c r="C1316" s="14"/>
      <c r="F1316" s="14"/>
      <c r="G1316" s="14"/>
      <c r="H1316" s="14"/>
      <c r="I1316" s="142"/>
      <c r="J1316" s="143"/>
    </row>
    <row r="1317">
      <c r="B1317" s="14"/>
      <c r="C1317" s="14"/>
      <c r="F1317" s="14"/>
      <c r="G1317" s="14"/>
      <c r="H1317" s="14"/>
      <c r="I1317" s="142"/>
      <c r="J1317" s="143"/>
    </row>
    <row r="1318">
      <c r="B1318" s="14"/>
      <c r="C1318" s="14"/>
      <c r="F1318" s="14"/>
      <c r="G1318" s="14"/>
      <c r="H1318" s="14"/>
      <c r="I1318" s="142"/>
      <c r="J1318" s="143"/>
    </row>
    <row r="1319">
      <c r="B1319" s="14"/>
      <c r="C1319" s="14"/>
      <c r="F1319" s="14"/>
      <c r="G1319" s="14"/>
      <c r="H1319" s="14"/>
      <c r="I1319" s="142"/>
      <c r="J1319" s="143"/>
    </row>
    <row r="1320">
      <c r="B1320" s="14"/>
      <c r="C1320" s="14"/>
      <c r="F1320" s="14"/>
      <c r="G1320" s="14"/>
      <c r="H1320" s="14"/>
      <c r="I1320" s="142"/>
      <c r="J1320" s="143"/>
    </row>
    <row r="1321">
      <c r="B1321" s="14"/>
      <c r="C1321" s="14"/>
      <c r="F1321" s="14"/>
      <c r="G1321" s="14"/>
      <c r="H1321" s="14"/>
      <c r="I1321" s="142"/>
      <c r="J1321" s="143"/>
    </row>
    <row r="1322">
      <c r="B1322" s="14"/>
      <c r="C1322" s="14"/>
      <c r="F1322" s="14"/>
      <c r="G1322" s="14"/>
      <c r="H1322" s="14"/>
      <c r="I1322" s="142"/>
      <c r="J1322" s="143"/>
    </row>
    <row r="1323">
      <c r="B1323" s="14"/>
      <c r="C1323" s="14"/>
      <c r="F1323" s="14"/>
      <c r="G1323" s="14"/>
      <c r="H1323" s="14"/>
      <c r="I1323" s="142"/>
      <c r="J1323" s="143"/>
    </row>
    <row r="1324">
      <c r="B1324" s="14"/>
      <c r="C1324" s="14"/>
      <c r="F1324" s="14"/>
      <c r="G1324" s="14"/>
      <c r="H1324" s="14"/>
      <c r="I1324" s="142"/>
      <c r="J1324" s="143"/>
    </row>
    <row r="1325">
      <c r="B1325" s="14"/>
      <c r="C1325" s="14"/>
      <c r="F1325" s="14"/>
      <c r="G1325" s="14"/>
      <c r="H1325" s="14"/>
      <c r="I1325" s="142"/>
      <c r="J1325" s="143"/>
    </row>
    <row r="1326">
      <c r="B1326" s="14"/>
      <c r="C1326" s="14"/>
      <c r="F1326" s="14"/>
      <c r="G1326" s="14"/>
      <c r="H1326" s="14"/>
      <c r="I1326" s="142"/>
      <c r="J1326" s="143"/>
    </row>
    <row r="1327">
      <c r="B1327" s="14"/>
      <c r="C1327" s="14"/>
      <c r="F1327" s="14"/>
      <c r="G1327" s="14"/>
      <c r="H1327" s="14"/>
      <c r="I1327" s="142"/>
      <c r="J1327" s="143"/>
    </row>
    <row r="1328">
      <c r="B1328" s="14"/>
      <c r="C1328" s="14"/>
      <c r="F1328" s="14"/>
      <c r="G1328" s="14"/>
      <c r="H1328" s="14"/>
      <c r="I1328" s="142"/>
      <c r="J1328" s="143"/>
    </row>
    <row r="1329">
      <c r="B1329" s="14"/>
      <c r="C1329" s="14"/>
      <c r="F1329" s="14"/>
      <c r="G1329" s="14"/>
      <c r="H1329" s="14"/>
      <c r="I1329" s="142"/>
      <c r="J1329" s="143"/>
    </row>
    <row r="1330">
      <c r="B1330" s="14"/>
      <c r="C1330" s="14"/>
      <c r="F1330" s="14"/>
      <c r="G1330" s="14"/>
      <c r="H1330" s="14"/>
      <c r="I1330" s="142"/>
      <c r="J1330" s="143"/>
    </row>
    <row r="1331">
      <c r="B1331" s="14"/>
      <c r="C1331" s="14"/>
      <c r="F1331" s="14"/>
      <c r="G1331" s="14"/>
      <c r="H1331" s="14"/>
      <c r="I1331" s="142"/>
      <c r="J1331" s="143"/>
    </row>
    <row r="1332">
      <c r="B1332" s="14"/>
      <c r="C1332" s="14"/>
      <c r="F1332" s="14"/>
      <c r="G1332" s="14"/>
      <c r="H1332" s="14"/>
      <c r="I1332" s="142"/>
      <c r="J1332" s="143"/>
    </row>
    <row r="1333">
      <c r="B1333" s="14"/>
      <c r="C1333" s="14"/>
      <c r="F1333" s="14"/>
      <c r="G1333" s="14"/>
      <c r="H1333" s="14"/>
      <c r="I1333" s="142"/>
      <c r="J1333" s="143"/>
    </row>
    <row r="1334">
      <c r="B1334" s="14"/>
      <c r="C1334" s="14"/>
      <c r="F1334" s="14"/>
      <c r="G1334" s="14"/>
      <c r="H1334" s="14"/>
      <c r="I1334" s="142"/>
      <c r="J1334" s="143"/>
    </row>
    <row r="1335">
      <c r="B1335" s="14"/>
      <c r="C1335" s="14"/>
      <c r="F1335" s="14"/>
      <c r="G1335" s="14"/>
      <c r="H1335" s="14"/>
      <c r="I1335" s="142"/>
      <c r="J1335" s="143"/>
    </row>
    <row r="1336">
      <c r="B1336" s="14"/>
      <c r="C1336" s="14"/>
      <c r="F1336" s="14"/>
      <c r="G1336" s="14"/>
      <c r="H1336" s="14"/>
      <c r="I1336" s="142"/>
      <c r="J1336" s="143"/>
    </row>
    <row r="1337">
      <c r="B1337" s="14"/>
      <c r="C1337" s="14"/>
      <c r="F1337" s="14"/>
      <c r="G1337" s="14"/>
      <c r="H1337" s="14"/>
      <c r="I1337" s="142"/>
      <c r="J1337" s="143"/>
    </row>
    <row r="1338">
      <c r="B1338" s="14"/>
      <c r="C1338" s="14"/>
      <c r="F1338" s="14"/>
      <c r="G1338" s="14"/>
      <c r="H1338" s="14"/>
      <c r="I1338" s="142"/>
      <c r="J1338" s="143"/>
    </row>
    <row r="1339">
      <c r="B1339" s="14"/>
      <c r="C1339" s="14"/>
      <c r="F1339" s="14"/>
      <c r="G1339" s="14"/>
      <c r="H1339" s="14"/>
      <c r="I1339" s="142"/>
      <c r="J1339" s="143"/>
    </row>
    <row r="1340">
      <c r="B1340" s="14"/>
      <c r="C1340" s="14"/>
      <c r="F1340" s="14"/>
      <c r="G1340" s="14"/>
      <c r="H1340" s="14"/>
      <c r="I1340" s="142"/>
      <c r="J1340" s="143"/>
    </row>
    <row r="1341">
      <c r="B1341" s="14"/>
      <c r="C1341" s="14"/>
      <c r="F1341" s="14"/>
      <c r="G1341" s="14"/>
      <c r="H1341" s="14"/>
      <c r="I1341" s="142"/>
      <c r="J1341" s="143"/>
    </row>
    <row r="1342">
      <c r="B1342" s="14"/>
      <c r="C1342" s="14"/>
      <c r="F1342" s="14"/>
      <c r="G1342" s="14"/>
      <c r="H1342" s="14"/>
      <c r="I1342" s="142"/>
      <c r="J1342" s="143"/>
    </row>
    <row r="1343">
      <c r="B1343" s="14"/>
      <c r="C1343" s="14"/>
      <c r="F1343" s="14"/>
      <c r="G1343" s="14"/>
      <c r="H1343" s="14"/>
      <c r="I1343" s="142"/>
      <c r="J1343" s="143"/>
    </row>
    <row r="1344">
      <c r="B1344" s="14"/>
      <c r="C1344" s="14"/>
      <c r="F1344" s="14"/>
      <c r="G1344" s="14"/>
      <c r="H1344" s="14"/>
      <c r="I1344" s="142"/>
      <c r="J1344" s="143"/>
    </row>
    <row r="1345">
      <c r="B1345" s="14"/>
      <c r="C1345" s="14"/>
      <c r="F1345" s="14"/>
      <c r="G1345" s="14"/>
      <c r="H1345" s="14"/>
      <c r="I1345" s="142"/>
      <c r="J1345" s="143"/>
    </row>
    <row r="1346">
      <c r="B1346" s="14"/>
      <c r="C1346" s="14"/>
      <c r="F1346" s="14"/>
      <c r="G1346" s="14"/>
      <c r="H1346" s="14"/>
      <c r="I1346" s="142"/>
      <c r="J1346" s="143"/>
    </row>
    <row r="1347">
      <c r="B1347" s="14"/>
      <c r="C1347" s="14"/>
      <c r="F1347" s="14"/>
      <c r="G1347" s="14"/>
      <c r="H1347" s="14"/>
      <c r="I1347" s="142"/>
      <c r="J1347" s="143"/>
    </row>
    <row r="1348">
      <c r="B1348" s="14"/>
      <c r="C1348" s="14"/>
      <c r="F1348" s="14"/>
      <c r="G1348" s="14"/>
      <c r="H1348" s="14"/>
      <c r="I1348" s="142"/>
      <c r="J1348" s="143"/>
    </row>
    <row r="1349">
      <c r="B1349" s="14"/>
      <c r="C1349" s="14"/>
      <c r="F1349" s="14"/>
      <c r="G1349" s="14"/>
      <c r="H1349" s="14"/>
      <c r="I1349" s="142"/>
      <c r="J1349" s="143"/>
    </row>
    <row r="1350">
      <c r="B1350" s="14"/>
      <c r="C1350" s="14"/>
      <c r="F1350" s="14"/>
      <c r="G1350" s="14"/>
      <c r="H1350" s="14"/>
      <c r="I1350" s="142"/>
      <c r="J1350" s="143"/>
    </row>
    <row r="1351">
      <c r="B1351" s="14"/>
      <c r="C1351" s="14"/>
      <c r="F1351" s="14"/>
      <c r="G1351" s="14"/>
      <c r="H1351" s="14"/>
      <c r="I1351" s="142"/>
      <c r="J1351" s="143"/>
    </row>
    <row r="1352">
      <c r="B1352" s="14"/>
      <c r="C1352" s="14"/>
      <c r="F1352" s="14"/>
      <c r="G1352" s="14"/>
      <c r="H1352" s="14"/>
      <c r="I1352" s="142"/>
      <c r="J1352" s="143"/>
    </row>
    <row r="1353">
      <c r="B1353" s="14"/>
      <c r="C1353" s="14"/>
      <c r="F1353" s="14"/>
      <c r="G1353" s="14"/>
      <c r="H1353" s="14"/>
      <c r="I1353" s="142"/>
      <c r="J1353" s="143"/>
    </row>
    <row r="1354">
      <c r="B1354" s="14"/>
      <c r="C1354" s="14"/>
      <c r="F1354" s="14"/>
      <c r="G1354" s="14"/>
      <c r="H1354" s="14"/>
      <c r="I1354" s="142"/>
      <c r="J1354" s="143"/>
    </row>
    <row r="1355">
      <c r="B1355" s="14"/>
      <c r="C1355" s="14"/>
      <c r="F1355" s="14"/>
      <c r="G1355" s="14"/>
      <c r="H1355" s="14"/>
      <c r="I1355" s="142"/>
      <c r="J1355" s="143"/>
    </row>
    <row r="1356">
      <c r="B1356" s="14"/>
      <c r="C1356" s="14"/>
      <c r="F1356" s="14"/>
      <c r="G1356" s="14"/>
      <c r="H1356" s="14"/>
      <c r="I1356" s="142"/>
      <c r="J1356" s="143"/>
    </row>
    <row r="1357">
      <c r="B1357" s="14"/>
      <c r="C1357" s="14"/>
      <c r="F1357" s="14"/>
      <c r="G1357" s="14"/>
      <c r="H1357" s="14"/>
      <c r="I1357" s="142"/>
      <c r="J1357" s="143"/>
    </row>
    <row r="1358">
      <c r="B1358" s="14"/>
      <c r="C1358" s="14"/>
      <c r="F1358" s="14"/>
      <c r="G1358" s="14"/>
      <c r="H1358" s="14"/>
      <c r="I1358" s="142"/>
      <c r="J1358" s="143"/>
    </row>
    <row r="1359">
      <c r="B1359" s="14"/>
      <c r="C1359" s="14"/>
      <c r="F1359" s="14"/>
      <c r="G1359" s="14"/>
      <c r="H1359" s="14"/>
      <c r="I1359" s="142"/>
      <c r="J1359" s="143"/>
    </row>
    <row r="1360">
      <c r="B1360" s="14"/>
      <c r="C1360" s="14"/>
      <c r="F1360" s="14"/>
      <c r="G1360" s="14"/>
      <c r="H1360" s="14"/>
      <c r="I1360" s="142"/>
      <c r="J1360" s="143"/>
    </row>
    <row r="1361">
      <c r="B1361" s="14"/>
      <c r="C1361" s="14"/>
      <c r="F1361" s="14"/>
      <c r="G1361" s="14"/>
      <c r="H1361" s="14"/>
      <c r="I1361" s="142"/>
      <c r="J1361" s="143"/>
    </row>
    <row r="1362">
      <c r="B1362" s="14"/>
      <c r="C1362" s="14"/>
      <c r="F1362" s="14"/>
      <c r="G1362" s="14"/>
      <c r="H1362" s="14"/>
      <c r="I1362" s="142"/>
      <c r="J1362" s="143"/>
    </row>
    <row r="1363">
      <c r="B1363" s="14"/>
      <c r="C1363" s="14"/>
      <c r="F1363" s="14"/>
      <c r="G1363" s="14"/>
      <c r="H1363" s="14"/>
      <c r="I1363" s="142"/>
      <c r="J1363" s="143"/>
    </row>
    <row r="1364">
      <c r="B1364" s="14"/>
      <c r="C1364" s="14"/>
      <c r="F1364" s="14"/>
      <c r="G1364" s="14"/>
      <c r="H1364" s="14"/>
      <c r="I1364" s="142"/>
      <c r="J1364" s="143"/>
    </row>
    <row r="1365">
      <c r="B1365" s="14"/>
      <c r="C1365" s="14"/>
      <c r="F1365" s="14"/>
      <c r="G1365" s="14"/>
      <c r="H1365" s="14"/>
      <c r="I1365" s="142"/>
      <c r="J1365" s="143"/>
    </row>
    <row r="1366">
      <c r="B1366" s="14"/>
      <c r="C1366" s="14"/>
      <c r="F1366" s="14"/>
      <c r="G1366" s="14"/>
      <c r="H1366" s="14"/>
      <c r="I1366" s="142"/>
      <c r="J1366" s="143"/>
    </row>
    <row r="1367">
      <c r="B1367" s="14"/>
      <c r="C1367" s="14"/>
      <c r="F1367" s="14"/>
      <c r="G1367" s="14"/>
      <c r="H1367" s="14"/>
      <c r="I1367" s="142"/>
      <c r="J1367" s="143"/>
    </row>
    <row r="1368">
      <c r="B1368" s="14"/>
      <c r="C1368" s="14"/>
      <c r="F1368" s="14"/>
      <c r="G1368" s="14"/>
      <c r="H1368" s="14"/>
      <c r="I1368" s="142"/>
      <c r="J1368" s="143"/>
    </row>
    <row r="1369">
      <c r="B1369" s="14"/>
      <c r="C1369" s="14"/>
      <c r="F1369" s="14"/>
      <c r="G1369" s="14"/>
      <c r="H1369" s="14"/>
      <c r="I1369" s="142"/>
      <c r="J1369" s="143"/>
    </row>
    <row r="1370">
      <c r="B1370" s="14"/>
      <c r="C1370" s="14"/>
      <c r="F1370" s="14"/>
      <c r="G1370" s="14"/>
      <c r="H1370" s="14"/>
      <c r="I1370" s="142"/>
      <c r="J1370" s="143"/>
    </row>
    <row r="1371">
      <c r="B1371" s="14"/>
      <c r="C1371" s="14"/>
      <c r="F1371" s="14"/>
      <c r="G1371" s="14"/>
      <c r="H1371" s="14"/>
      <c r="I1371" s="142"/>
      <c r="J1371" s="143"/>
    </row>
    <row r="1372">
      <c r="B1372" s="14"/>
      <c r="C1372" s="14"/>
      <c r="F1372" s="14"/>
      <c r="G1372" s="14"/>
      <c r="H1372" s="14"/>
      <c r="I1372" s="142"/>
      <c r="J1372" s="143"/>
    </row>
    <row r="1373">
      <c r="B1373" s="14"/>
      <c r="C1373" s="14"/>
      <c r="F1373" s="14"/>
      <c r="G1373" s="14"/>
      <c r="H1373" s="14"/>
      <c r="I1373" s="142"/>
      <c r="J1373" s="143"/>
    </row>
    <row r="1374">
      <c r="B1374" s="14"/>
      <c r="C1374" s="14"/>
      <c r="F1374" s="14"/>
      <c r="G1374" s="14"/>
      <c r="H1374" s="14"/>
      <c r="I1374" s="142"/>
      <c r="J1374" s="143"/>
    </row>
    <row r="1375">
      <c r="B1375" s="14"/>
      <c r="C1375" s="14"/>
      <c r="F1375" s="14"/>
      <c r="G1375" s="14"/>
      <c r="H1375" s="14"/>
      <c r="I1375" s="142"/>
      <c r="J1375" s="143"/>
    </row>
    <row r="1376">
      <c r="B1376" s="14"/>
      <c r="C1376" s="14"/>
      <c r="F1376" s="14"/>
      <c r="G1376" s="14"/>
      <c r="H1376" s="14"/>
      <c r="I1376" s="142"/>
      <c r="J1376" s="143"/>
    </row>
    <row r="1377">
      <c r="B1377" s="14"/>
      <c r="C1377" s="14"/>
      <c r="F1377" s="14"/>
      <c r="G1377" s="14"/>
      <c r="H1377" s="14"/>
      <c r="I1377" s="142"/>
      <c r="J1377" s="143"/>
    </row>
    <row r="1378">
      <c r="B1378" s="14"/>
      <c r="C1378" s="14"/>
      <c r="F1378" s="14"/>
      <c r="G1378" s="14"/>
      <c r="H1378" s="14"/>
      <c r="I1378" s="142"/>
      <c r="J1378" s="143"/>
    </row>
    <row r="1379">
      <c r="B1379" s="14"/>
      <c r="C1379" s="14"/>
      <c r="F1379" s="14"/>
      <c r="G1379" s="14"/>
      <c r="H1379" s="14"/>
      <c r="I1379" s="142"/>
      <c r="J1379" s="143"/>
    </row>
    <row r="1380">
      <c r="B1380" s="14"/>
      <c r="C1380" s="14"/>
      <c r="F1380" s="14"/>
      <c r="G1380" s="14"/>
      <c r="H1380" s="14"/>
      <c r="I1380" s="142"/>
      <c r="J1380" s="143"/>
    </row>
    <row r="1381">
      <c r="B1381" s="14"/>
      <c r="C1381" s="14"/>
      <c r="F1381" s="14"/>
      <c r="G1381" s="14"/>
      <c r="H1381" s="14"/>
      <c r="I1381" s="142"/>
      <c r="J1381" s="143"/>
    </row>
    <row r="1382">
      <c r="B1382" s="14"/>
      <c r="C1382" s="14"/>
      <c r="F1382" s="14"/>
      <c r="G1382" s="14"/>
      <c r="H1382" s="14"/>
      <c r="I1382" s="142"/>
      <c r="J1382" s="143"/>
    </row>
    <row r="1383">
      <c r="B1383" s="14"/>
      <c r="C1383" s="14"/>
      <c r="F1383" s="14"/>
      <c r="G1383" s="14"/>
      <c r="H1383" s="14"/>
      <c r="I1383" s="142"/>
      <c r="J1383" s="143"/>
    </row>
    <row r="1384">
      <c r="B1384" s="14"/>
      <c r="C1384" s="14"/>
      <c r="F1384" s="14"/>
      <c r="G1384" s="14"/>
      <c r="H1384" s="14"/>
      <c r="I1384" s="142"/>
      <c r="J1384" s="143"/>
    </row>
    <row r="1385">
      <c r="B1385" s="14"/>
      <c r="C1385" s="14"/>
      <c r="F1385" s="14"/>
      <c r="G1385" s="14"/>
      <c r="H1385" s="14"/>
      <c r="I1385" s="142"/>
      <c r="J1385" s="143"/>
    </row>
    <row r="1386">
      <c r="B1386" s="14"/>
      <c r="C1386" s="14"/>
      <c r="F1386" s="14"/>
      <c r="G1386" s="14"/>
      <c r="H1386" s="14"/>
      <c r="I1386" s="142"/>
      <c r="J1386" s="143"/>
    </row>
    <row r="1387">
      <c r="B1387" s="14"/>
      <c r="C1387" s="14"/>
      <c r="F1387" s="14"/>
      <c r="G1387" s="14"/>
      <c r="H1387" s="14"/>
      <c r="I1387" s="142"/>
      <c r="J1387" s="143"/>
    </row>
    <row r="1388">
      <c r="B1388" s="14"/>
      <c r="C1388" s="14"/>
      <c r="F1388" s="14"/>
      <c r="G1388" s="14"/>
      <c r="H1388" s="14"/>
      <c r="I1388" s="142"/>
      <c r="J1388" s="143"/>
    </row>
    <row r="1389">
      <c r="B1389" s="14"/>
      <c r="C1389" s="14"/>
      <c r="F1389" s="14"/>
      <c r="G1389" s="14"/>
      <c r="H1389" s="14"/>
      <c r="I1389" s="142"/>
      <c r="J1389" s="143"/>
    </row>
    <row r="1390">
      <c r="B1390" s="14"/>
      <c r="C1390" s="14"/>
      <c r="F1390" s="14"/>
      <c r="G1390" s="14"/>
      <c r="H1390" s="14"/>
      <c r="I1390" s="142"/>
      <c r="J1390" s="143"/>
    </row>
    <row r="1391">
      <c r="B1391" s="14"/>
      <c r="C1391" s="14"/>
      <c r="F1391" s="14"/>
      <c r="G1391" s="14"/>
      <c r="H1391" s="14"/>
      <c r="I1391" s="142"/>
      <c r="J1391" s="143"/>
    </row>
    <row r="1392">
      <c r="B1392" s="14"/>
      <c r="C1392" s="14"/>
      <c r="F1392" s="14"/>
      <c r="G1392" s="14"/>
      <c r="H1392" s="14"/>
      <c r="I1392" s="142"/>
      <c r="J1392" s="143"/>
    </row>
    <row r="1393">
      <c r="B1393" s="14"/>
      <c r="C1393" s="14"/>
      <c r="F1393" s="14"/>
      <c r="G1393" s="14"/>
      <c r="H1393" s="14"/>
      <c r="I1393" s="142"/>
      <c r="J1393" s="143"/>
    </row>
    <row r="1394">
      <c r="B1394" s="14"/>
      <c r="C1394" s="14"/>
      <c r="F1394" s="14"/>
      <c r="G1394" s="14"/>
      <c r="H1394" s="14"/>
      <c r="I1394" s="142"/>
      <c r="J1394" s="143"/>
    </row>
    <row r="1395">
      <c r="B1395" s="14"/>
      <c r="C1395" s="14"/>
      <c r="F1395" s="14"/>
      <c r="G1395" s="14"/>
      <c r="H1395" s="14"/>
      <c r="I1395" s="142"/>
      <c r="J1395" s="143"/>
    </row>
    <row r="1396">
      <c r="B1396" s="14"/>
      <c r="C1396" s="14"/>
      <c r="F1396" s="14"/>
      <c r="G1396" s="14"/>
      <c r="H1396" s="14"/>
      <c r="I1396" s="142"/>
      <c r="J1396" s="143"/>
    </row>
    <row r="1397">
      <c r="B1397" s="14"/>
      <c r="C1397" s="14"/>
      <c r="F1397" s="14"/>
      <c r="G1397" s="14"/>
      <c r="H1397" s="14"/>
      <c r="I1397" s="142"/>
      <c r="J1397" s="143"/>
    </row>
    <row r="1398">
      <c r="B1398" s="14"/>
      <c r="C1398" s="14"/>
      <c r="F1398" s="14"/>
      <c r="G1398" s="14"/>
      <c r="H1398" s="14"/>
      <c r="I1398" s="142"/>
      <c r="J1398" s="143"/>
    </row>
    <row r="1399">
      <c r="B1399" s="14"/>
      <c r="C1399" s="14"/>
      <c r="F1399" s="14"/>
      <c r="G1399" s="14"/>
      <c r="H1399" s="14"/>
      <c r="I1399" s="142"/>
      <c r="J1399" s="143"/>
    </row>
    <row r="1400">
      <c r="B1400" s="14"/>
      <c r="C1400" s="14"/>
      <c r="F1400" s="14"/>
      <c r="G1400" s="14"/>
      <c r="H1400" s="14"/>
      <c r="I1400" s="142"/>
      <c r="J1400" s="143"/>
    </row>
    <row r="1401">
      <c r="B1401" s="14"/>
      <c r="C1401" s="14"/>
      <c r="F1401" s="14"/>
      <c r="G1401" s="14"/>
      <c r="H1401" s="14"/>
      <c r="I1401" s="142"/>
      <c r="J1401" s="143"/>
    </row>
    <row r="1402">
      <c r="B1402" s="14"/>
      <c r="C1402" s="14"/>
      <c r="F1402" s="14"/>
      <c r="G1402" s="14"/>
      <c r="H1402" s="14"/>
      <c r="I1402" s="142"/>
      <c r="J1402" s="143"/>
    </row>
    <row r="1403">
      <c r="B1403" s="14"/>
      <c r="C1403" s="14"/>
      <c r="F1403" s="14"/>
      <c r="G1403" s="14"/>
      <c r="H1403" s="14"/>
      <c r="I1403" s="142"/>
      <c r="J1403" s="143"/>
    </row>
    <row r="1404">
      <c r="B1404" s="14"/>
      <c r="C1404" s="14"/>
      <c r="F1404" s="14"/>
      <c r="G1404" s="14"/>
      <c r="H1404" s="14"/>
      <c r="I1404" s="142"/>
      <c r="J1404" s="143"/>
    </row>
    <row r="1405">
      <c r="B1405" s="14"/>
      <c r="C1405" s="14"/>
      <c r="F1405" s="14"/>
      <c r="G1405" s="14"/>
      <c r="H1405" s="14"/>
      <c r="I1405" s="142"/>
      <c r="J1405" s="143"/>
    </row>
    <row r="1406">
      <c r="B1406" s="14"/>
      <c r="C1406" s="14"/>
      <c r="F1406" s="14"/>
      <c r="G1406" s="14"/>
      <c r="H1406" s="14"/>
      <c r="I1406" s="142"/>
      <c r="J1406" s="143"/>
    </row>
    <row r="1407">
      <c r="B1407" s="14"/>
      <c r="C1407" s="14"/>
      <c r="F1407" s="14"/>
      <c r="G1407" s="14"/>
      <c r="H1407" s="14"/>
      <c r="I1407" s="142"/>
      <c r="J1407" s="143"/>
    </row>
    <row r="1408">
      <c r="B1408" s="14"/>
      <c r="C1408" s="14"/>
      <c r="F1408" s="14"/>
      <c r="G1408" s="14"/>
      <c r="H1408" s="14"/>
      <c r="I1408" s="142"/>
      <c r="J1408" s="143"/>
    </row>
    <row r="1409">
      <c r="B1409" s="14"/>
      <c r="C1409" s="14"/>
      <c r="F1409" s="14"/>
      <c r="G1409" s="14"/>
      <c r="H1409" s="14"/>
      <c r="I1409" s="142"/>
      <c r="J1409" s="143"/>
    </row>
    <row r="1410">
      <c r="B1410" s="14"/>
      <c r="C1410" s="14"/>
      <c r="F1410" s="14"/>
      <c r="G1410" s="14"/>
      <c r="H1410" s="14"/>
      <c r="I1410" s="142"/>
      <c r="J1410" s="143"/>
    </row>
    <row r="1411">
      <c r="B1411" s="14"/>
      <c r="C1411" s="14"/>
      <c r="F1411" s="14"/>
      <c r="G1411" s="14"/>
      <c r="H1411" s="14"/>
      <c r="I1411" s="142"/>
      <c r="J1411" s="143"/>
    </row>
    <row r="1412">
      <c r="B1412" s="14"/>
      <c r="C1412" s="14"/>
      <c r="F1412" s="14"/>
      <c r="G1412" s="14"/>
      <c r="H1412" s="14"/>
      <c r="I1412" s="142"/>
      <c r="J1412" s="143"/>
    </row>
    <row r="1413">
      <c r="B1413" s="14"/>
      <c r="C1413" s="14"/>
      <c r="F1413" s="14"/>
      <c r="G1413" s="14"/>
      <c r="H1413" s="14"/>
      <c r="I1413" s="142"/>
      <c r="J1413" s="143"/>
    </row>
    <row r="1414">
      <c r="B1414" s="14"/>
      <c r="C1414" s="14"/>
      <c r="F1414" s="14"/>
      <c r="G1414" s="14"/>
      <c r="H1414" s="14"/>
      <c r="I1414" s="142"/>
      <c r="J1414" s="143"/>
    </row>
    <row r="1415">
      <c r="B1415" s="14"/>
      <c r="C1415" s="14"/>
      <c r="F1415" s="14"/>
      <c r="G1415" s="14"/>
      <c r="H1415" s="14"/>
      <c r="I1415" s="142"/>
      <c r="J1415" s="143"/>
    </row>
    <row r="1416">
      <c r="B1416" s="14"/>
      <c r="C1416" s="14"/>
      <c r="F1416" s="14"/>
      <c r="G1416" s="14"/>
      <c r="H1416" s="14"/>
      <c r="I1416" s="142"/>
      <c r="J1416" s="143"/>
    </row>
    <row r="1417">
      <c r="B1417" s="14"/>
      <c r="C1417" s="14"/>
      <c r="F1417" s="14"/>
      <c r="G1417" s="14"/>
      <c r="H1417" s="14"/>
      <c r="I1417" s="142"/>
      <c r="J1417" s="143"/>
    </row>
    <row r="1418">
      <c r="B1418" s="14"/>
      <c r="C1418" s="14"/>
      <c r="F1418" s="14"/>
      <c r="G1418" s="14"/>
      <c r="H1418" s="14"/>
      <c r="I1418" s="142"/>
      <c r="J1418" s="143"/>
    </row>
    <row r="1419">
      <c r="B1419" s="14"/>
      <c r="C1419" s="14"/>
      <c r="F1419" s="14"/>
      <c r="G1419" s="14"/>
      <c r="H1419" s="14"/>
      <c r="I1419" s="142"/>
      <c r="J1419" s="143"/>
    </row>
    <row r="1420">
      <c r="B1420" s="14"/>
      <c r="C1420" s="14"/>
      <c r="F1420" s="14"/>
      <c r="G1420" s="14"/>
      <c r="H1420" s="14"/>
      <c r="I1420" s="142"/>
      <c r="J1420" s="143"/>
    </row>
    <row r="1421">
      <c r="B1421" s="14"/>
      <c r="C1421" s="14"/>
      <c r="F1421" s="14"/>
      <c r="G1421" s="14"/>
      <c r="H1421" s="14"/>
      <c r="I1421" s="142"/>
      <c r="J1421" s="143"/>
    </row>
    <row r="1422">
      <c r="B1422" s="14"/>
      <c r="C1422" s="14"/>
      <c r="F1422" s="14"/>
      <c r="G1422" s="14"/>
      <c r="H1422" s="14"/>
      <c r="I1422" s="142"/>
      <c r="J1422" s="143"/>
    </row>
    <row r="1423">
      <c r="B1423" s="14"/>
      <c r="C1423" s="14"/>
      <c r="F1423" s="14"/>
      <c r="G1423" s="14"/>
      <c r="H1423" s="14"/>
      <c r="I1423" s="142"/>
      <c r="J1423" s="143"/>
    </row>
    <row r="1424">
      <c r="B1424" s="14"/>
      <c r="C1424" s="14"/>
      <c r="F1424" s="14"/>
      <c r="G1424" s="14"/>
      <c r="H1424" s="14"/>
      <c r="I1424" s="142"/>
      <c r="J1424" s="143"/>
    </row>
    <row r="1425">
      <c r="B1425" s="14"/>
      <c r="C1425" s="14"/>
      <c r="F1425" s="14"/>
      <c r="G1425" s="14"/>
      <c r="H1425" s="14"/>
      <c r="I1425" s="142"/>
      <c r="J1425" s="143"/>
    </row>
    <row r="1426">
      <c r="B1426" s="14"/>
      <c r="C1426" s="14"/>
      <c r="F1426" s="14"/>
      <c r="G1426" s="14"/>
      <c r="H1426" s="14"/>
      <c r="I1426" s="142"/>
      <c r="J1426" s="143"/>
    </row>
    <row r="1427">
      <c r="B1427" s="14"/>
      <c r="C1427" s="14"/>
      <c r="F1427" s="14"/>
      <c r="G1427" s="14"/>
      <c r="H1427" s="14"/>
      <c r="I1427" s="142"/>
      <c r="J1427" s="143"/>
    </row>
    <row r="1428">
      <c r="B1428" s="14"/>
      <c r="C1428" s="14"/>
      <c r="F1428" s="14"/>
      <c r="G1428" s="14"/>
      <c r="H1428" s="14"/>
      <c r="I1428" s="142"/>
      <c r="J1428" s="143"/>
    </row>
    <row r="1429">
      <c r="B1429" s="14"/>
      <c r="C1429" s="14"/>
      <c r="F1429" s="14"/>
      <c r="G1429" s="14"/>
      <c r="H1429" s="14"/>
      <c r="I1429" s="142"/>
      <c r="J1429" s="143"/>
    </row>
    <row r="1430">
      <c r="B1430" s="14"/>
      <c r="C1430" s="14"/>
      <c r="F1430" s="14"/>
      <c r="G1430" s="14"/>
      <c r="H1430" s="14"/>
      <c r="I1430" s="142"/>
      <c r="J1430" s="143"/>
    </row>
    <row r="1431">
      <c r="B1431" s="14"/>
      <c r="C1431" s="14"/>
      <c r="F1431" s="14"/>
      <c r="G1431" s="14"/>
      <c r="H1431" s="14"/>
      <c r="I1431" s="142"/>
      <c r="J1431" s="143"/>
    </row>
    <row r="1432">
      <c r="B1432" s="14"/>
      <c r="C1432" s="14"/>
      <c r="F1432" s="14"/>
      <c r="G1432" s="14"/>
      <c r="H1432" s="14"/>
      <c r="I1432" s="142"/>
      <c r="J1432" s="143"/>
    </row>
    <row r="1433">
      <c r="B1433" s="14"/>
      <c r="C1433" s="14"/>
      <c r="F1433" s="14"/>
      <c r="G1433" s="14"/>
      <c r="H1433" s="14"/>
      <c r="I1433" s="142"/>
      <c r="J1433" s="143"/>
    </row>
    <row r="1434">
      <c r="B1434" s="14"/>
      <c r="C1434" s="14"/>
      <c r="F1434" s="14"/>
      <c r="G1434" s="14"/>
      <c r="H1434" s="14"/>
      <c r="I1434" s="142"/>
      <c r="J1434" s="143"/>
    </row>
    <row r="1435">
      <c r="B1435" s="14"/>
      <c r="C1435" s="14"/>
      <c r="F1435" s="14"/>
      <c r="G1435" s="14"/>
      <c r="H1435" s="14"/>
      <c r="I1435" s="142"/>
      <c r="J1435" s="143"/>
    </row>
    <row r="1436">
      <c r="B1436" s="14"/>
      <c r="C1436" s="14"/>
      <c r="F1436" s="14"/>
      <c r="G1436" s="14"/>
      <c r="H1436" s="14"/>
      <c r="I1436" s="142"/>
      <c r="J1436" s="143"/>
    </row>
    <row r="1437">
      <c r="B1437" s="14"/>
      <c r="C1437" s="14"/>
      <c r="F1437" s="14"/>
      <c r="G1437" s="14"/>
      <c r="H1437" s="14"/>
      <c r="I1437" s="142"/>
      <c r="J1437" s="143"/>
    </row>
    <row r="1438">
      <c r="B1438" s="14"/>
      <c r="C1438" s="14"/>
      <c r="F1438" s="14"/>
      <c r="G1438" s="14"/>
      <c r="H1438" s="14"/>
      <c r="I1438" s="142"/>
      <c r="J1438" s="143"/>
    </row>
    <row r="1439">
      <c r="B1439" s="14"/>
      <c r="C1439" s="14"/>
      <c r="F1439" s="14"/>
      <c r="G1439" s="14"/>
      <c r="H1439" s="14"/>
      <c r="I1439" s="142"/>
      <c r="J1439" s="143"/>
    </row>
    <row r="1440">
      <c r="B1440" s="14"/>
      <c r="C1440" s="14"/>
      <c r="F1440" s="14"/>
      <c r="G1440" s="14"/>
      <c r="H1440" s="14"/>
      <c r="I1440" s="142"/>
      <c r="J1440" s="143"/>
    </row>
    <row r="1441">
      <c r="B1441" s="14"/>
      <c r="C1441" s="14"/>
      <c r="F1441" s="14"/>
      <c r="G1441" s="14"/>
      <c r="H1441" s="14"/>
      <c r="I1441" s="142"/>
      <c r="J1441" s="143"/>
    </row>
    <row r="1442">
      <c r="B1442" s="14"/>
      <c r="C1442" s="14"/>
      <c r="F1442" s="14"/>
      <c r="G1442" s="14"/>
      <c r="H1442" s="14"/>
      <c r="I1442" s="142"/>
      <c r="J1442" s="143"/>
    </row>
    <row r="1443">
      <c r="B1443" s="14"/>
      <c r="C1443" s="14"/>
      <c r="F1443" s="14"/>
      <c r="G1443" s="14"/>
      <c r="H1443" s="14"/>
      <c r="I1443" s="142"/>
      <c r="J1443" s="143"/>
    </row>
    <row r="1444">
      <c r="B1444" s="14"/>
      <c r="C1444" s="14"/>
      <c r="F1444" s="14"/>
      <c r="G1444" s="14"/>
      <c r="H1444" s="14"/>
      <c r="I1444" s="142"/>
      <c r="J1444" s="143"/>
    </row>
    <row r="1445">
      <c r="B1445" s="14"/>
      <c r="C1445" s="14"/>
      <c r="F1445" s="14"/>
      <c r="G1445" s="14"/>
      <c r="H1445" s="14"/>
      <c r="I1445" s="142"/>
      <c r="J1445" s="143"/>
    </row>
    <row r="1446">
      <c r="B1446" s="14"/>
      <c r="C1446" s="14"/>
      <c r="F1446" s="14"/>
      <c r="G1446" s="14"/>
      <c r="H1446" s="14"/>
      <c r="I1446" s="142"/>
      <c r="J1446" s="143"/>
    </row>
    <row r="1447">
      <c r="B1447" s="14"/>
      <c r="C1447" s="14"/>
      <c r="F1447" s="14"/>
      <c r="G1447" s="14"/>
      <c r="H1447" s="14"/>
      <c r="I1447" s="142"/>
      <c r="J1447" s="143"/>
    </row>
    <row r="1448">
      <c r="B1448" s="14"/>
      <c r="C1448" s="14"/>
      <c r="F1448" s="14"/>
      <c r="G1448" s="14"/>
      <c r="H1448" s="14"/>
      <c r="I1448" s="142"/>
      <c r="J1448" s="143"/>
    </row>
    <row r="1449">
      <c r="B1449" s="14"/>
      <c r="C1449" s="14"/>
      <c r="F1449" s="14"/>
      <c r="G1449" s="14"/>
      <c r="H1449" s="14"/>
      <c r="I1449" s="142"/>
      <c r="J1449" s="143"/>
    </row>
    <row r="1450">
      <c r="B1450" s="14"/>
      <c r="C1450" s="14"/>
      <c r="F1450" s="14"/>
      <c r="G1450" s="14"/>
      <c r="H1450" s="14"/>
      <c r="I1450" s="142"/>
      <c r="J1450" s="143"/>
    </row>
    <row r="1451">
      <c r="B1451" s="14"/>
      <c r="C1451" s="14"/>
      <c r="F1451" s="14"/>
      <c r="G1451" s="14"/>
      <c r="H1451" s="14"/>
      <c r="I1451" s="142"/>
      <c r="J1451" s="143"/>
    </row>
    <row r="1452">
      <c r="B1452" s="14"/>
      <c r="C1452" s="14"/>
      <c r="F1452" s="14"/>
      <c r="G1452" s="14"/>
      <c r="H1452" s="14"/>
      <c r="I1452" s="142"/>
      <c r="J1452" s="143"/>
    </row>
    <row r="1453">
      <c r="B1453" s="14"/>
      <c r="C1453" s="14"/>
      <c r="F1453" s="14"/>
      <c r="G1453" s="14"/>
      <c r="H1453" s="14"/>
      <c r="I1453" s="142"/>
      <c r="J1453" s="143"/>
    </row>
    <row r="1454">
      <c r="B1454" s="14"/>
      <c r="C1454" s="14"/>
      <c r="F1454" s="14"/>
      <c r="G1454" s="14"/>
      <c r="H1454" s="14"/>
      <c r="I1454" s="142"/>
      <c r="J1454" s="143"/>
    </row>
    <row r="1455">
      <c r="B1455" s="14"/>
      <c r="C1455" s="14"/>
      <c r="F1455" s="14"/>
      <c r="G1455" s="14"/>
      <c r="H1455" s="14"/>
      <c r="I1455" s="142"/>
      <c r="J1455" s="143"/>
    </row>
    <row r="1456">
      <c r="B1456" s="14"/>
      <c r="C1456" s="14"/>
      <c r="F1456" s="14"/>
      <c r="G1456" s="14"/>
      <c r="H1456" s="14"/>
      <c r="I1456" s="142"/>
      <c r="J1456" s="143"/>
    </row>
    <row r="1457">
      <c r="B1457" s="14"/>
      <c r="C1457" s="14"/>
      <c r="F1457" s="14"/>
      <c r="G1457" s="14"/>
      <c r="H1457" s="14"/>
      <c r="I1457" s="142"/>
      <c r="J1457" s="143"/>
    </row>
    <row r="1458">
      <c r="B1458" s="14"/>
      <c r="C1458" s="14"/>
      <c r="F1458" s="14"/>
      <c r="G1458" s="14"/>
      <c r="H1458" s="14"/>
      <c r="I1458" s="142"/>
      <c r="J1458" s="143"/>
    </row>
    <row r="1459">
      <c r="B1459" s="14"/>
      <c r="C1459" s="14"/>
      <c r="F1459" s="14"/>
      <c r="G1459" s="14"/>
      <c r="H1459" s="14"/>
      <c r="I1459" s="142"/>
      <c r="J1459" s="143"/>
    </row>
    <row r="1460">
      <c r="B1460" s="14"/>
      <c r="C1460" s="14"/>
      <c r="F1460" s="14"/>
      <c r="G1460" s="14"/>
      <c r="H1460" s="14"/>
      <c r="I1460" s="142"/>
      <c r="J1460" s="143"/>
    </row>
    <row r="1461">
      <c r="B1461" s="14"/>
      <c r="C1461" s="14"/>
      <c r="F1461" s="14"/>
      <c r="G1461" s="14"/>
      <c r="H1461" s="14"/>
      <c r="I1461" s="142"/>
      <c r="J1461" s="143"/>
    </row>
    <row r="1462">
      <c r="B1462" s="14"/>
      <c r="C1462" s="14"/>
      <c r="F1462" s="14"/>
      <c r="G1462" s="14"/>
      <c r="H1462" s="14"/>
      <c r="I1462" s="142"/>
      <c r="J1462" s="143"/>
    </row>
    <row r="1463">
      <c r="B1463" s="14"/>
      <c r="C1463" s="14"/>
      <c r="F1463" s="14"/>
      <c r="G1463" s="14"/>
      <c r="H1463" s="14"/>
      <c r="I1463" s="142"/>
      <c r="J1463" s="143"/>
    </row>
    <row r="1464">
      <c r="B1464" s="14"/>
      <c r="C1464" s="14"/>
      <c r="F1464" s="14"/>
      <c r="G1464" s="14"/>
      <c r="H1464" s="14"/>
      <c r="I1464" s="142"/>
      <c r="J1464" s="143"/>
    </row>
    <row r="1465">
      <c r="B1465" s="14"/>
      <c r="C1465" s="14"/>
      <c r="F1465" s="14"/>
      <c r="G1465" s="14"/>
      <c r="H1465" s="14"/>
      <c r="I1465" s="142"/>
      <c r="J1465" s="143"/>
    </row>
    <row r="1466">
      <c r="B1466" s="14"/>
      <c r="C1466" s="14"/>
      <c r="F1466" s="14"/>
      <c r="G1466" s="14"/>
      <c r="H1466" s="14"/>
      <c r="I1466" s="142"/>
      <c r="J1466" s="143"/>
    </row>
    <row r="1467">
      <c r="B1467" s="14"/>
      <c r="C1467" s="14"/>
      <c r="F1467" s="14"/>
      <c r="G1467" s="14"/>
      <c r="H1467" s="14"/>
      <c r="I1467" s="142"/>
      <c r="J1467" s="143"/>
    </row>
    <row r="1468">
      <c r="B1468" s="14"/>
      <c r="C1468" s="14"/>
      <c r="F1468" s="14"/>
      <c r="G1468" s="14"/>
      <c r="H1468" s="14"/>
      <c r="I1468" s="142"/>
      <c r="J1468" s="143"/>
    </row>
    <row r="1469">
      <c r="B1469" s="14"/>
      <c r="C1469" s="14"/>
      <c r="F1469" s="14"/>
      <c r="G1469" s="14"/>
      <c r="H1469" s="14"/>
      <c r="I1469" s="142"/>
      <c r="J1469" s="143"/>
    </row>
    <row r="1470">
      <c r="B1470" s="14"/>
      <c r="C1470" s="14"/>
      <c r="F1470" s="14"/>
      <c r="G1470" s="14"/>
      <c r="H1470" s="14"/>
      <c r="I1470" s="142"/>
      <c r="J1470" s="143"/>
    </row>
    <row r="1471">
      <c r="B1471" s="14"/>
      <c r="C1471" s="14"/>
      <c r="F1471" s="14"/>
      <c r="G1471" s="14"/>
      <c r="H1471" s="14"/>
      <c r="I1471" s="142"/>
      <c r="J1471" s="143"/>
    </row>
    <row r="1472">
      <c r="B1472" s="14"/>
      <c r="C1472" s="14"/>
      <c r="F1472" s="14"/>
      <c r="G1472" s="14"/>
      <c r="H1472" s="14"/>
      <c r="I1472" s="142"/>
      <c r="J1472" s="143"/>
    </row>
    <row r="1473">
      <c r="B1473" s="14"/>
      <c r="C1473" s="14"/>
      <c r="F1473" s="14"/>
      <c r="G1473" s="14"/>
      <c r="H1473" s="14"/>
      <c r="I1473" s="142"/>
      <c r="J1473" s="143"/>
    </row>
    <row r="1474">
      <c r="B1474" s="14"/>
      <c r="C1474" s="14"/>
      <c r="F1474" s="14"/>
      <c r="G1474" s="14"/>
      <c r="H1474" s="14"/>
      <c r="I1474" s="142"/>
      <c r="J1474" s="143"/>
    </row>
    <row r="1475">
      <c r="B1475" s="14"/>
      <c r="C1475" s="14"/>
      <c r="F1475" s="14"/>
      <c r="G1475" s="14"/>
      <c r="H1475" s="14"/>
      <c r="I1475" s="142"/>
      <c r="J1475" s="143"/>
    </row>
    <row r="1476">
      <c r="B1476" s="14"/>
      <c r="C1476" s="14"/>
      <c r="F1476" s="14"/>
      <c r="G1476" s="14"/>
      <c r="H1476" s="14"/>
      <c r="I1476" s="142"/>
      <c r="J1476" s="143"/>
    </row>
    <row r="1477">
      <c r="B1477" s="14"/>
      <c r="C1477" s="14"/>
      <c r="F1477" s="14"/>
      <c r="G1477" s="14"/>
      <c r="H1477" s="14"/>
      <c r="I1477" s="142"/>
      <c r="J1477" s="143"/>
    </row>
    <row r="1478">
      <c r="B1478" s="14"/>
      <c r="C1478" s="14"/>
      <c r="F1478" s="14"/>
      <c r="G1478" s="14"/>
      <c r="H1478" s="14"/>
      <c r="I1478" s="142"/>
      <c r="J1478" s="143"/>
    </row>
    <row r="1479">
      <c r="B1479" s="14"/>
      <c r="C1479" s="14"/>
      <c r="F1479" s="14"/>
      <c r="G1479" s="14"/>
      <c r="H1479" s="14"/>
      <c r="I1479" s="142"/>
      <c r="J1479" s="143"/>
    </row>
    <row r="1480">
      <c r="B1480" s="14"/>
      <c r="C1480" s="14"/>
      <c r="F1480" s="14"/>
      <c r="G1480" s="14"/>
      <c r="H1480" s="14"/>
      <c r="I1480" s="142"/>
      <c r="J1480" s="143"/>
    </row>
    <row r="1481">
      <c r="B1481" s="14"/>
      <c r="C1481" s="14"/>
      <c r="F1481" s="14"/>
      <c r="G1481" s="14"/>
      <c r="H1481" s="14"/>
      <c r="I1481" s="142"/>
      <c r="J1481" s="143"/>
    </row>
    <row r="1482">
      <c r="B1482" s="14"/>
      <c r="C1482" s="14"/>
      <c r="F1482" s="14"/>
      <c r="G1482" s="14"/>
      <c r="H1482" s="14"/>
      <c r="I1482" s="142"/>
      <c r="J1482" s="143"/>
    </row>
    <row r="1483">
      <c r="B1483" s="14"/>
      <c r="C1483" s="14"/>
      <c r="F1483" s="14"/>
      <c r="G1483" s="14"/>
      <c r="H1483" s="14"/>
      <c r="I1483" s="142"/>
      <c r="J1483" s="143"/>
    </row>
    <row r="1484">
      <c r="B1484" s="14"/>
      <c r="C1484" s="14"/>
      <c r="F1484" s="14"/>
      <c r="G1484" s="14"/>
      <c r="H1484" s="14"/>
      <c r="I1484" s="142"/>
      <c r="J1484" s="143"/>
    </row>
    <row r="1485">
      <c r="B1485" s="14"/>
      <c r="C1485" s="14"/>
      <c r="F1485" s="14"/>
      <c r="G1485" s="14"/>
      <c r="H1485" s="14"/>
      <c r="I1485" s="142"/>
      <c r="J1485" s="143"/>
    </row>
    <row r="1486">
      <c r="B1486" s="14"/>
      <c r="C1486" s="14"/>
      <c r="F1486" s="14"/>
      <c r="G1486" s="14"/>
      <c r="H1486" s="14"/>
      <c r="I1486" s="142"/>
      <c r="J1486" s="143"/>
    </row>
    <row r="1487">
      <c r="B1487" s="14"/>
      <c r="C1487" s="14"/>
      <c r="F1487" s="14"/>
      <c r="G1487" s="14"/>
      <c r="H1487" s="14"/>
      <c r="I1487" s="142"/>
      <c r="J1487" s="143"/>
    </row>
    <row r="1488">
      <c r="B1488" s="14"/>
      <c r="C1488" s="14"/>
      <c r="F1488" s="14"/>
      <c r="G1488" s="14"/>
      <c r="H1488" s="14"/>
      <c r="I1488" s="142"/>
      <c r="J1488" s="143"/>
    </row>
    <row r="1489">
      <c r="B1489" s="14"/>
      <c r="C1489" s="14"/>
      <c r="F1489" s="14"/>
      <c r="G1489" s="14"/>
      <c r="H1489" s="14"/>
      <c r="I1489" s="142"/>
      <c r="J1489" s="143"/>
    </row>
    <row r="1490">
      <c r="B1490" s="14"/>
      <c r="C1490" s="14"/>
      <c r="F1490" s="14"/>
      <c r="G1490" s="14"/>
      <c r="H1490" s="14"/>
      <c r="I1490" s="142"/>
      <c r="J1490" s="143"/>
    </row>
    <row r="1491">
      <c r="B1491" s="14"/>
      <c r="C1491" s="14"/>
      <c r="F1491" s="14"/>
      <c r="G1491" s="14"/>
      <c r="H1491" s="14"/>
      <c r="I1491" s="142"/>
      <c r="J1491" s="143"/>
    </row>
    <row r="1492">
      <c r="B1492" s="14"/>
      <c r="C1492" s="14"/>
      <c r="F1492" s="14"/>
      <c r="G1492" s="14"/>
      <c r="H1492" s="14"/>
      <c r="I1492" s="142"/>
      <c r="J1492" s="143"/>
    </row>
    <row r="1493">
      <c r="B1493" s="14"/>
      <c r="C1493" s="14"/>
      <c r="F1493" s="14"/>
      <c r="G1493" s="14"/>
      <c r="H1493" s="14"/>
      <c r="I1493" s="142"/>
      <c r="J1493" s="143"/>
    </row>
    <row r="1494">
      <c r="B1494" s="14"/>
      <c r="C1494" s="14"/>
      <c r="F1494" s="14"/>
      <c r="G1494" s="14"/>
      <c r="H1494" s="14"/>
      <c r="I1494" s="142"/>
      <c r="J1494" s="143"/>
    </row>
    <row r="1495">
      <c r="B1495" s="14"/>
      <c r="C1495" s="14"/>
      <c r="F1495" s="14"/>
      <c r="G1495" s="14"/>
      <c r="H1495" s="14"/>
      <c r="I1495" s="142"/>
      <c r="J1495" s="143"/>
    </row>
    <row r="1496">
      <c r="B1496" s="14"/>
      <c r="C1496" s="14"/>
      <c r="F1496" s="14"/>
      <c r="G1496" s="14"/>
      <c r="H1496" s="14"/>
      <c r="I1496" s="142"/>
      <c r="J1496" s="143"/>
    </row>
    <row r="1497">
      <c r="B1497" s="14"/>
      <c r="C1497" s="14"/>
      <c r="F1497" s="14"/>
      <c r="G1497" s="14"/>
      <c r="H1497" s="14"/>
      <c r="I1497" s="142"/>
      <c r="J1497" s="143"/>
    </row>
    <row r="1498">
      <c r="B1498" s="14"/>
      <c r="C1498" s="14"/>
      <c r="F1498" s="14"/>
      <c r="G1498" s="14"/>
      <c r="H1498" s="14"/>
      <c r="I1498" s="142"/>
      <c r="J1498" s="143"/>
    </row>
    <row r="1499">
      <c r="B1499" s="14"/>
      <c r="C1499" s="14"/>
      <c r="F1499" s="14"/>
      <c r="G1499" s="14"/>
      <c r="H1499" s="14"/>
      <c r="I1499" s="142"/>
      <c r="J1499" s="143"/>
    </row>
    <row r="1500">
      <c r="B1500" s="14"/>
      <c r="C1500" s="14"/>
      <c r="F1500" s="14"/>
      <c r="G1500" s="14"/>
      <c r="H1500" s="14"/>
      <c r="I1500" s="142"/>
      <c r="J1500" s="143"/>
    </row>
    <row r="1501">
      <c r="B1501" s="14"/>
      <c r="C1501" s="14"/>
      <c r="F1501" s="14"/>
      <c r="G1501" s="14"/>
      <c r="H1501" s="14"/>
      <c r="I1501" s="142"/>
      <c r="J1501" s="143"/>
    </row>
    <row r="1502">
      <c r="B1502" s="14"/>
      <c r="C1502" s="14"/>
      <c r="F1502" s="14"/>
      <c r="G1502" s="14"/>
      <c r="H1502" s="14"/>
      <c r="I1502" s="142"/>
      <c r="J1502" s="143"/>
    </row>
    <row r="1503">
      <c r="B1503" s="14"/>
      <c r="C1503" s="14"/>
      <c r="F1503" s="14"/>
      <c r="G1503" s="14"/>
      <c r="H1503" s="14"/>
      <c r="I1503" s="142"/>
      <c r="J1503" s="143"/>
    </row>
    <row r="1504">
      <c r="B1504" s="14"/>
      <c r="C1504" s="14"/>
      <c r="F1504" s="14"/>
      <c r="G1504" s="14"/>
      <c r="H1504" s="14"/>
      <c r="I1504" s="142"/>
      <c r="J1504" s="143"/>
    </row>
    <row r="1505">
      <c r="B1505" s="14"/>
      <c r="C1505" s="14"/>
      <c r="F1505" s="14"/>
      <c r="G1505" s="14"/>
      <c r="H1505" s="14"/>
      <c r="I1505" s="142"/>
      <c r="J1505" s="143"/>
    </row>
    <row r="1506">
      <c r="B1506" s="14"/>
      <c r="C1506" s="14"/>
      <c r="F1506" s="14"/>
      <c r="G1506" s="14"/>
      <c r="H1506" s="14"/>
      <c r="I1506" s="142"/>
      <c r="J1506" s="143"/>
    </row>
    <row r="1507">
      <c r="B1507" s="14"/>
      <c r="C1507" s="14"/>
      <c r="F1507" s="14"/>
      <c r="G1507" s="14"/>
      <c r="H1507" s="14"/>
      <c r="I1507" s="142"/>
      <c r="J1507" s="143"/>
    </row>
    <row r="1508">
      <c r="B1508" s="14"/>
      <c r="C1508" s="14"/>
      <c r="F1508" s="14"/>
      <c r="G1508" s="14"/>
      <c r="H1508" s="14"/>
      <c r="I1508" s="142"/>
      <c r="J1508" s="143"/>
    </row>
    <row r="1509">
      <c r="B1509" s="14"/>
      <c r="C1509" s="14"/>
      <c r="F1509" s="14"/>
      <c r="G1509" s="14"/>
      <c r="H1509" s="14"/>
      <c r="I1509" s="142"/>
      <c r="J1509" s="143"/>
    </row>
    <row r="1510">
      <c r="B1510" s="14"/>
      <c r="C1510" s="14"/>
      <c r="F1510" s="14"/>
      <c r="G1510" s="14"/>
      <c r="H1510" s="14"/>
      <c r="I1510" s="142"/>
      <c r="J1510" s="143"/>
    </row>
    <row r="1511">
      <c r="B1511" s="14"/>
      <c r="C1511" s="14"/>
      <c r="F1511" s="14"/>
      <c r="G1511" s="14"/>
      <c r="H1511" s="14"/>
      <c r="I1511" s="142"/>
      <c r="J1511" s="143"/>
    </row>
    <row r="1512">
      <c r="B1512" s="14"/>
      <c r="C1512" s="14"/>
      <c r="F1512" s="14"/>
      <c r="G1512" s="14"/>
      <c r="H1512" s="14"/>
      <c r="I1512" s="142"/>
      <c r="J1512" s="143"/>
    </row>
    <row r="1513">
      <c r="B1513" s="14"/>
      <c r="C1513" s="14"/>
      <c r="F1513" s="14"/>
      <c r="G1513" s="14"/>
      <c r="H1513" s="14"/>
      <c r="I1513" s="142"/>
      <c r="J1513" s="143"/>
    </row>
    <row r="1514">
      <c r="B1514" s="14"/>
      <c r="C1514" s="14"/>
      <c r="F1514" s="14"/>
      <c r="G1514" s="14"/>
      <c r="H1514" s="14"/>
      <c r="I1514" s="142"/>
      <c r="J1514" s="143"/>
    </row>
    <row r="1515">
      <c r="B1515" s="14"/>
      <c r="C1515" s="14"/>
      <c r="F1515" s="14"/>
      <c r="G1515" s="14"/>
      <c r="H1515" s="14"/>
      <c r="I1515" s="142"/>
      <c r="J1515" s="143"/>
    </row>
    <row r="1516">
      <c r="B1516" s="14"/>
      <c r="C1516" s="14"/>
      <c r="F1516" s="14"/>
      <c r="G1516" s="14"/>
      <c r="H1516" s="14"/>
      <c r="I1516" s="142"/>
      <c r="J1516" s="143"/>
    </row>
    <row r="1517">
      <c r="B1517" s="14"/>
      <c r="C1517" s="14"/>
      <c r="F1517" s="14"/>
      <c r="G1517" s="14"/>
      <c r="H1517" s="14"/>
      <c r="I1517" s="142"/>
      <c r="J1517" s="143"/>
    </row>
    <row r="1518">
      <c r="B1518" s="14"/>
      <c r="C1518" s="14"/>
      <c r="F1518" s="14"/>
      <c r="G1518" s="14"/>
      <c r="H1518" s="14"/>
      <c r="I1518" s="142"/>
      <c r="J1518" s="143"/>
    </row>
    <row r="1519">
      <c r="B1519" s="14"/>
      <c r="C1519" s="14"/>
      <c r="F1519" s="14"/>
      <c r="G1519" s="14"/>
      <c r="H1519" s="14"/>
      <c r="I1519" s="142"/>
      <c r="J1519" s="143"/>
    </row>
    <row r="1520">
      <c r="B1520" s="14"/>
      <c r="C1520" s="14"/>
      <c r="F1520" s="14"/>
      <c r="G1520" s="14"/>
      <c r="H1520" s="14"/>
      <c r="I1520" s="142"/>
      <c r="J1520" s="143"/>
    </row>
    <row r="1521">
      <c r="B1521" s="14"/>
      <c r="C1521" s="14"/>
      <c r="F1521" s="14"/>
      <c r="G1521" s="14"/>
      <c r="H1521" s="14"/>
      <c r="I1521" s="142"/>
      <c r="J1521" s="143"/>
    </row>
    <row r="1522">
      <c r="B1522" s="14"/>
      <c r="C1522" s="14"/>
      <c r="F1522" s="14"/>
      <c r="G1522" s="14"/>
      <c r="H1522" s="14"/>
      <c r="I1522" s="142"/>
      <c r="J1522" s="143"/>
    </row>
    <row r="1523">
      <c r="B1523" s="14"/>
      <c r="C1523" s="14"/>
      <c r="F1523" s="14"/>
      <c r="G1523" s="14"/>
      <c r="H1523" s="14"/>
      <c r="I1523" s="142"/>
      <c r="J1523" s="143"/>
    </row>
    <row r="1524">
      <c r="B1524" s="14"/>
      <c r="C1524" s="14"/>
      <c r="F1524" s="14"/>
      <c r="G1524" s="14"/>
      <c r="H1524" s="14"/>
      <c r="I1524" s="142"/>
      <c r="J1524" s="143"/>
    </row>
    <row r="1525">
      <c r="B1525" s="14"/>
      <c r="C1525" s="14"/>
      <c r="F1525" s="14"/>
      <c r="G1525" s="14"/>
      <c r="H1525" s="14"/>
      <c r="I1525" s="142"/>
      <c r="J1525" s="143"/>
    </row>
    <row r="1526">
      <c r="B1526" s="14"/>
      <c r="C1526" s="14"/>
      <c r="F1526" s="14"/>
      <c r="G1526" s="14"/>
      <c r="H1526" s="14"/>
      <c r="I1526" s="142"/>
      <c r="J1526" s="143"/>
    </row>
    <row r="1527">
      <c r="B1527" s="14"/>
      <c r="C1527" s="14"/>
      <c r="F1527" s="14"/>
      <c r="G1527" s="14"/>
      <c r="H1527" s="14"/>
      <c r="I1527" s="142"/>
      <c r="J1527" s="143"/>
    </row>
    <row r="1528">
      <c r="B1528" s="14"/>
      <c r="C1528" s="14"/>
      <c r="F1528" s="14"/>
      <c r="G1528" s="14"/>
      <c r="H1528" s="14"/>
      <c r="I1528" s="142"/>
      <c r="J1528" s="143"/>
    </row>
    <row r="1529">
      <c r="B1529" s="14"/>
      <c r="C1529" s="14"/>
      <c r="F1529" s="14"/>
      <c r="G1529" s="14"/>
      <c r="H1529" s="14"/>
      <c r="I1529" s="142"/>
      <c r="J1529" s="143"/>
    </row>
    <row r="1530">
      <c r="B1530" s="14"/>
      <c r="C1530" s="14"/>
      <c r="F1530" s="14"/>
      <c r="G1530" s="14"/>
      <c r="H1530" s="14"/>
      <c r="I1530" s="142"/>
      <c r="J1530" s="143"/>
    </row>
    <row r="1531">
      <c r="B1531" s="14"/>
      <c r="C1531" s="14"/>
      <c r="F1531" s="14"/>
      <c r="G1531" s="14"/>
      <c r="H1531" s="14"/>
      <c r="I1531" s="142"/>
      <c r="J1531" s="143"/>
    </row>
    <row r="1532">
      <c r="B1532" s="14"/>
      <c r="C1532" s="14"/>
      <c r="F1532" s="14"/>
      <c r="G1532" s="14"/>
      <c r="H1532" s="14"/>
      <c r="I1532" s="142"/>
      <c r="J1532" s="143"/>
    </row>
    <row r="1533">
      <c r="B1533" s="14"/>
      <c r="C1533" s="14"/>
      <c r="F1533" s="14"/>
      <c r="G1533" s="14"/>
      <c r="H1533" s="14"/>
      <c r="I1533" s="142"/>
      <c r="J1533" s="143"/>
    </row>
    <row r="1534">
      <c r="B1534" s="14"/>
      <c r="C1534" s="14"/>
      <c r="F1534" s="14"/>
      <c r="G1534" s="14"/>
      <c r="H1534" s="14"/>
      <c r="I1534" s="142"/>
      <c r="J1534" s="143"/>
    </row>
    <row r="1535">
      <c r="B1535" s="14"/>
      <c r="C1535" s="14"/>
      <c r="F1535" s="14"/>
      <c r="G1535" s="14"/>
      <c r="H1535" s="14"/>
      <c r="I1535" s="142"/>
      <c r="J1535" s="143"/>
    </row>
    <row r="1536">
      <c r="B1536" s="14"/>
      <c r="C1536" s="14"/>
      <c r="F1536" s="14"/>
      <c r="G1536" s="14"/>
      <c r="H1536" s="14"/>
      <c r="I1536" s="142"/>
      <c r="J1536" s="143"/>
    </row>
    <row r="1537">
      <c r="B1537" s="14"/>
      <c r="C1537" s="14"/>
      <c r="F1537" s="14"/>
      <c r="G1537" s="14"/>
      <c r="H1537" s="14"/>
      <c r="I1537" s="142"/>
      <c r="J1537" s="143"/>
    </row>
    <row r="1538">
      <c r="B1538" s="14"/>
      <c r="C1538" s="14"/>
      <c r="F1538" s="14"/>
      <c r="G1538" s="14"/>
      <c r="H1538" s="14"/>
      <c r="I1538" s="142"/>
      <c r="J1538" s="143"/>
    </row>
    <row r="1539">
      <c r="B1539" s="14"/>
      <c r="C1539" s="14"/>
      <c r="F1539" s="14"/>
      <c r="G1539" s="14"/>
      <c r="H1539" s="14"/>
      <c r="I1539" s="142"/>
      <c r="J1539" s="143"/>
    </row>
    <row r="1540">
      <c r="B1540" s="14"/>
      <c r="C1540" s="14"/>
      <c r="F1540" s="14"/>
      <c r="G1540" s="14"/>
      <c r="H1540" s="14"/>
      <c r="I1540" s="142"/>
      <c r="J1540" s="143"/>
    </row>
    <row r="1541">
      <c r="B1541" s="14"/>
      <c r="C1541" s="14"/>
      <c r="F1541" s="14"/>
      <c r="G1541" s="14"/>
      <c r="H1541" s="14"/>
      <c r="I1541" s="142"/>
      <c r="J1541" s="143"/>
    </row>
    <row r="1542">
      <c r="B1542" s="14"/>
      <c r="C1542" s="14"/>
      <c r="F1542" s="14"/>
      <c r="G1542" s="14"/>
      <c r="H1542" s="14"/>
      <c r="I1542" s="142"/>
      <c r="J1542" s="143"/>
    </row>
    <row r="1543">
      <c r="B1543" s="14"/>
      <c r="C1543" s="14"/>
      <c r="F1543" s="14"/>
      <c r="G1543" s="14"/>
      <c r="H1543" s="14"/>
      <c r="I1543" s="142"/>
      <c r="J1543" s="143"/>
    </row>
    <row r="1544">
      <c r="B1544" s="14"/>
      <c r="C1544" s="14"/>
      <c r="F1544" s="14"/>
      <c r="G1544" s="14"/>
      <c r="H1544" s="14"/>
      <c r="I1544" s="142"/>
      <c r="J1544" s="143"/>
    </row>
    <row r="1545">
      <c r="B1545" s="14"/>
      <c r="C1545" s="14"/>
      <c r="F1545" s="14"/>
      <c r="G1545" s="14"/>
      <c r="H1545" s="14"/>
      <c r="I1545" s="142"/>
      <c r="J1545" s="143"/>
    </row>
    <row r="1546">
      <c r="B1546" s="14"/>
      <c r="C1546" s="14"/>
      <c r="F1546" s="14"/>
      <c r="G1546" s="14"/>
      <c r="H1546" s="14"/>
      <c r="I1546" s="142"/>
      <c r="J1546" s="143"/>
    </row>
    <row r="1547">
      <c r="B1547" s="14"/>
      <c r="C1547" s="14"/>
      <c r="F1547" s="14"/>
      <c r="G1547" s="14"/>
      <c r="H1547" s="14"/>
      <c r="I1547" s="142"/>
      <c r="J1547" s="143"/>
    </row>
    <row r="1548">
      <c r="B1548" s="14"/>
      <c r="C1548" s="14"/>
      <c r="F1548" s="14"/>
      <c r="G1548" s="14"/>
      <c r="H1548" s="14"/>
      <c r="I1548" s="142"/>
      <c r="J1548" s="143"/>
    </row>
    <row r="1549">
      <c r="B1549" s="14"/>
      <c r="C1549" s="14"/>
      <c r="F1549" s="14"/>
      <c r="G1549" s="14"/>
      <c r="H1549" s="14"/>
      <c r="I1549" s="142"/>
      <c r="J1549" s="143"/>
    </row>
    <row r="1550">
      <c r="B1550" s="14"/>
      <c r="C1550" s="14"/>
      <c r="F1550" s="14"/>
      <c r="G1550" s="14"/>
      <c r="H1550" s="14"/>
      <c r="I1550" s="142"/>
      <c r="J1550" s="143"/>
    </row>
    <row r="1551">
      <c r="B1551" s="14"/>
      <c r="C1551" s="14"/>
      <c r="F1551" s="14"/>
      <c r="G1551" s="14"/>
      <c r="H1551" s="14"/>
      <c r="I1551" s="142"/>
      <c r="J1551" s="143"/>
    </row>
    <row r="1552">
      <c r="B1552" s="14"/>
      <c r="C1552" s="14"/>
      <c r="F1552" s="14"/>
      <c r="G1552" s="14"/>
      <c r="H1552" s="14"/>
      <c r="I1552" s="142"/>
      <c r="J1552" s="143"/>
    </row>
    <row r="1553">
      <c r="B1553" s="14"/>
      <c r="C1553" s="14"/>
      <c r="F1553" s="14"/>
      <c r="G1553" s="14"/>
      <c r="H1553" s="14"/>
      <c r="I1553" s="142"/>
      <c r="J1553" s="143"/>
    </row>
    <row r="1554">
      <c r="B1554" s="14"/>
      <c r="C1554" s="14"/>
      <c r="F1554" s="14"/>
      <c r="G1554" s="14"/>
      <c r="H1554" s="14"/>
      <c r="I1554" s="142"/>
      <c r="J1554" s="143"/>
    </row>
    <row r="1555">
      <c r="B1555" s="14"/>
      <c r="C1555" s="14"/>
      <c r="F1555" s="14"/>
      <c r="G1555" s="14"/>
      <c r="H1555" s="14"/>
      <c r="I1555" s="142"/>
      <c r="J1555" s="143"/>
    </row>
    <row r="1556">
      <c r="B1556" s="14"/>
      <c r="C1556" s="14"/>
      <c r="F1556" s="14"/>
      <c r="G1556" s="14"/>
      <c r="H1556" s="14"/>
      <c r="I1556" s="142"/>
      <c r="J1556" s="143"/>
    </row>
    <row r="1557">
      <c r="B1557" s="14"/>
      <c r="C1557" s="14"/>
      <c r="F1557" s="14"/>
      <c r="G1557" s="14"/>
      <c r="H1557" s="14"/>
      <c r="I1557" s="142"/>
      <c r="J1557" s="143"/>
    </row>
    <row r="1558">
      <c r="B1558" s="14"/>
      <c r="C1558" s="14"/>
      <c r="F1558" s="14"/>
      <c r="G1558" s="14"/>
      <c r="H1558" s="14"/>
      <c r="I1558" s="142"/>
      <c r="J1558" s="143"/>
    </row>
    <row r="1559">
      <c r="B1559" s="14"/>
      <c r="C1559" s="14"/>
      <c r="F1559" s="14"/>
      <c r="G1559" s="14"/>
      <c r="H1559" s="14"/>
      <c r="I1559" s="142"/>
      <c r="J1559" s="143"/>
    </row>
    <row r="1560">
      <c r="B1560" s="14"/>
      <c r="C1560" s="14"/>
      <c r="F1560" s="14"/>
      <c r="G1560" s="14"/>
      <c r="H1560" s="14"/>
      <c r="I1560" s="142"/>
      <c r="J1560" s="143"/>
    </row>
    <row r="1561">
      <c r="B1561" s="14"/>
      <c r="C1561" s="14"/>
      <c r="F1561" s="14"/>
      <c r="G1561" s="14"/>
      <c r="H1561" s="14"/>
      <c r="I1561" s="142"/>
      <c r="J1561" s="143"/>
    </row>
    <row r="1562">
      <c r="B1562" s="14"/>
      <c r="C1562" s="14"/>
      <c r="F1562" s="14"/>
      <c r="G1562" s="14"/>
      <c r="H1562" s="14"/>
      <c r="I1562" s="142"/>
      <c r="J1562" s="143"/>
    </row>
    <row r="1563">
      <c r="B1563" s="14"/>
      <c r="C1563" s="14"/>
      <c r="F1563" s="14"/>
      <c r="G1563" s="14"/>
      <c r="H1563" s="14"/>
      <c r="I1563" s="142"/>
      <c r="J1563" s="143"/>
    </row>
    <row r="1564">
      <c r="B1564" s="14"/>
      <c r="C1564" s="14"/>
      <c r="F1564" s="14"/>
      <c r="G1564" s="14"/>
      <c r="H1564" s="14"/>
      <c r="I1564" s="142"/>
      <c r="J1564" s="143"/>
    </row>
    <row r="1565">
      <c r="B1565" s="14"/>
      <c r="C1565" s="14"/>
      <c r="F1565" s="14"/>
      <c r="G1565" s="14"/>
      <c r="H1565" s="14"/>
      <c r="I1565" s="142"/>
      <c r="J1565" s="143"/>
    </row>
    <row r="1566">
      <c r="B1566" s="14"/>
      <c r="C1566" s="14"/>
      <c r="F1566" s="14"/>
      <c r="G1566" s="14"/>
      <c r="H1566" s="14"/>
      <c r="I1566" s="142"/>
      <c r="J1566" s="143"/>
    </row>
    <row r="1567">
      <c r="B1567" s="14"/>
      <c r="C1567" s="14"/>
      <c r="F1567" s="14"/>
      <c r="G1567" s="14"/>
      <c r="H1567" s="14"/>
      <c r="I1567" s="142"/>
      <c r="J1567" s="143"/>
    </row>
    <row r="1568">
      <c r="B1568" s="14"/>
      <c r="C1568" s="14"/>
      <c r="F1568" s="14"/>
      <c r="G1568" s="14"/>
      <c r="H1568" s="14"/>
      <c r="I1568" s="142"/>
      <c r="J1568" s="143"/>
    </row>
    <row r="1569">
      <c r="B1569" s="14"/>
      <c r="C1569" s="14"/>
      <c r="F1569" s="14"/>
      <c r="G1569" s="14"/>
      <c r="H1569" s="14"/>
      <c r="I1569" s="142"/>
      <c r="J1569" s="143"/>
    </row>
    <row r="1570">
      <c r="B1570" s="14"/>
      <c r="C1570" s="14"/>
      <c r="F1570" s="14"/>
      <c r="G1570" s="14"/>
      <c r="H1570" s="14"/>
      <c r="I1570" s="142"/>
      <c r="J1570" s="143"/>
    </row>
    <row r="1571">
      <c r="B1571" s="14"/>
      <c r="C1571" s="14"/>
      <c r="F1571" s="14"/>
      <c r="G1571" s="14"/>
      <c r="H1571" s="14"/>
      <c r="I1571" s="142"/>
      <c r="J1571" s="143"/>
    </row>
    <row r="1572">
      <c r="B1572" s="14"/>
      <c r="C1572" s="14"/>
      <c r="F1572" s="14"/>
      <c r="G1572" s="14"/>
      <c r="H1572" s="14"/>
      <c r="I1572" s="142"/>
      <c r="J1572" s="143"/>
    </row>
    <row r="1573">
      <c r="B1573" s="14"/>
      <c r="C1573" s="14"/>
      <c r="F1573" s="14"/>
      <c r="G1573" s="14"/>
      <c r="H1573" s="14"/>
      <c r="I1573" s="142"/>
      <c r="J1573" s="143"/>
    </row>
    <row r="1574">
      <c r="B1574" s="14"/>
      <c r="C1574" s="14"/>
      <c r="F1574" s="14"/>
      <c r="G1574" s="14"/>
      <c r="H1574" s="14"/>
      <c r="I1574" s="142"/>
      <c r="J1574" s="143"/>
    </row>
    <row r="1575">
      <c r="B1575" s="14"/>
      <c r="C1575" s="14"/>
      <c r="F1575" s="14"/>
      <c r="G1575" s="14"/>
      <c r="H1575" s="14"/>
      <c r="I1575" s="142"/>
      <c r="J1575" s="143"/>
    </row>
    <row r="1576">
      <c r="B1576" s="14"/>
      <c r="C1576" s="14"/>
      <c r="F1576" s="14"/>
      <c r="G1576" s="14"/>
      <c r="H1576" s="14"/>
      <c r="I1576" s="142"/>
      <c r="J1576" s="143"/>
    </row>
    <row r="1577">
      <c r="B1577" s="14"/>
      <c r="C1577" s="14"/>
      <c r="F1577" s="14"/>
      <c r="G1577" s="14"/>
      <c r="H1577" s="14"/>
      <c r="I1577" s="142"/>
      <c r="J1577" s="143"/>
    </row>
    <row r="1578">
      <c r="B1578" s="14"/>
      <c r="C1578" s="14"/>
      <c r="F1578" s="14"/>
      <c r="G1578" s="14"/>
      <c r="H1578" s="14"/>
      <c r="I1578" s="142"/>
      <c r="J1578" s="143"/>
    </row>
    <row r="1579">
      <c r="B1579" s="14"/>
      <c r="C1579" s="14"/>
      <c r="F1579" s="14"/>
      <c r="G1579" s="14"/>
      <c r="H1579" s="14"/>
      <c r="I1579" s="142"/>
      <c r="J1579" s="143"/>
    </row>
    <row r="1580">
      <c r="B1580" s="14"/>
      <c r="C1580" s="14"/>
      <c r="F1580" s="14"/>
      <c r="G1580" s="14"/>
      <c r="H1580" s="14"/>
      <c r="I1580" s="142"/>
      <c r="J1580" s="143"/>
    </row>
    <row r="1581">
      <c r="B1581" s="14"/>
      <c r="C1581" s="14"/>
      <c r="F1581" s="14"/>
      <c r="G1581" s="14"/>
      <c r="H1581" s="14"/>
      <c r="I1581" s="142"/>
      <c r="J1581" s="143"/>
    </row>
    <row r="1582">
      <c r="B1582" s="14"/>
      <c r="C1582" s="14"/>
      <c r="F1582" s="14"/>
      <c r="G1582" s="14"/>
      <c r="H1582" s="14"/>
      <c r="I1582" s="142"/>
      <c r="J1582" s="143"/>
    </row>
    <row r="1583">
      <c r="B1583" s="14"/>
      <c r="C1583" s="14"/>
      <c r="F1583" s="14"/>
      <c r="G1583" s="14"/>
      <c r="H1583" s="14"/>
      <c r="I1583" s="142"/>
      <c r="J1583" s="143"/>
    </row>
    <row r="1584">
      <c r="B1584" s="14"/>
      <c r="C1584" s="14"/>
      <c r="F1584" s="14"/>
      <c r="G1584" s="14"/>
      <c r="H1584" s="14"/>
      <c r="I1584" s="142"/>
      <c r="J1584" s="143"/>
    </row>
    <row r="1585">
      <c r="B1585" s="14"/>
      <c r="C1585" s="14"/>
      <c r="F1585" s="14"/>
      <c r="G1585" s="14"/>
      <c r="H1585" s="14"/>
      <c r="I1585" s="142"/>
      <c r="J1585" s="143"/>
    </row>
    <row r="1586">
      <c r="B1586" s="14"/>
      <c r="C1586" s="14"/>
      <c r="F1586" s="14"/>
      <c r="G1586" s="14"/>
      <c r="H1586" s="14"/>
      <c r="I1586" s="142"/>
      <c r="J1586" s="143"/>
    </row>
    <row r="1587">
      <c r="B1587" s="14"/>
      <c r="C1587" s="14"/>
      <c r="F1587" s="14"/>
      <c r="G1587" s="14"/>
      <c r="H1587" s="14"/>
      <c r="I1587" s="142"/>
      <c r="J1587" s="143"/>
    </row>
    <row r="1588">
      <c r="B1588" s="14"/>
      <c r="C1588" s="14"/>
      <c r="F1588" s="14"/>
      <c r="G1588" s="14"/>
      <c r="H1588" s="14"/>
      <c r="I1588" s="142"/>
      <c r="J1588" s="143"/>
    </row>
    <row r="1589">
      <c r="B1589" s="14"/>
      <c r="C1589" s="14"/>
      <c r="F1589" s="14"/>
      <c r="G1589" s="14"/>
      <c r="H1589" s="14"/>
      <c r="I1589" s="142"/>
      <c r="J1589" s="143"/>
    </row>
    <row r="1590">
      <c r="B1590" s="14"/>
      <c r="C1590" s="14"/>
      <c r="F1590" s="14"/>
      <c r="G1590" s="14"/>
      <c r="H1590" s="14"/>
      <c r="I1590" s="142"/>
      <c r="J1590" s="143"/>
    </row>
    <row r="1591">
      <c r="B1591" s="14"/>
      <c r="C1591" s="14"/>
      <c r="F1591" s="14"/>
      <c r="G1591" s="14"/>
      <c r="H1591" s="14"/>
      <c r="I1591" s="142"/>
      <c r="J1591" s="143"/>
    </row>
    <row r="1592">
      <c r="B1592" s="14"/>
      <c r="C1592" s="14"/>
      <c r="F1592" s="14"/>
      <c r="G1592" s="14"/>
      <c r="H1592" s="14"/>
      <c r="I1592" s="142"/>
      <c r="J1592" s="143"/>
    </row>
    <row r="1593">
      <c r="B1593" s="14"/>
      <c r="C1593" s="14"/>
      <c r="F1593" s="14"/>
      <c r="G1593" s="14"/>
      <c r="H1593" s="14"/>
      <c r="I1593" s="142"/>
      <c r="J1593" s="143"/>
    </row>
    <row r="1594">
      <c r="B1594" s="14"/>
      <c r="C1594" s="14"/>
      <c r="F1594" s="14"/>
      <c r="G1594" s="14"/>
      <c r="H1594" s="14"/>
      <c r="I1594" s="142"/>
      <c r="J1594" s="143"/>
    </row>
    <row r="1595">
      <c r="B1595" s="14"/>
      <c r="C1595" s="14"/>
      <c r="F1595" s="14"/>
      <c r="G1595" s="14"/>
      <c r="H1595" s="14"/>
      <c r="I1595" s="142"/>
      <c r="J1595" s="143"/>
    </row>
    <row r="1596">
      <c r="B1596" s="14"/>
      <c r="C1596" s="14"/>
      <c r="F1596" s="14"/>
      <c r="G1596" s="14"/>
      <c r="H1596" s="14"/>
      <c r="I1596" s="142"/>
      <c r="J1596" s="143"/>
    </row>
    <row r="1597">
      <c r="B1597" s="14"/>
      <c r="C1597" s="14"/>
      <c r="F1597" s="14"/>
      <c r="G1597" s="14"/>
      <c r="H1597" s="14"/>
      <c r="I1597" s="142"/>
      <c r="J1597" s="143"/>
    </row>
    <row r="1598">
      <c r="B1598" s="14"/>
      <c r="C1598" s="14"/>
      <c r="F1598" s="14"/>
      <c r="G1598" s="14"/>
      <c r="H1598" s="14"/>
      <c r="I1598" s="142"/>
      <c r="J1598" s="143"/>
    </row>
    <row r="1599">
      <c r="B1599" s="14"/>
      <c r="C1599" s="14"/>
      <c r="F1599" s="14"/>
      <c r="G1599" s="14"/>
      <c r="H1599" s="14"/>
      <c r="I1599" s="142"/>
      <c r="J1599" s="143"/>
    </row>
    <row r="1600">
      <c r="B1600" s="14"/>
      <c r="C1600" s="14"/>
      <c r="F1600" s="14"/>
      <c r="G1600" s="14"/>
      <c r="H1600" s="14"/>
      <c r="I1600" s="142"/>
      <c r="J1600" s="143"/>
    </row>
    <row r="1601">
      <c r="B1601" s="14"/>
      <c r="C1601" s="14"/>
      <c r="F1601" s="14"/>
      <c r="G1601" s="14"/>
      <c r="H1601" s="14"/>
      <c r="I1601" s="142"/>
      <c r="J1601" s="143"/>
    </row>
    <row r="1602">
      <c r="B1602" s="14"/>
      <c r="C1602" s="14"/>
      <c r="F1602" s="14"/>
      <c r="G1602" s="14"/>
      <c r="H1602" s="14"/>
      <c r="I1602" s="142"/>
      <c r="J1602" s="143"/>
    </row>
    <row r="1603">
      <c r="B1603" s="14"/>
      <c r="C1603" s="14"/>
      <c r="F1603" s="14"/>
      <c r="G1603" s="14"/>
      <c r="H1603" s="14"/>
      <c r="I1603" s="142"/>
      <c r="J1603" s="143"/>
    </row>
    <row r="1604">
      <c r="B1604" s="14"/>
      <c r="C1604" s="14"/>
      <c r="F1604" s="14"/>
      <c r="G1604" s="14"/>
      <c r="H1604" s="14"/>
      <c r="I1604" s="142"/>
      <c r="J1604" s="143"/>
    </row>
    <row r="1605">
      <c r="B1605" s="14"/>
      <c r="C1605" s="14"/>
      <c r="F1605" s="14"/>
      <c r="G1605" s="14"/>
      <c r="H1605" s="14"/>
      <c r="I1605" s="142"/>
      <c r="J1605" s="143"/>
    </row>
    <row r="1606">
      <c r="B1606" s="14"/>
      <c r="C1606" s="14"/>
      <c r="F1606" s="14"/>
      <c r="G1606" s="14"/>
      <c r="H1606" s="14"/>
      <c r="I1606" s="142"/>
      <c r="J1606" s="143"/>
    </row>
    <row r="1607">
      <c r="B1607" s="14"/>
      <c r="C1607" s="14"/>
      <c r="F1607" s="14"/>
      <c r="G1607" s="14"/>
      <c r="H1607" s="14"/>
      <c r="I1607" s="142"/>
      <c r="J1607" s="143"/>
    </row>
    <row r="1608">
      <c r="B1608" s="14"/>
      <c r="C1608" s="14"/>
      <c r="F1608" s="14"/>
      <c r="G1608" s="14"/>
      <c r="H1608" s="14"/>
      <c r="I1608" s="142"/>
      <c r="J1608" s="143"/>
    </row>
    <row r="1609">
      <c r="B1609" s="14"/>
      <c r="C1609" s="14"/>
      <c r="F1609" s="14"/>
      <c r="G1609" s="14"/>
      <c r="H1609" s="14"/>
      <c r="I1609" s="142"/>
      <c r="J1609" s="143"/>
    </row>
    <row r="1610">
      <c r="B1610" s="14"/>
      <c r="C1610" s="14"/>
      <c r="F1610" s="14"/>
      <c r="G1610" s="14"/>
      <c r="H1610" s="14"/>
      <c r="I1610" s="142"/>
      <c r="J1610" s="143"/>
    </row>
    <row r="1611">
      <c r="B1611" s="14"/>
      <c r="C1611" s="14"/>
      <c r="F1611" s="14"/>
      <c r="G1611" s="14"/>
      <c r="H1611" s="14"/>
      <c r="I1611" s="142"/>
      <c r="J1611" s="143"/>
    </row>
    <row r="1612">
      <c r="B1612" s="14"/>
      <c r="C1612" s="14"/>
      <c r="F1612" s="14"/>
      <c r="G1612" s="14"/>
      <c r="H1612" s="14"/>
      <c r="I1612" s="142"/>
      <c r="J1612" s="143"/>
    </row>
    <row r="1613">
      <c r="B1613" s="14"/>
      <c r="C1613" s="14"/>
      <c r="F1613" s="14"/>
      <c r="G1613" s="14"/>
      <c r="H1613" s="14"/>
      <c r="I1613" s="142"/>
      <c r="J1613" s="143"/>
    </row>
    <row r="1614">
      <c r="B1614" s="14"/>
      <c r="C1614" s="14"/>
      <c r="F1614" s="14"/>
      <c r="G1614" s="14"/>
      <c r="H1614" s="14"/>
      <c r="I1614" s="142"/>
      <c r="J1614" s="143"/>
    </row>
    <row r="1615">
      <c r="B1615" s="14"/>
      <c r="C1615" s="14"/>
      <c r="F1615" s="14"/>
      <c r="G1615" s="14"/>
      <c r="H1615" s="14"/>
      <c r="I1615" s="142"/>
      <c r="J1615" s="143"/>
    </row>
    <row r="1616">
      <c r="B1616" s="14"/>
      <c r="C1616" s="14"/>
      <c r="F1616" s="14"/>
      <c r="G1616" s="14"/>
      <c r="H1616" s="14"/>
      <c r="I1616" s="142"/>
      <c r="J1616" s="143"/>
    </row>
    <row r="1617">
      <c r="B1617" s="14"/>
      <c r="C1617" s="14"/>
      <c r="F1617" s="14"/>
      <c r="G1617" s="14"/>
      <c r="H1617" s="14"/>
      <c r="I1617" s="142"/>
      <c r="J1617" s="143"/>
    </row>
    <row r="1618">
      <c r="B1618" s="14"/>
      <c r="C1618" s="14"/>
      <c r="F1618" s="14"/>
      <c r="G1618" s="14"/>
      <c r="H1618" s="14"/>
      <c r="I1618" s="142"/>
      <c r="J1618" s="143"/>
    </row>
    <row r="1619">
      <c r="B1619" s="14"/>
      <c r="C1619" s="14"/>
      <c r="F1619" s="14"/>
      <c r="G1619" s="14"/>
      <c r="H1619" s="14"/>
      <c r="I1619" s="142"/>
      <c r="J1619" s="143"/>
    </row>
    <row r="1620">
      <c r="B1620" s="14"/>
      <c r="C1620" s="14"/>
      <c r="F1620" s="14"/>
      <c r="G1620" s="14"/>
      <c r="H1620" s="14"/>
      <c r="I1620" s="142"/>
      <c r="J1620" s="143"/>
    </row>
    <row r="1621">
      <c r="B1621" s="14"/>
      <c r="C1621" s="14"/>
      <c r="F1621" s="14"/>
      <c r="G1621" s="14"/>
      <c r="H1621" s="14"/>
      <c r="I1621" s="142"/>
      <c r="J1621" s="143"/>
    </row>
    <row r="1622">
      <c r="B1622" s="14"/>
      <c r="C1622" s="14"/>
      <c r="F1622" s="14"/>
      <c r="G1622" s="14"/>
      <c r="H1622" s="14"/>
      <c r="I1622" s="142"/>
      <c r="J1622" s="143"/>
    </row>
    <row r="1623">
      <c r="B1623" s="14"/>
      <c r="C1623" s="14"/>
      <c r="F1623" s="14"/>
      <c r="G1623" s="14"/>
      <c r="H1623" s="14"/>
      <c r="I1623" s="142"/>
      <c r="J1623" s="143"/>
    </row>
    <row r="1624">
      <c r="B1624" s="14"/>
      <c r="C1624" s="14"/>
      <c r="F1624" s="14"/>
      <c r="G1624" s="14"/>
      <c r="H1624" s="14"/>
      <c r="I1624" s="142"/>
      <c r="J1624" s="143"/>
    </row>
    <row r="1625">
      <c r="B1625" s="14"/>
      <c r="C1625" s="14"/>
      <c r="F1625" s="14"/>
      <c r="G1625" s="14"/>
      <c r="H1625" s="14"/>
      <c r="I1625" s="142"/>
      <c r="J1625" s="143"/>
    </row>
    <row r="1626">
      <c r="B1626" s="14"/>
      <c r="C1626" s="14"/>
      <c r="F1626" s="14"/>
      <c r="G1626" s="14"/>
      <c r="H1626" s="14"/>
      <c r="I1626" s="142"/>
      <c r="J1626" s="143"/>
    </row>
    <row r="1627">
      <c r="B1627" s="14"/>
      <c r="C1627" s="14"/>
      <c r="F1627" s="14"/>
      <c r="G1627" s="14"/>
      <c r="H1627" s="14"/>
      <c r="I1627" s="142"/>
      <c r="J1627" s="143"/>
    </row>
    <row r="1628">
      <c r="B1628" s="14"/>
      <c r="C1628" s="14"/>
      <c r="F1628" s="14"/>
      <c r="G1628" s="14"/>
      <c r="H1628" s="14"/>
      <c r="I1628" s="142"/>
      <c r="J1628" s="143"/>
    </row>
    <row r="1629">
      <c r="B1629" s="14"/>
      <c r="C1629" s="14"/>
      <c r="F1629" s="14"/>
      <c r="G1629" s="14"/>
      <c r="H1629" s="14"/>
      <c r="I1629" s="142"/>
      <c r="J1629" s="143"/>
    </row>
    <row r="1630">
      <c r="B1630" s="14"/>
      <c r="C1630" s="14"/>
      <c r="F1630" s="14"/>
      <c r="G1630" s="14"/>
      <c r="H1630" s="14"/>
      <c r="I1630" s="142"/>
      <c r="J1630" s="143"/>
    </row>
    <row r="1631">
      <c r="B1631" s="14"/>
      <c r="C1631" s="14"/>
      <c r="F1631" s="14"/>
      <c r="G1631" s="14"/>
      <c r="H1631" s="14"/>
      <c r="I1631" s="142"/>
      <c r="J1631" s="143"/>
    </row>
    <row r="1632">
      <c r="B1632" s="14"/>
      <c r="C1632" s="14"/>
      <c r="F1632" s="14"/>
      <c r="G1632" s="14"/>
      <c r="H1632" s="14"/>
      <c r="I1632" s="142"/>
      <c r="J1632" s="143"/>
    </row>
    <row r="1633">
      <c r="B1633" s="14"/>
      <c r="C1633" s="14"/>
      <c r="F1633" s="14"/>
      <c r="G1633" s="14"/>
      <c r="H1633" s="14"/>
      <c r="I1633" s="142"/>
      <c r="J1633" s="143"/>
    </row>
    <row r="1634">
      <c r="B1634" s="14"/>
      <c r="C1634" s="14"/>
      <c r="F1634" s="14"/>
      <c r="G1634" s="14"/>
      <c r="H1634" s="14"/>
      <c r="I1634" s="142"/>
      <c r="J1634" s="143"/>
    </row>
    <row r="1635">
      <c r="B1635" s="14"/>
      <c r="C1635" s="14"/>
      <c r="F1635" s="14"/>
      <c r="G1635" s="14"/>
      <c r="H1635" s="14"/>
      <c r="I1635" s="142"/>
      <c r="J1635" s="143"/>
    </row>
    <row r="1636">
      <c r="B1636" s="14"/>
      <c r="C1636" s="14"/>
      <c r="F1636" s="14"/>
      <c r="G1636" s="14"/>
      <c r="H1636" s="14"/>
      <c r="I1636" s="142"/>
      <c r="J1636" s="143"/>
    </row>
    <row r="1637">
      <c r="B1637" s="14"/>
      <c r="C1637" s="14"/>
      <c r="F1637" s="14"/>
      <c r="G1637" s="14"/>
      <c r="H1637" s="14"/>
      <c r="I1637" s="142"/>
      <c r="J1637" s="143"/>
    </row>
    <row r="1638">
      <c r="B1638" s="14"/>
      <c r="C1638" s="14"/>
      <c r="F1638" s="14"/>
      <c r="G1638" s="14"/>
      <c r="H1638" s="14"/>
      <c r="I1638" s="142"/>
      <c r="J1638" s="143"/>
    </row>
    <row r="1639">
      <c r="B1639" s="14"/>
      <c r="C1639" s="14"/>
      <c r="F1639" s="14"/>
      <c r="G1639" s="14"/>
      <c r="H1639" s="14"/>
      <c r="I1639" s="142"/>
      <c r="J1639" s="143"/>
    </row>
    <row r="1640">
      <c r="B1640" s="14"/>
      <c r="C1640" s="14"/>
      <c r="F1640" s="14"/>
      <c r="G1640" s="14"/>
      <c r="H1640" s="14"/>
      <c r="I1640" s="142"/>
      <c r="J1640" s="143"/>
    </row>
    <row r="1641">
      <c r="B1641" s="14"/>
      <c r="C1641" s="14"/>
      <c r="F1641" s="14"/>
      <c r="G1641" s="14"/>
      <c r="H1641" s="14"/>
      <c r="I1641" s="142"/>
      <c r="J1641" s="143"/>
    </row>
    <row r="1642">
      <c r="B1642" s="14"/>
      <c r="C1642" s="14"/>
      <c r="F1642" s="14"/>
      <c r="G1642" s="14"/>
      <c r="H1642" s="14"/>
      <c r="I1642" s="142"/>
      <c r="J1642" s="143"/>
    </row>
    <row r="1643">
      <c r="B1643" s="14"/>
      <c r="C1643" s="14"/>
      <c r="F1643" s="14"/>
      <c r="G1643" s="14"/>
      <c r="H1643" s="14"/>
      <c r="I1643" s="142"/>
      <c r="J1643" s="143"/>
    </row>
    <row r="1644">
      <c r="B1644" s="14"/>
      <c r="C1644" s="14"/>
      <c r="F1644" s="14"/>
      <c r="G1644" s="14"/>
      <c r="H1644" s="14"/>
      <c r="I1644" s="142"/>
      <c r="J1644" s="143"/>
    </row>
    <row r="1645">
      <c r="B1645" s="14"/>
      <c r="C1645" s="14"/>
      <c r="F1645" s="14"/>
      <c r="G1645" s="14"/>
      <c r="H1645" s="14"/>
      <c r="I1645" s="142"/>
      <c r="J1645" s="143"/>
    </row>
    <row r="1646">
      <c r="B1646" s="14"/>
      <c r="C1646" s="14"/>
      <c r="F1646" s="14"/>
      <c r="G1646" s="14"/>
      <c r="H1646" s="14"/>
      <c r="I1646" s="142"/>
      <c r="J1646" s="143"/>
    </row>
    <row r="1647">
      <c r="B1647" s="14"/>
      <c r="C1647" s="14"/>
      <c r="F1647" s="14"/>
      <c r="G1647" s="14"/>
      <c r="H1647" s="14"/>
      <c r="I1647" s="142"/>
      <c r="J1647" s="143"/>
    </row>
    <row r="1648">
      <c r="B1648" s="14"/>
      <c r="C1648" s="14"/>
      <c r="F1648" s="14"/>
      <c r="G1648" s="14"/>
      <c r="H1648" s="14"/>
      <c r="I1648" s="142"/>
      <c r="J1648" s="143"/>
    </row>
    <row r="1649">
      <c r="B1649" s="14"/>
      <c r="C1649" s="14"/>
      <c r="F1649" s="14"/>
      <c r="G1649" s="14"/>
      <c r="H1649" s="14"/>
      <c r="I1649" s="142"/>
      <c r="J1649" s="143"/>
    </row>
    <row r="1650">
      <c r="B1650" s="14"/>
      <c r="C1650" s="14"/>
      <c r="F1650" s="14"/>
      <c r="G1650" s="14"/>
      <c r="H1650" s="14"/>
      <c r="I1650" s="142"/>
      <c r="J1650" s="143"/>
    </row>
    <row r="1651">
      <c r="B1651" s="14"/>
      <c r="C1651" s="14"/>
      <c r="F1651" s="14"/>
      <c r="G1651" s="14"/>
      <c r="H1651" s="14"/>
      <c r="I1651" s="142"/>
      <c r="J1651" s="143"/>
    </row>
    <row r="1652">
      <c r="B1652" s="14"/>
      <c r="C1652" s="14"/>
      <c r="F1652" s="14"/>
      <c r="G1652" s="14"/>
      <c r="H1652" s="14"/>
      <c r="I1652" s="142"/>
      <c r="J1652" s="143"/>
    </row>
    <row r="1653">
      <c r="B1653" s="14"/>
      <c r="C1653" s="14"/>
      <c r="F1653" s="14"/>
      <c r="G1653" s="14"/>
      <c r="H1653" s="14"/>
      <c r="I1653" s="142"/>
      <c r="J1653" s="143"/>
    </row>
    <row r="1654">
      <c r="B1654" s="14"/>
      <c r="C1654" s="14"/>
      <c r="F1654" s="14"/>
      <c r="G1654" s="14"/>
      <c r="H1654" s="14"/>
      <c r="I1654" s="142"/>
      <c r="J1654" s="143"/>
    </row>
    <row r="1655">
      <c r="B1655" s="14"/>
      <c r="C1655" s="14"/>
      <c r="F1655" s="14"/>
      <c r="G1655" s="14"/>
      <c r="H1655" s="14"/>
      <c r="I1655" s="142"/>
      <c r="J1655" s="143"/>
    </row>
    <row r="1656">
      <c r="B1656" s="14"/>
      <c r="C1656" s="14"/>
      <c r="F1656" s="14"/>
      <c r="G1656" s="14"/>
      <c r="H1656" s="14"/>
      <c r="I1656" s="142"/>
      <c r="J1656" s="143"/>
    </row>
    <row r="1657">
      <c r="B1657" s="14"/>
      <c r="C1657" s="14"/>
      <c r="F1657" s="14"/>
      <c r="G1657" s="14"/>
      <c r="H1657" s="14"/>
      <c r="I1657" s="142"/>
      <c r="J1657" s="143"/>
    </row>
    <row r="1658">
      <c r="B1658" s="14"/>
      <c r="C1658" s="14"/>
      <c r="F1658" s="14"/>
      <c r="G1658" s="14"/>
      <c r="H1658" s="14"/>
      <c r="I1658" s="142"/>
      <c r="J1658" s="143"/>
    </row>
    <row r="1659">
      <c r="B1659" s="14"/>
      <c r="C1659" s="14"/>
      <c r="F1659" s="14"/>
      <c r="G1659" s="14"/>
      <c r="H1659" s="14"/>
      <c r="I1659" s="142"/>
      <c r="J1659" s="143"/>
    </row>
    <row r="1660">
      <c r="B1660" s="14"/>
      <c r="C1660" s="14"/>
      <c r="F1660" s="14"/>
      <c r="G1660" s="14"/>
      <c r="H1660" s="14"/>
      <c r="I1660" s="142"/>
      <c r="J1660" s="143"/>
    </row>
    <row r="1661">
      <c r="B1661" s="14"/>
      <c r="C1661" s="14"/>
      <c r="F1661" s="14"/>
      <c r="G1661" s="14"/>
      <c r="H1661" s="14"/>
      <c r="I1661" s="142"/>
      <c r="J1661" s="143"/>
    </row>
    <row r="1662">
      <c r="B1662" s="14"/>
      <c r="C1662" s="14"/>
      <c r="F1662" s="14"/>
      <c r="G1662" s="14"/>
      <c r="H1662" s="14"/>
      <c r="I1662" s="142"/>
      <c r="J1662" s="143"/>
    </row>
    <row r="1663">
      <c r="B1663" s="14"/>
      <c r="C1663" s="14"/>
      <c r="F1663" s="14"/>
      <c r="G1663" s="14"/>
      <c r="H1663" s="14"/>
      <c r="I1663" s="142"/>
      <c r="J1663" s="143"/>
    </row>
    <row r="1664">
      <c r="B1664" s="14"/>
      <c r="C1664" s="14"/>
      <c r="F1664" s="14"/>
      <c r="G1664" s="14"/>
      <c r="H1664" s="14"/>
      <c r="I1664" s="142"/>
      <c r="J1664" s="143"/>
    </row>
    <row r="1665">
      <c r="B1665" s="14"/>
      <c r="C1665" s="14"/>
      <c r="F1665" s="14"/>
      <c r="G1665" s="14"/>
      <c r="H1665" s="14"/>
      <c r="I1665" s="142"/>
      <c r="J1665" s="143"/>
    </row>
    <row r="1666">
      <c r="B1666" s="14"/>
      <c r="C1666" s="14"/>
      <c r="F1666" s="14"/>
      <c r="G1666" s="14"/>
      <c r="H1666" s="14"/>
      <c r="I1666" s="142"/>
      <c r="J1666" s="143"/>
    </row>
    <row r="1667">
      <c r="B1667" s="14"/>
      <c r="C1667" s="14"/>
      <c r="F1667" s="14"/>
      <c r="G1667" s="14"/>
      <c r="H1667" s="14"/>
      <c r="I1667" s="142"/>
      <c r="J1667" s="143"/>
    </row>
    <row r="1668">
      <c r="B1668" s="14"/>
      <c r="C1668" s="14"/>
      <c r="F1668" s="14"/>
      <c r="G1668" s="14"/>
      <c r="H1668" s="14"/>
      <c r="I1668" s="142"/>
      <c r="J1668" s="143"/>
    </row>
    <row r="1669">
      <c r="B1669" s="14"/>
      <c r="C1669" s="14"/>
      <c r="F1669" s="14"/>
      <c r="G1669" s="14"/>
      <c r="H1669" s="14"/>
      <c r="I1669" s="142"/>
      <c r="J1669" s="143"/>
    </row>
    <row r="1670">
      <c r="B1670" s="14"/>
      <c r="C1670" s="14"/>
      <c r="F1670" s="14"/>
      <c r="G1670" s="14"/>
      <c r="H1670" s="14"/>
      <c r="I1670" s="142"/>
      <c r="J1670" s="143"/>
    </row>
    <row r="1671">
      <c r="B1671" s="14"/>
      <c r="C1671" s="14"/>
      <c r="F1671" s="14"/>
      <c r="G1671" s="14"/>
      <c r="H1671" s="14"/>
      <c r="I1671" s="142"/>
      <c r="J1671" s="143"/>
    </row>
    <row r="1672">
      <c r="B1672" s="14"/>
      <c r="C1672" s="14"/>
      <c r="F1672" s="14"/>
      <c r="G1672" s="14"/>
      <c r="H1672" s="14"/>
      <c r="I1672" s="142"/>
      <c r="J1672" s="143"/>
    </row>
    <row r="1673">
      <c r="B1673" s="14"/>
      <c r="C1673" s="14"/>
      <c r="F1673" s="14"/>
      <c r="G1673" s="14"/>
      <c r="H1673" s="14"/>
      <c r="I1673" s="142"/>
      <c r="J1673" s="143"/>
    </row>
    <row r="1674">
      <c r="B1674" s="14"/>
      <c r="C1674" s="14"/>
      <c r="F1674" s="14"/>
      <c r="G1674" s="14"/>
      <c r="H1674" s="14"/>
      <c r="I1674" s="142"/>
      <c r="J1674" s="143"/>
    </row>
    <row r="1675">
      <c r="B1675" s="14"/>
      <c r="C1675" s="14"/>
      <c r="F1675" s="14"/>
      <c r="G1675" s="14"/>
      <c r="H1675" s="14"/>
      <c r="I1675" s="142"/>
      <c r="J1675" s="143"/>
    </row>
    <row r="1676">
      <c r="B1676" s="14"/>
      <c r="C1676" s="14"/>
      <c r="F1676" s="14"/>
      <c r="G1676" s="14"/>
      <c r="H1676" s="14"/>
      <c r="I1676" s="142"/>
      <c r="J1676" s="143"/>
    </row>
    <row r="1677">
      <c r="B1677" s="14"/>
      <c r="C1677" s="14"/>
      <c r="F1677" s="14"/>
      <c r="G1677" s="14"/>
      <c r="H1677" s="14"/>
      <c r="I1677" s="142"/>
      <c r="J1677" s="143"/>
    </row>
    <row r="1678">
      <c r="B1678" s="14"/>
      <c r="C1678" s="14"/>
      <c r="F1678" s="14"/>
      <c r="G1678" s="14"/>
      <c r="H1678" s="14"/>
      <c r="I1678" s="142"/>
      <c r="J1678" s="143"/>
    </row>
    <row r="1679">
      <c r="B1679" s="14"/>
      <c r="C1679" s="14"/>
      <c r="F1679" s="14"/>
      <c r="G1679" s="14"/>
      <c r="H1679" s="14"/>
      <c r="I1679" s="142"/>
      <c r="J1679" s="143"/>
    </row>
    <row r="1680">
      <c r="B1680" s="14"/>
      <c r="C1680" s="14"/>
      <c r="F1680" s="14"/>
      <c r="G1680" s="14"/>
      <c r="H1680" s="14"/>
      <c r="I1680" s="142"/>
      <c r="J1680" s="143"/>
    </row>
    <row r="1681">
      <c r="B1681" s="14"/>
      <c r="C1681" s="14"/>
      <c r="F1681" s="14"/>
      <c r="G1681" s="14"/>
      <c r="H1681" s="14"/>
      <c r="I1681" s="142"/>
      <c r="J1681" s="143"/>
    </row>
    <row r="1682">
      <c r="B1682" s="14"/>
      <c r="C1682" s="14"/>
      <c r="F1682" s="14"/>
      <c r="G1682" s="14"/>
      <c r="H1682" s="14"/>
      <c r="I1682" s="142"/>
      <c r="J1682" s="143"/>
    </row>
    <row r="1683">
      <c r="B1683" s="14"/>
      <c r="C1683" s="14"/>
      <c r="F1683" s="14"/>
      <c r="G1683" s="14"/>
      <c r="H1683" s="14"/>
      <c r="I1683" s="142"/>
      <c r="J1683" s="143"/>
    </row>
    <row r="1684">
      <c r="B1684" s="14"/>
      <c r="C1684" s="14"/>
      <c r="F1684" s="14"/>
      <c r="G1684" s="14"/>
      <c r="H1684" s="14"/>
      <c r="I1684" s="142"/>
      <c r="J1684" s="143"/>
    </row>
    <row r="1685">
      <c r="B1685" s="14"/>
      <c r="C1685" s="14"/>
      <c r="F1685" s="14"/>
      <c r="G1685" s="14"/>
      <c r="H1685" s="14"/>
      <c r="I1685" s="142"/>
      <c r="J1685" s="143"/>
    </row>
    <row r="1686">
      <c r="B1686" s="14"/>
      <c r="C1686" s="14"/>
      <c r="F1686" s="14"/>
      <c r="G1686" s="14"/>
      <c r="H1686" s="14"/>
      <c r="I1686" s="142"/>
      <c r="J1686" s="143"/>
    </row>
    <row r="1687">
      <c r="B1687" s="14"/>
      <c r="C1687" s="14"/>
      <c r="F1687" s="14"/>
      <c r="G1687" s="14"/>
      <c r="H1687" s="14"/>
      <c r="I1687" s="142"/>
      <c r="J1687" s="143"/>
    </row>
    <row r="1688">
      <c r="B1688" s="14"/>
      <c r="C1688" s="14"/>
      <c r="F1688" s="14"/>
      <c r="G1688" s="14"/>
      <c r="H1688" s="14"/>
      <c r="I1688" s="142"/>
      <c r="J1688" s="143"/>
    </row>
    <row r="1689">
      <c r="B1689" s="14"/>
      <c r="C1689" s="14"/>
      <c r="F1689" s="14"/>
      <c r="G1689" s="14"/>
      <c r="H1689" s="14"/>
      <c r="I1689" s="142"/>
      <c r="J1689" s="143"/>
    </row>
    <row r="1690">
      <c r="B1690" s="14"/>
      <c r="C1690" s="14"/>
      <c r="F1690" s="14"/>
      <c r="G1690" s="14"/>
      <c r="H1690" s="14"/>
      <c r="I1690" s="142"/>
      <c r="J1690" s="143"/>
    </row>
    <row r="1691">
      <c r="B1691" s="14"/>
      <c r="C1691" s="14"/>
      <c r="F1691" s="14"/>
      <c r="G1691" s="14"/>
      <c r="H1691" s="14"/>
      <c r="I1691" s="142"/>
      <c r="J1691" s="143"/>
    </row>
    <row r="1692">
      <c r="B1692" s="14"/>
      <c r="C1692" s="14"/>
      <c r="F1692" s="14"/>
      <c r="G1692" s="14"/>
      <c r="H1692" s="14"/>
      <c r="I1692" s="142"/>
      <c r="J1692" s="143"/>
    </row>
    <row r="1693">
      <c r="B1693" s="14"/>
      <c r="C1693" s="14"/>
      <c r="F1693" s="14"/>
      <c r="G1693" s="14"/>
      <c r="H1693" s="14"/>
      <c r="I1693" s="142"/>
      <c r="J1693" s="143"/>
    </row>
    <row r="1694">
      <c r="B1694" s="14"/>
      <c r="C1694" s="14"/>
      <c r="F1694" s="14"/>
      <c r="G1694" s="14"/>
      <c r="H1694" s="14"/>
      <c r="I1694" s="142"/>
      <c r="J1694" s="143"/>
    </row>
    <row r="1695">
      <c r="B1695" s="14"/>
      <c r="C1695" s="14"/>
      <c r="F1695" s="14"/>
      <c r="G1695" s="14"/>
      <c r="H1695" s="14"/>
      <c r="I1695" s="142"/>
      <c r="J1695" s="143"/>
    </row>
    <row r="1696">
      <c r="B1696" s="14"/>
      <c r="C1696" s="14"/>
      <c r="F1696" s="14"/>
      <c r="G1696" s="14"/>
      <c r="H1696" s="14"/>
      <c r="I1696" s="142"/>
      <c r="J1696" s="143"/>
    </row>
    <row r="1697">
      <c r="B1697" s="14"/>
      <c r="C1697" s="14"/>
      <c r="F1697" s="14"/>
      <c r="G1697" s="14"/>
      <c r="H1697" s="14"/>
      <c r="I1697" s="142"/>
      <c r="J1697" s="143"/>
    </row>
    <row r="1698">
      <c r="B1698" s="14"/>
      <c r="C1698" s="14"/>
      <c r="F1698" s="14"/>
      <c r="G1698" s="14"/>
      <c r="H1698" s="14"/>
      <c r="I1698" s="142"/>
      <c r="J1698" s="143"/>
    </row>
    <row r="1699">
      <c r="B1699" s="14"/>
      <c r="C1699" s="14"/>
      <c r="F1699" s="14"/>
      <c r="G1699" s="14"/>
      <c r="H1699" s="14"/>
      <c r="I1699" s="142"/>
      <c r="J1699" s="143"/>
    </row>
    <row r="1700">
      <c r="B1700" s="14"/>
      <c r="C1700" s="14"/>
      <c r="F1700" s="14"/>
      <c r="G1700" s="14"/>
      <c r="H1700" s="14"/>
      <c r="I1700" s="142"/>
      <c r="J1700" s="143"/>
    </row>
    <row r="1701">
      <c r="B1701" s="14"/>
      <c r="C1701" s="14"/>
      <c r="F1701" s="14"/>
      <c r="G1701" s="14"/>
      <c r="H1701" s="14"/>
      <c r="I1701" s="142"/>
      <c r="J1701" s="143"/>
    </row>
    <row r="1702">
      <c r="B1702" s="14"/>
      <c r="C1702" s="14"/>
      <c r="F1702" s="14"/>
      <c r="G1702" s="14"/>
      <c r="H1702" s="14"/>
      <c r="I1702" s="142"/>
      <c r="J1702" s="143"/>
    </row>
    <row r="1703">
      <c r="B1703" s="14"/>
      <c r="C1703" s="14"/>
      <c r="F1703" s="14"/>
      <c r="G1703" s="14"/>
      <c r="H1703" s="14"/>
      <c r="I1703" s="142"/>
      <c r="J1703" s="143"/>
    </row>
    <row r="1704">
      <c r="B1704" s="14"/>
      <c r="C1704" s="14"/>
      <c r="F1704" s="14"/>
      <c r="G1704" s="14"/>
      <c r="H1704" s="14"/>
      <c r="I1704" s="142"/>
      <c r="J1704" s="143"/>
    </row>
    <row r="1705">
      <c r="B1705" s="14"/>
      <c r="C1705" s="14"/>
      <c r="F1705" s="14"/>
      <c r="G1705" s="14"/>
      <c r="H1705" s="14"/>
      <c r="I1705" s="142"/>
      <c r="J1705" s="143"/>
    </row>
    <row r="1706">
      <c r="B1706" s="14"/>
      <c r="C1706" s="14"/>
      <c r="F1706" s="14"/>
      <c r="G1706" s="14"/>
      <c r="H1706" s="14"/>
      <c r="I1706" s="142"/>
      <c r="J1706" s="143"/>
    </row>
    <row r="1707">
      <c r="B1707" s="14"/>
      <c r="C1707" s="14"/>
      <c r="F1707" s="14"/>
      <c r="G1707" s="14"/>
      <c r="H1707" s="14"/>
      <c r="I1707" s="142"/>
      <c r="J1707" s="143"/>
    </row>
    <row r="1708">
      <c r="B1708" s="14"/>
      <c r="C1708" s="14"/>
      <c r="F1708" s="14"/>
      <c r="G1708" s="14"/>
      <c r="H1708" s="14"/>
      <c r="I1708" s="142"/>
      <c r="J1708" s="143"/>
    </row>
    <row r="1709">
      <c r="B1709" s="14"/>
      <c r="C1709" s="14"/>
      <c r="F1709" s="14"/>
      <c r="G1709" s="14"/>
      <c r="H1709" s="14"/>
      <c r="I1709" s="142"/>
      <c r="J1709" s="143"/>
    </row>
    <row r="1710">
      <c r="B1710" s="14"/>
      <c r="C1710" s="14"/>
      <c r="F1710" s="14"/>
      <c r="G1710" s="14"/>
      <c r="H1710" s="14"/>
      <c r="I1710" s="142"/>
      <c r="J1710" s="143"/>
    </row>
    <row r="1711">
      <c r="B1711" s="14"/>
      <c r="C1711" s="14"/>
      <c r="F1711" s="14"/>
      <c r="G1711" s="14"/>
      <c r="H1711" s="14"/>
      <c r="I1711" s="142"/>
      <c r="J1711" s="143"/>
    </row>
    <row r="1712">
      <c r="B1712" s="14"/>
      <c r="C1712" s="14"/>
      <c r="F1712" s="14"/>
      <c r="G1712" s="14"/>
      <c r="H1712" s="14"/>
      <c r="I1712" s="142"/>
      <c r="J1712" s="143"/>
    </row>
    <row r="1713">
      <c r="B1713" s="14"/>
      <c r="C1713" s="14"/>
      <c r="F1713" s="14"/>
      <c r="G1713" s="14"/>
      <c r="H1713" s="14"/>
      <c r="I1713" s="142"/>
      <c r="J1713" s="143"/>
    </row>
    <row r="1714">
      <c r="B1714" s="14"/>
      <c r="C1714" s="14"/>
      <c r="F1714" s="14"/>
      <c r="G1714" s="14"/>
      <c r="H1714" s="14"/>
      <c r="I1714" s="142"/>
      <c r="J1714" s="143"/>
    </row>
    <row r="1715">
      <c r="B1715" s="14"/>
      <c r="C1715" s="14"/>
      <c r="F1715" s="14"/>
      <c r="G1715" s="14"/>
      <c r="H1715" s="14"/>
      <c r="I1715" s="142"/>
      <c r="J1715" s="143"/>
    </row>
    <row r="1716">
      <c r="B1716" s="14"/>
      <c r="C1716" s="14"/>
      <c r="F1716" s="14"/>
      <c r="G1716" s="14"/>
      <c r="H1716" s="14"/>
      <c r="I1716" s="142"/>
      <c r="J1716" s="143"/>
    </row>
    <row r="1717">
      <c r="B1717" s="14"/>
      <c r="C1717" s="14"/>
      <c r="F1717" s="14"/>
      <c r="G1717" s="14"/>
      <c r="H1717" s="14"/>
      <c r="I1717" s="142"/>
      <c r="J1717" s="143"/>
    </row>
    <row r="1718">
      <c r="B1718" s="14"/>
      <c r="C1718" s="14"/>
      <c r="F1718" s="14"/>
      <c r="G1718" s="14"/>
      <c r="H1718" s="14"/>
      <c r="I1718" s="142"/>
      <c r="J1718" s="143"/>
    </row>
    <row r="1719">
      <c r="B1719" s="14"/>
      <c r="C1719" s="14"/>
      <c r="F1719" s="14"/>
      <c r="G1719" s="14"/>
      <c r="H1719" s="14"/>
      <c r="I1719" s="142"/>
      <c r="J1719" s="143"/>
    </row>
    <row r="1720">
      <c r="B1720" s="14"/>
      <c r="C1720" s="14"/>
      <c r="F1720" s="14"/>
      <c r="G1720" s="14"/>
      <c r="H1720" s="14"/>
      <c r="I1720" s="142"/>
      <c r="J1720" s="143"/>
    </row>
    <row r="1721">
      <c r="B1721" s="14"/>
      <c r="C1721" s="14"/>
      <c r="F1721" s="14"/>
      <c r="G1721" s="14"/>
      <c r="H1721" s="14"/>
      <c r="I1721" s="142"/>
      <c r="J1721" s="143"/>
    </row>
    <row r="1722">
      <c r="B1722" s="14"/>
      <c r="C1722" s="14"/>
      <c r="F1722" s="14"/>
      <c r="G1722" s="14"/>
      <c r="H1722" s="14"/>
      <c r="I1722" s="142"/>
      <c r="J1722" s="143"/>
    </row>
    <row r="1723">
      <c r="B1723" s="14"/>
      <c r="C1723" s="14"/>
      <c r="F1723" s="14"/>
      <c r="G1723" s="14"/>
      <c r="H1723" s="14"/>
      <c r="I1723" s="142"/>
      <c r="J1723" s="143"/>
    </row>
    <row r="1724">
      <c r="B1724" s="14"/>
      <c r="C1724" s="14"/>
      <c r="F1724" s="14"/>
      <c r="G1724" s="14"/>
      <c r="H1724" s="14"/>
      <c r="I1724" s="142"/>
      <c r="J1724" s="143"/>
    </row>
    <row r="1725">
      <c r="B1725" s="14"/>
      <c r="C1725" s="14"/>
      <c r="F1725" s="14"/>
      <c r="G1725" s="14"/>
      <c r="H1725" s="14"/>
      <c r="I1725" s="142"/>
      <c r="J1725" s="143"/>
    </row>
    <row r="1726">
      <c r="B1726" s="14"/>
      <c r="C1726" s="14"/>
      <c r="F1726" s="14"/>
      <c r="G1726" s="14"/>
      <c r="H1726" s="14"/>
      <c r="I1726" s="142"/>
      <c r="J1726" s="143"/>
    </row>
    <row r="1727">
      <c r="B1727" s="14"/>
      <c r="C1727" s="14"/>
      <c r="F1727" s="14"/>
      <c r="G1727" s="14"/>
      <c r="H1727" s="14"/>
      <c r="I1727" s="142"/>
      <c r="J1727" s="143"/>
    </row>
    <row r="1728">
      <c r="B1728" s="14"/>
      <c r="C1728" s="14"/>
      <c r="F1728" s="14"/>
      <c r="G1728" s="14"/>
      <c r="H1728" s="14"/>
      <c r="I1728" s="142"/>
      <c r="J1728" s="143"/>
    </row>
    <row r="1729">
      <c r="B1729" s="14"/>
      <c r="C1729" s="14"/>
      <c r="F1729" s="14"/>
      <c r="G1729" s="14"/>
      <c r="H1729" s="14"/>
      <c r="I1729" s="142"/>
      <c r="J1729" s="143"/>
    </row>
    <row r="1730">
      <c r="B1730" s="14"/>
      <c r="C1730" s="14"/>
      <c r="F1730" s="14"/>
      <c r="G1730" s="14"/>
      <c r="H1730" s="14"/>
      <c r="I1730" s="142"/>
      <c r="J1730" s="143"/>
    </row>
    <row r="1731">
      <c r="B1731" s="14"/>
      <c r="C1731" s="14"/>
      <c r="F1731" s="14"/>
      <c r="G1731" s="14"/>
      <c r="H1731" s="14"/>
      <c r="I1731" s="142"/>
      <c r="J1731" s="143"/>
    </row>
    <row r="1732">
      <c r="B1732" s="14"/>
      <c r="C1732" s="14"/>
      <c r="F1732" s="14"/>
      <c r="G1732" s="14"/>
      <c r="H1732" s="14"/>
      <c r="I1732" s="142"/>
      <c r="J1732" s="143"/>
    </row>
    <row r="1733">
      <c r="B1733" s="14"/>
      <c r="C1733" s="14"/>
      <c r="F1733" s="14"/>
      <c r="G1733" s="14"/>
      <c r="H1733" s="14"/>
      <c r="I1733" s="142"/>
      <c r="J1733" s="143"/>
    </row>
    <row r="1734">
      <c r="B1734" s="14"/>
      <c r="C1734" s="14"/>
      <c r="F1734" s="14"/>
      <c r="G1734" s="14"/>
      <c r="H1734" s="14"/>
      <c r="I1734" s="142"/>
      <c r="J1734" s="143"/>
    </row>
    <row r="1735">
      <c r="B1735" s="14"/>
      <c r="C1735" s="14"/>
      <c r="F1735" s="14"/>
      <c r="G1735" s="14"/>
      <c r="H1735" s="14"/>
      <c r="I1735" s="142"/>
      <c r="J1735" s="143"/>
    </row>
    <row r="1736">
      <c r="B1736" s="14"/>
      <c r="C1736" s="14"/>
      <c r="F1736" s="14"/>
      <c r="G1736" s="14"/>
      <c r="H1736" s="14"/>
      <c r="I1736" s="142"/>
      <c r="J1736" s="143"/>
    </row>
    <row r="1737">
      <c r="B1737" s="14"/>
      <c r="C1737" s="14"/>
      <c r="F1737" s="14"/>
      <c r="G1737" s="14"/>
      <c r="H1737" s="14"/>
      <c r="I1737" s="142"/>
      <c r="J1737" s="143"/>
    </row>
    <row r="1738">
      <c r="B1738" s="14"/>
      <c r="C1738" s="14"/>
      <c r="F1738" s="14"/>
      <c r="G1738" s="14"/>
      <c r="H1738" s="14"/>
      <c r="I1738" s="142"/>
      <c r="J1738" s="143"/>
    </row>
    <row r="1739">
      <c r="B1739" s="14"/>
      <c r="C1739" s="14"/>
      <c r="F1739" s="14"/>
      <c r="G1739" s="14"/>
      <c r="H1739" s="14"/>
      <c r="I1739" s="142"/>
      <c r="J1739" s="143"/>
    </row>
    <row r="1740">
      <c r="B1740" s="14"/>
      <c r="C1740" s="14"/>
      <c r="F1740" s="14"/>
      <c r="G1740" s="14"/>
      <c r="H1740" s="14"/>
      <c r="I1740" s="142"/>
      <c r="J1740" s="143"/>
    </row>
    <row r="1741">
      <c r="B1741" s="14"/>
      <c r="C1741" s="14"/>
      <c r="F1741" s="14"/>
      <c r="G1741" s="14"/>
      <c r="H1741" s="14"/>
      <c r="I1741" s="142"/>
      <c r="J1741" s="143"/>
    </row>
    <row r="1742">
      <c r="B1742" s="14"/>
      <c r="C1742" s="14"/>
      <c r="F1742" s="14"/>
      <c r="G1742" s="14"/>
      <c r="H1742" s="14"/>
      <c r="I1742" s="142"/>
      <c r="J1742" s="143"/>
    </row>
    <row r="1743">
      <c r="B1743" s="14"/>
      <c r="C1743" s="14"/>
      <c r="F1743" s="14"/>
      <c r="G1743" s="14"/>
      <c r="H1743" s="14"/>
      <c r="I1743" s="142"/>
      <c r="J1743" s="143"/>
    </row>
    <row r="1744">
      <c r="B1744" s="14"/>
      <c r="C1744" s="14"/>
      <c r="F1744" s="14"/>
      <c r="G1744" s="14"/>
      <c r="H1744" s="14"/>
      <c r="I1744" s="142"/>
      <c r="J1744" s="143"/>
    </row>
    <row r="1745">
      <c r="B1745" s="14"/>
      <c r="C1745" s="14"/>
      <c r="F1745" s="14"/>
      <c r="G1745" s="14"/>
      <c r="H1745" s="14"/>
      <c r="I1745" s="142"/>
      <c r="J1745" s="143"/>
    </row>
    <row r="1746">
      <c r="B1746" s="14"/>
      <c r="C1746" s="14"/>
      <c r="F1746" s="14"/>
      <c r="G1746" s="14"/>
      <c r="H1746" s="14"/>
      <c r="I1746" s="142"/>
      <c r="J1746" s="143"/>
    </row>
    <row r="1747">
      <c r="B1747" s="14"/>
      <c r="C1747" s="14"/>
      <c r="F1747" s="14"/>
      <c r="G1747" s="14"/>
      <c r="H1747" s="14"/>
      <c r="I1747" s="142"/>
      <c r="J1747" s="143"/>
    </row>
    <row r="1748">
      <c r="B1748" s="14"/>
      <c r="C1748" s="14"/>
      <c r="F1748" s="14"/>
      <c r="G1748" s="14"/>
      <c r="H1748" s="14"/>
      <c r="I1748" s="142"/>
      <c r="J1748" s="143"/>
    </row>
    <row r="1749">
      <c r="B1749" s="14"/>
      <c r="C1749" s="14"/>
      <c r="F1749" s="14"/>
      <c r="G1749" s="14"/>
      <c r="H1749" s="14"/>
      <c r="I1749" s="142"/>
      <c r="J1749" s="143"/>
    </row>
    <row r="1750">
      <c r="B1750" s="14"/>
      <c r="C1750" s="14"/>
      <c r="F1750" s="14"/>
      <c r="G1750" s="14"/>
      <c r="H1750" s="14"/>
      <c r="I1750" s="142"/>
      <c r="J1750" s="143"/>
    </row>
    <row r="1751">
      <c r="B1751" s="14"/>
      <c r="C1751" s="14"/>
      <c r="F1751" s="14"/>
      <c r="G1751" s="14"/>
      <c r="H1751" s="14"/>
      <c r="I1751" s="142"/>
      <c r="J1751" s="143"/>
    </row>
    <row r="1752">
      <c r="B1752" s="14"/>
      <c r="C1752" s="14"/>
      <c r="F1752" s="14"/>
      <c r="G1752" s="14"/>
      <c r="H1752" s="14"/>
      <c r="I1752" s="142"/>
      <c r="J1752" s="143"/>
    </row>
    <row r="1753">
      <c r="B1753" s="14"/>
      <c r="C1753" s="14"/>
      <c r="F1753" s="14"/>
      <c r="G1753" s="14"/>
      <c r="H1753" s="14"/>
      <c r="I1753" s="142"/>
      <c r="J1753" s="143"/>
    </row>
    <row r="1754">
      <c r="B1754" s="14"/>
      <c r="C1754" s="14"/>
      <c r="F1754" s="14"/>
      <c r="G1754" s="14"/>
      <c r="H1754" s="14"/>
      <c r="I1754" s="142"/>
      <c r="J1754" s="143"/>
    </row>
    <row r="1755">
      <c r="B1755" s="14"/>
      <c r="C1755" s="14"/>
      <c r="F1755" s="14"/>
      <c r="G1755" s="14"/>
      <c r="H1755" s="14"/>
      <c r="I1755" s="142"/>
      <c r="J1755" s="143"/>
    </row>
    <row r="1756">
      <c r="B1756" s="14"/>
      <c r="C1756" s="14"/>
      <c r="F1756" s="14"/>
      <c r="G1756" s="14"/>
      <c r="H1756" s="14"/>
      <c r="I1756" s="142"/>
      <c r="J1756" s="143"/>
    </row>
    <row r="1757">
      <c r="B1757" s="14"/>
      <c r="C1757" s="14"/>
      <c r="F1757" s="14"/>
      <c r="G1757" s="14"/>
      <c r="H1757" s="14"/>
      <c r="I1757" s="142"/>
      <c r="J1757" s="143"/>
    </row>
    <row r="1758">
      <c r="B1758" s="14"/>
      <c r="C1758" s="14"/>
      <c r="F1758" s="14"/>
      <c r="G1758" s="14"/>
      <c r="H1758" s="14"/>
      <c r="I1758" s="142"/>
      <c r="J1758" s="143"/>
    </row>
    <row r="1759">
      <c r="B1759" s="14"/>
      <c r="C1759" s="14"/>
      <c r="F1759" s="14"/>
      <c r="G1759" s="14"/>
      <c r="H1759" s="14"/>
      <c r="I1759" s="142"/>
      <c r="J1759" s="143"/>
    </row>
    <row r="1760">
      <c r="B1760" s="14"/>
      <c r="C1760" s="14"/>
      <c r="F1760" s="14"/>
      <c r="G1760" s="14"/>
      <c r="H1760" s="14"/>
      <c r="I1760" s="142"/>
      <c r="J1760" s="143"/>
    </row>
    <row r="1761">
      <c r="B1761" s="14"/>
      <c r="C1761" s="14"/>
      <c r="F1761" s="14"/>
      <c r="G1761" s="14"/>
      <c r="H1761" s="14"/>
      <c r="I1761" s="142"/>
      <c r="J1761" s="143"/>
    </row>
    <row r="1762">
      <c r="B1762" s="14"/>
      <c r="C1762" s="14"/>
      <c r="F1762" s="14"/>
      <c r="G1762" s="14"/>
      <c r="H1762" s="14"/>
      <c r="I1762" s="142"/>
      <c r="J1762" s="143"/>
    </row>
    <row r="1763">
      <c r="B1763" s="14"/>
      <c r="C1763" s="14"/>
      <c r="F1763" s="14"/>
      <c r="G1763" s="14"/>
      <c r="H1763" s="14"/>
      <c r="I1763" s="142"/>
      <c r="J1763" s="143"/>
    </row>
    <row r="1764">
      <c r="B1764" s="14"/>
      <c r="C1764" s="14"/>
      <c r="F1764" s="14"/>
      <c r="G1764" s="14"/>
      <c r="H1764" s="14"/>
      <c r="I1764" s="142"/>
      <c r="J1764" s="143"/>
    </row>
    <row r="1765">
      <c r="B1765" s="14"/>
      <c r="C1765" s="14"/>
      <c r="F1765" s="14"/>
      <c r="G1765" s="14"/>
      <c r="H1765" s="14"/>
      <c r="I1765" s="142"/>
      <c r="J1765" s="143"/>
    </row>
    <row r="1766">
      <c r="B1766" s="14"/>
      <c r="C1766" s="14"/>
      <c r="F1766" s="14"/>
      <c r="G1766" s="14"/>
      <c r="H1766" s="14"/>
      <c r="I1766" s="142"/>
      <c r="J1766" s="143"/>
    </row>
    <row r="1767">
      <c r="B1767" s="14"/>
      <c r="C1767" s="14"/>
      <c r="F1767" s="14"/>
      <c r="G1767" s="14"/>
      <c r="H1767" s="14"/>
      <c r="I1767" s="142"/>
      <c r="J1767" s="143"/>
    </row>
    <row r="1768">
      <c r="B1768" s="14"/>
      <c r="C1768" s="14"/>
      <c r="F1768" s="14"/>
      <c r="G1768" s="14"/>
      <c r="H1768" s="14"/>
      <c r="I1768" s="142"/>
      <c r="J1768" s="143"/>
    </row>
    <row r="1769">
      <c r="B1769" s="14"/>
      <c r="C1769" s="14"/>
      <c r="F1769" s="14"/>
      <c r="G1769" s="14"/>
      <c r="H1769" s="14"/>
      <c r="I1769" s="142"/>
      <c r="J1769" s="143"/>
    </row>
    <row r="1770">
      <c r="B1770" s="14"/>
      <c r="C1770" s="14"/>
      <c r="F1770" s="14"/>
      <c r="G1770" s="14"/>
      <c r="H1770" s="14"/>
      <c r="I1770" s="142"/>
      <c r="J1770" s="143"/>
    </row>
    <row r="1771">
      <c r="B1771" s="14"/>
      <c r="C1771" s="14"/>
      <c r="F1771" s="14"/>
      <c r="G1771" s="14"/>
      <c r="H1771" s="14"/>
      <c r="I1771" s="142"/>
      <c r="J1771" s="143"/>
    </row>
    <row r="1772">
      <c r="B1772" s="14"/>
      <c r="C1772" s="14"/>
      <c r="F1772" s="14"/>
      <c r="G1772" s="14"/>
      <c r="H1772" s="14"/>
      <c r="I1772" s="142"/>
      <c r="J1772" s="143"/>
    </row>
    <row r="1773">
      <c r="B1773" s="14"/>
      <c r="C1773" s="14"/>
      <c r="F1773" s="14"/>
      <c r="G1773" s="14"/>
      <c r="H1773" s="14"/>
      <c r="I1773" s="142"/>
      <c r="J1773" s="143"/>
    </row>
    <row r="1774">
      <c r="B1774" s="14"/>
      <c r="C1774" s="14"/>
      <c r="F1774" s="14"/>
      <c r="G1774" s="14"/>
      <c r="H1774" s="14"/>
      <c r="I1774" s="142"/>
      <c r="J1774" s="143"/>
    </row>
    <row r="1775">
      <c r="B1775" s="14"/>
      <c r="C1775" s="14"/>
      <c r="F1775" s="14"/>
      <c r="G1775" s="14"/>
      <c r="H1775" s="14"/>
      <c r="I1775" s="142"/>
      <c r="J1775" s="143"/>
    </row>
    <row r="1776">
      <c r="B1776" s="14"/>
      <c r="C1776" s="14"/>
      <c r="F1776" s="14"/>
      <c r="G1776" s="14"/>
      <c r="H1776" s="14"/>
      <c r="I1776" s="142"/>
      <c r="J1776" s="143"/>
    </row>
    <row r="1777">
      <c r="B1777" s="14"/>
      <c r="C1777" s="14"/>
      <c r="F1777" s="14"/>
      <c r="G1777" s="14"/>
      <c r="H1777" s="14"/>
      <c r="I1777" s="142"/>
      <c r="J1777" s="143"/>
    </row>
    <row r="1778">
      <c r="B1778" s="14"/>
      <c r="C1778" s="14"/>
      <c r="F1778" s="14"/>
      <c r="G1778" s="14"/>
      <c r="H1778" s="14"/>
      <c r="I1778" s="142"/>
      <c r="J1778" s="143"/>
    </row>
    <row r="1779">
      <c r="B1779" s="14"/>
      <c r="C1779" s="14"/>
      <c r="F1779" s="14"/>
      <c r="G1779" s="14"/>
      <c r="H1779" s="14"/>
      <c r="I1779" s="142"/>
      <c r="J1779" s="143"/>
    </row>
    <row r="1780">
      <c r="B1780" s="14"/>
      <c r="C1780" s="14"/>
      <c r="F1780" s="14"/>
      <c r="G1780" s="14"/>
      <c r="H1780" s="14"/>
      <c r="I1780" s="142"/>
      <c r="J1780" s="143"/>
    </row>
    <row r="1781">
      <c r="B1781" s="14"/>
      <c r="C1781" s="14"/>
      <c r="F1781" s="14"/>
      <c r="G1781" s="14"/>
      <c r="H1781" s="14"/>
      <c r="I1781" s="142"/>
      <c r="J1781" s="143"/>
    </row>
    <row r="1782">
      <c r="B1782" s="14"/>
      <c r="C1782" s="14"/>
      <c r="F1782" s="14"/>
      <c r="G1782" s="14"/>
      <c r="H1782" s="14"/>
      <c r="I1782" s="142"/>
      <c r="J1782" s="143"/>
    </row>
    <row r="1783">
      <c r="B1783" s="14"/>
      <c r="C1783" s="14"/>
      <c r="F1783" s="14"/>
      <c r="G1783" s="14"/>
      <c r="H1783" s="14"/>
      <c r="I1783" s="142"/>
      <c r="J1783" s="143"/>
    </row>
    <row r="1784">
      <c r="B1784" s="14"/>
      <c r="C1784" s="14"/>
      <c r="F1784" s="14"/>
      <c r="G1784" s="14"/>
      <c r="H1784" s="14"/>
      <c r="I1784" s="142"/>
      <c r="J1784" s="143"/>
    </row>
    <row r="1785">
      <c r="B1785" s="14"/>
      <c r="C1785" s="14"/>
      <c r="F1785" s="14"/>
      <c r="G1785" s="14"/>
      <c r="H1785" s="14"/>
      <c r="I1785" s="142"/>
      <c r="J1785" s="143"/>
    </row>
    <row r="1786">
      <c r="B1786" s="14"/>
      <c r="C1786" s="14"/>
      <c r="F1786" s="14"/>
      <c r="G1786" s="14"/>
      <c r="H1786" s="14"/>
      <c r="I1786" s="142"/>
      <c r="J1786" s="143"/>
    </row>
    <row r="1787">
      <c r="B1787" s="14"/>
      <c r="C1787" s="14"/>
      <c r="F1787" s="14"/>
      <c r="G1787" s="14"/>
      <c r="H1787" s="14"/>
      <c r="I1787" s="142"/>
      <c r="J1787" s="143"/>
    </row>
    <row r="1788">
      <c r="B1788" s="14"/>
      <c r="C1788" s="14"/>
      <c r="F1788" s="14"/>
      <c r="G1788" s="14"/>
      <c r="H1788" s="14"/>
      <c r="I1788" s="142"/>
      <c r="J1788" s="143"/>
    </row>
    <row r="1789">
      <c r="B1789" s="14"/>
      <c r="C1789" s="14"/>
      <c r="F1789" s="14"/>
      <c r="G1789" s="14"/>
      <c r="H1789" s="14"/>
      <c r="I1789" s="142"/>
      <c r="J1789" s="143"/>
    </row>
    <row r="1790">
      <c r="B1790" s="14"/>
      <c r="C1790" s="14"/>
      <c r="F1790" s="14"/>
      <c r="G1790" s="14"/>
      <c r="H1790" s="14"/>
      <c r="I1790" s="142"/>
      <c r="J1790" s="143"/>
    </row>
    <row r="1791">
      <c r="B1791" s="14"/>
      <c r="C1791" s="14"/>
      <c r="F1791" s="14"/>
      <c r="G1791" s="14"/>
      <c r="H1791" s="14"/>
      <c r="I1791" s="142"/>
      <c r="J1791" s="143"/>
    </row>
    <row r="1792">
      <c r="B1792" s="14"/>
      <c r="C1792" s="14"/>
      <c r="F1792" s="14"/>
      <c r="G1792" s="14"/>
      <c r="H1792" s="14"/>
      <c r="I1792" s="142"/>
      <c r="J1792" s="143"/>
    </row>
    <row r="1793">
      <c r="B1793" s="14"/>
      <c r="C1793" s="14"/>
      <c r="F1793" s="14"/>
      <c r="G1793" s="14"/>
      <c r="H1793" s="14"/>
      <c r="I1793" s="142"/>
      <c r="J1793" s="143"/>
    </row>
    <row r="1794">
      <c r="B1794" s="14"/>
      <c r="C1794" s="14"/>
      <c r="F1794" s="14"/>
      <c r="G1794" s="14"/>
      <c r="H1794" s="14"/>
      <c r="I1794" s="142"/>
      <c r="J1794" s="143"/>
    </row>
    <row r="1795">
      <c r="B1795" s="14"/>
      <c r="C1795" s="14"/>
      <c r="F1795" s="14"/>
      <c r="G1795" s="14"/>
      <c r="H1795" s="14"/>
      <c r="I1795" s="142"/>
      <c r="J1795" s="143"/>
    </row>
    <row r="1796">
      <c r="B1796" s="14"/>
      <c r="C1796" s="14"/>
      <c r="F1796" s="14"/>
      <c r="G1796" s="14"/>
      <c r="H1796" s="14"/>
      <c r="I1796" s="142"/>
      <c r="J1796" s="143"/>
    </row>
    <row r="1797">
      <c r="B1797" s="14"/>
      <c r="C1797" s="14"/>
      <c r="F1797" s="14"/>
      <c r="G1797" s="14"/>
      <c r="H1797" s="14"/>
      <c r="I1797" s="142"/>
      <c r="J1797" s="143"/>
    </row>
    <row r="1798">
      <c r="B1798" s="14"/>
      <c r="C1798" s="14"/>
      <c r="F1798" s="14"/>
      <c r="G1798" s="14"/>
      <c r="H1798" s="14"/>
      <c r="I1798" s="142"/>
      <c r="J1798" s="143"/>
    </row>
    <row r="1799">
      <c r="B1799" s="14"/>
      <c r="C1799" s="14"/>
      <c r="F1799" s="14"/>
      <c r="G1799" s="14"/>
      <c r="H1799" s="14"/>
      <c r="I1799" s="142"/>
      <c r="J1799" s="143"/>
    </row>
    <row r="1800">
      <c r="B1800" s="14"/>
      <c r="C1800" s="14"/>
      <c r="F1800" s="14"/>
      <c r="G1800" s="14"/>
      <c r="H1800" s="14"/>
      <c r="I1800" s="142"/>
      <c r="J1800" s="143"/>
    </row>
    <row r="1801">
      <c r="B1801" s="14"/>
      <c r="C1801" s="14"/>
      <c r="F1801" s="14"/>
      <c r="G1801" s="14"/>
      <c r="H1801" s="14"/>
      <c r="I1801" s="142"/>
      <c r="J1801" s="143"/>
    </row>
    <row r="1802">
      <c r="B1802" s="14"/>
      <c r="C1802" s="14"/>
      <c r="F1802" s="14"/>
      <c r="G1802" s="14"/>
      <c r="H1802" s="14"/>
      <c r="I1802" s="142"/>
      <c r="J1802" s="143"/>
    </row>
    <row r="1803">
      <c r="B1803" s="14"/>
      <c r="C1803" s="14"/>
      <c r="F1803" s="14"/>
      <c r="G1803" s="14"/>
      <c r="H1803" s="14"/>
      <c r="I1803" s="142"/>
      <c r="J1803" s="143"/>
    </row>
    <row r="1804">
      <c r="B1804" s="14"/>
      <c r="C1804" s="14"/>
      <c r="F1804" s="14"/>
      <c r="G1804" s="14"/>
      <c r="H1804" s="14"/>
      <c r="I1804" s="142"/>
      <c r="J1804" s="143"/>
    </row>
    <row r="1805">
      <c r="B1805" s="14"/>
      <c r="C1805" s="14"/>
      <c r="F1805" s="14"/>
      <c r="G1805" s="14"/>
      <c r="H1805" s="14"/>
      <c r="I1805" s="142"/>
      <c r="J1805" s="143"/>
    </row>
    <row r="1806">
      <c r="B1806" s="14"/>
      <c r="C1806" s="14"/>
      <c r="F1806" s="14"/>
      <c r="G1806" s="14"/>
      <c r="H1806" s="14"/>
      <c r="I1806" s="142"/>
      <c r="J1806" s="143"/>
    </row>
    <row r="1807">
      <c r="B1807" s="14"/>
      <c r="C1807" s="14"/>
      <c r="F1807" s="14"/>
      <c r="G1807" s="14"/>
      <c r="H1807" s="14"/>
      <c r="I1807" s="142"/>
      <c r="J1807" s="143"/>
    </row>
    <row r="1808">
      <c r="B1808" s="14"/>
      <c r="C1808" s="14"/>
      <c r="F1808" s="14"/>
      <c r="G1808" s="14"/>
      <c r="H1808" s="14"/>
      <c r="I1808" s="142"/>
      <c r="J1808" s="143"/>
    </row>
    <row r="1809">
      <c r="B1809" s="14"/>
      <c r="C1809" s="14"/>
      <c r="F1809" s="14"/>
      <c r="G1809" s="14"/>
      <c r="H1809" s="14"/>
      <c r="I1809" s="142"/>
      <c r="J1809" s="143"/>
    </row>
    <row r="1810">
      <c r="B1810" s="14"/>
      <c r="C1810" s="14"/>
      <c r="F1810" s="14"/>
      <c r="G1810" s="14"/>
      <c r="H1810" s="14"/>
      <c r="I1810" s="142"/>
      <c r="J1810" s="143"/>
    </row>
    <row r="1811">
      <c r="B1811" s="14"/>
      <c r="C1811" s="14"/>
      <c r="F1811" s="14"/>
      <c r="G1811" s="14"/>
      <c r="H1811" s="14"/>
      <c r="I1811" s="142"/>
      <c r="J1811" s="143"/>
    </row>
    <row r="1812">
      <c r="B1812" s="14"/>
      <c r="C1812" s="14"/>
      <c r="F1812" s="14"/>
      <c r="G1812" s="14"/>
      <c r="H1812" s="14"/>
      <c r="I1812" s="142"/>
      <c r="J1812" s="143"/>
    </row>
    <row r="1813">
      <c r="B1813" s="14"/>
      <c r="C1813" s="14"/>
      <c r="F1813" s="14"/>
      <c r="G1813" s="14"/>
      <c r="H1813" s="14"/>
      <c r="I1813" s="142"/>
      <c r="J1813" s="143"/>
    </row>
    <row r="1814">
      <c r="B1814" s="14"/>
      <c r="C1814" s="14"/>
      <c r="F1814" s="14"/>
      <c r="G1814" s="14"/>
      <c r="H1814" s="14"/>
      <c r="I1814" s="142"/>
      <c r="J1814" s="143"/>
    </row>
    <row r="1815">
      <c r="B1815" s="14"/>
      <c r="C1815" s="14"/>
      <c r="F1815" s="14"/>
      <c r="G1815" s="14"/>
      <c r="H1815" s="14"/>
      <c r="I1815" s="142"/>
      <c r="J1815" s="143"/>
    </row>
    <row r="1816">
      <c r="B1816" s="14"/>
      <c r="C1816" s="14"/>
      <c r="F1816" s="14"/>
      <c r="G1816" s="14"/>
      <c r="H1816" s="14"/>
      <c r="I1816" s="142"/>
      <c r="J1816" s="143"/>
    </row>
    <row r="1817">
      <c r="B1817" s="14"/>
      <c r="C1817" s="14"/>
      <c r="F1817" s="14"/>
      <c r="G1817" s="14"/>
      <c r="H1817" s="14"/>
      <c r="I1817" s="142"/>
      <c r="J1817" s="143"/>
    </row>
    <row r="1818">
      <c r="B1818" s="14"/>
      <c r="C1818" s="14"/>
      <c r="F1818" s="14"/>
      <c r="G1818" s="14"/>
      <c r="H1818" s="14"/>
      <c r="I1818" s="142"/>
      <c r="J1818" s="143"/>
    </row>
    <row r="1819">
      <c r="B1819" s="14"/>
      <c r="C1819" s="14"/>
      <c r="F1819" s="14"/>
      <c r="G1819" s="14"/>
      <c r="H1819" s="14"/>
      <c r="I1819" s="142"/>
      <c r="J1819" s="143"/>
    </row>
    <row r="1820">
      <c r="B1820" s="14"/>
      <c r="C1820" s="14"/>
      <c r="F1820" s="14"/>
      <c r="G1820" s="14"/>
      <c r="H1820" s="14"/>
      <c r="I1820" s="142"/>
      <c r="J1820" s="143"/>
    </row>
    <row r="1821">
      <c r="B1821" s="14"/>
      <c r="C1821" s="14"/>
      <c r="F1821" s="14"/>
      <c r="G1821" s="14"/>
      <c r="H1821" s="14"/>
      <c r="I1821" s="142"/>
      <c r="J1821" s="143"/>
    </row>
    <row r="1822">
      <c r="B1822" s="14"/>
      <c r="C1822" s="14"/>
      <c r="F1822" s="14"/>
      <c r="G1822" s="14"/>
      <c r="H1822" s="14"/>
      <c r="I1822" s="142"/>
      <c r="J1822" s="143"/>
    </row>
    <row r="1823">
      <c r="B1823" s="14"/>
      <c r="C1823" s="14"/>
      <c r="F1823" s="14"/>
      <c r="G1823" s="14"/>
      <c r="H1823" s="14"/>
      <c r="I1823" s="142"/>
      <c r="J1823" s="143"/>
    </row>
    <row r="1824">
      <c r="B1824" s="14"/>
      <c r="C1824" s="14"/>
      <c r="F1824" s="14"/>
      <c r="G1824" s="14"/>
      <c r="H1824" s="14"/>
      <c r="I1824" s="142"/>
      <c r="J1824" s="143"/>
    </row>
    <row r="1825">
      <c r="B1825" s="14"/>
      <c r="C1825" s="14"/>
      <c r="F1825" s="14"/>
      <c r="G1825" s="14"/>
      <c r="H1825" s="14"/>
      <c r="I1825" s="142"/>
      <c r="J1825" s="143"/>
    </row>
    <row r="1826">
      <c r="B1826" s="14"/>
      <c r="C1826" s="14"/>
      <c r="F1826" s="14"/>
      <c r="G1826" s="14"/>
      <c r="H1826" s="14"/>
      <c r="I1826" s="142"/>
      <c r="J1826" s="143"/>
    </row>
    <row r="1827">
      <c r="B1827" s="14"/>
      <c r="C1827" s="14"/>
      <c r="F1827" s="14"/>
      <c r="G1827" s="14"/>
      <c r="H1827" s="14"/>
      <c r="I1827" s="142"/>
      <c r="J1827" s="143"/>
    </row>
    <row r="1828">
      <c r="B1828" s="14"/>
      <c r="C1828" s="14"/>
      <c r="F1828" s="14"/>
      <c r="G1828" s="14"/>
      <c r="H1828" s="14"/>
      <c r="I1828" s="142"/>
      <c r="J1828" s="143"/>
    </row>
    <row r="1829">
      <c r="B1829" s="14"/>
      <c r="C1829" s="14"/>
      <c r="F1829" s="14"/>
      <c r="G1829" s="14"/>
      <c r="H1829" s="14"/>
      <c r="I1829" s="142"/>
      <c r="J1829" s="143"/>
    </row>
    <row r="1830">
      <c r="B1830" s="14"/>
      <c r="C1830" s="14"/>
      <c r="F1830" s="14"/>
      <c r="G1830" s="14"/>
      <c r="H1830" s="14"/>
      <c r="I1830" s="142"/>
      <c r="J1830" s="143"/>
    </row>
    <row r="1831">
      <c r="B1831" s="14"/>
      <c r="C1831" s="14"/>
      <c r="F1831" s="14"/>
      <c r="G1831" s="14"/>
      <c r="H1831" s="14"/>
      <c r="I1831" s="142"/>
      <c r="J1831" s="143"/>
    </row>
    <row r="1832">
      <c r="B1832" s="14"/>
      <c r="C1832" s="14"/>
      <c r="F1832" s="14"/>
      <c r="G1832" s="14"/>
      <c r="H1832" s="14"/>
      <c r="I1832" s="142"/>
      <c r="J1832" s="143"/>
    </row>
    <row r="1833">
      <c r="B1833" s="14"/>
      <c r="C1833" s="14"/>
      <c r="F1833" s="14"/>
      <c r="G1833" s="14"/>
      <c r="H1833" s="14"/>
      <c r="I1833" s="142"/>
      <c r="J1833" s="143"/>
    </row>
    <row r="1834">
      <c r="B1834" s="14"/>
      <c r="C1834" s="14"/>
      <c r="F1834" s="14"/>
      <c r="G1834" s="14"/>
      <c r="H1834" s="14"/>
      <c r="I1834" s="142"/>
      <c r="J1834" s="143"/>
    </row>
    <row r="1835">
      <c r="B1835" s="14"/>
      <c r="C1835" s="14"/>
      <c r="F1835" s="14"/>
      <c r="G1835" s="14"/>
      <c r="H1835" s="14"/>
      <c r="I1835" s="142"/>
      <c r="J1835" s="143"/>
    </row>
    <row r="1836">
      <c r="B1836" s="14"/>
      <c r="C1836" s="14"/>
      <c r="F1836" s="14"/>
      <c r="G1836" s="14"/>
      <c r="H1836" s="14"/>
      <c r="I1836" s="142"/>
      <c r="J1836" s="143"/>
    </row>
    <row r="1837">
      <c r="B1837" s="14"/>
      <c r="C1837" s="14"/>
      <c r="F1837" s="14"/>
      <c r="G1837" s="14"/>
      <c r="H1837" s="14"/>
      <c r="I1837" s="142"/>
      <c r="J1837" s="143"/>
    </row>
    <row r="1838">
      <c r="B1838" s="14"/>
      <c r="C1838" s="14"/>
      <c r="F1838" s="14"/>
      <c r="G1838" s="14"/>
      <c r="H1838" s="14"/>
      <c r="I1838" s="142"/>
      <c r="J1838" s="143"/>
    </row>
    <row r="1839">
      <c r="B1839" s="14"/>
      <c r="C1839" s="14"/>
      <c r="F1839" s="14"/>
      <c r="G1839" s="14"/>
      <c r="H1839" s="14"/>
      <c r="I1839" s="142"/>
      <c r="J1839" s="143"/>
    </row>
    <row r="1840">
      <c r="B1840" s="14"/>
      <c r="C1840" s="14"/>
      <c r="F1840" s="14"/>
      <c r="G1840" s="14"/>
      <c r="H1840" s="14"/>
      <c r="I1840" s="142"/>
      <c r="J1840" s="143"/>
    </row>
    <row r="1841">
      <c r="B1841" s="14"/>
      <c r="C1841" s="14"/>
      <c r="F1841" s="14"/>
      <c r="G1841" s="14"/>
      <c r="H1841" s="14"/>
      <c r="I1841" s="142"/>
      <c r="J1841" s="143"/>
    </row>
    <row r="1842">
      <c r="B1842" s="14"/>
      <c r="C1842" s="14"/>
      <c r="F1842" s="14"/>
      <c r="G1842" s="14"/>
      <c r="H1842" s="14"/>
      <c r="I1842" s="142"/>
      <c r="J1842" s="143"/>
    </row>
    <row r="1843">
      <c r="B1843" s="14"/>
      <c r="C1843" s="14"/>
      <c r="F1843" s="14"/>
      <c r="G1843" s="14"/>
      <c r="H1843" s="14"/>
      <c r="I1843" s="142"/>
      <c r="J1843" s="143"/>
    </row>
    <row r="1844">
      <c r="B1844" s="14"/>
      <c r="C1844" s="14"/>
      <c r="F1844" s="14"/>
      <c r="G1844" s="14"/>
      <c r="H1844" s="14"/>
      <c r="I1844" s="142"/>
      <c r="J1844" s="143"/>
    </row>
    <row r="1845">
      <c r="B1845" s="14"/>
      <c r="C1845" s="14"/>
      <c r="F1845" s="14"/>
      <c r="G1845" s="14"/>
      <c r="H1845" s="14"/>
      <c r="I1845" s="142"/>
      <c r="J1845" s="143"/>
    </row>
  </sheetData>
  <drawing r:id="rId1"/>
</worksheet>
</file>