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ropbox\Advertising\Investment Property Spreadsheets\"/>
    </mc:Choice>
  </mc:AlternateContent>
  <bookViews>
    <workbookView xWindow="240" yWindow="156" windowWidth="13392" windowHeight="9696"/>
  </bookViews>
  <sheets>
    <sheet name="Inputs" sheetId="4" r:id="rId1"/>
    <sheet name="Cash-Flow" sheetId="2" r:id="rId2"/>
    <sheet name="15 Year Analysis" sheetId="7" r:id="rId3"/>
    <sheet name="15 Year with Extra Principal" sheetId="8" r:id="rId4"/>
    <sheet name="15 Year with CF to Principal" sheetId="10" r:id="rId5"/>
    <sheet name="What-If" sheetId="5" r:id="rId6"/>
  </sheets>
  <definedNames>
    <definedName name="NumberUnits">Inputs!$K$1:$K$2</definedName>
    <definedName name="_xlnm.Print_Area" localSheetId="2">'15 Year Analysis'!$A$1:$K$55</definedName>
    <definedName name="_xlnm.Print_Area" localSheetId="4">'15 Year with CF to Principal'!$A$1:$K$55</definedName>
    <definedName name="_xlnm.Print_Area" localSheetId="3">'15 Year with Extra Principal'!$A$1:$K$55</definedName>
    <definedName name="_xlnm.Print_Area" localSheetId="0">Inputs!$A$1:$I$72</definedName>
    <definedName name="_xlnm.Print_Area" localSheetId="5">'What-If'!$A$1:$N$50</definedName>
  </definedNames>
  <calcPr calcId="152511"/>
</workbook>
</file>

<file path=xl/calcChain.xml><?xml version="1.0" encoding="utf-8"?>
<calcChain xmlns="http://schemas.openxmlformats.org/spreadsheetml/2006/main">
  <c r="E11" i="5" l="1"/>
  <c r="B18" i="4" l="1"/>
  <c r="C13" i="4" l="1"/>
  <c r="A53" i="10" l="1"/>
  <c r="C39" i="10"/>
  <c r="E39" i="10" s="1"/>
  <c r="G39" i="10" s="1"/>
  <c r="C30" i="10"/>
  <c r="E30" i="10" s="1"/>
  <c r="G30" i="10" s="1"/>
  <c r="I30" i="10" s="1"/>
  <c r="K30" i="10" s="1"/>
  <c r="M30" i="10" s="1"/>
  <c r="O30" i="10" s="1"/>
  <c r="Q30" i="10" s="1"/>
  <c r="S30" i="10" s="1"/>
  <c r="U30" i="10" s="1"/>
  <c r="W30" i="10" s="1"/>
  <c r="Y30" i="10" s="1"/>
  <c r="AA30" i="10" s="1"/>
  <c r="AC30" i="10" s="1"/>
  <c r="AE30" i="10" s="1"/>
  <c r="AG30" i="10" s="1"/>
  <c r="A30" i="10"/>
  <c r="E29" i="10"/>
  <c r="G29" i="10" s="1"/>
  <c r="I29" i="10" s="1"/>
  <c r="K29" i="10" s="1"/>
  <c r="M29" i="10" s="1"/>
  <c r="O29" i="10" s="1"/>
  <c r="Q29" i="10" s="1"/>
  <c r="S29" i="10" s="1"/>
  <c r="U29" i="10" s="1"/>
  <c r="W29" i="10" s="1"/>
  <c r="Y29" i="10" s="1"/>
  <c r="AA29" i="10" s="1"/>
  <c r="AC29" i="10" s="1"/>
  <c r="AE29" i="10" s="1"/>
  <c r="AG29" i="10" s="1"/>
  <c r="C29" i="10"/>
  <c r="A29" i="10"/>
  <c r="C28" i="10"/>
  <c r="E28" i="10" s="1"/>
  <c r="G28" i="10" s="1"/>
  <c r="I28" i="10" s="1"/>
  <c r="K28" i="10" s="1"/>
  <c r="M28" i="10" s="1"/>
  <c r="O28" i="10" s="1"/>
  <c r="Q28" i="10" s="1"/>
  <c r="S28" i="10" s="1"/>
  <c r="U28" i="10" s="1"/>
  <c r="W28" i="10" s="1"/>
  <c r="Y28" i="10" s="1"/>
  <c r="AA28" i="10" s="1"/>
  <c r="AC28" i="10" s="1"/>
  <c r="AE28" i="10" s="1"/>
  <c r="AG28" i="10" s="1"/>
  <c r="A28" i="10"/>
  <c r="C27" i="10"/>
  <c r="E27" i="10" s="1"/>
  <c r="G27" i="10" s="1"/>
  <c r="I27" i="10" s="1"/>
  <c r="K27" i="10" s="1"/>
  <c r="M27" i="10" s="1"/>
  <c r="O27" i="10" s="1"/>
  <c r="Q27" i="10" s="1"/>
  <c r="S27" i="10" s="1"/>
  <c r="U27" i="10" s="1"/>
  <c r="W27" i="10" s="1"/>
  <c r="Y27" i="10" s="1"/>
  <c r="AA27" i="10" s="1"/>
  <c r="AC27" i="10" s="1"/>
  <c r="AE27" i="10" s="1"/>
  <c r="AG27" i="10" s="1"/>
  <c r="A27" i="10"/>
  <c r="C26" i="10"/>
  <c r="E26" i="10" s="1"/>
  <c r="G26" i="10" s="1"/>
  <c r="I26" i="10" s="1"/>
  <c r="K26" i="10" s="1"/>
  <c r="M26" i="10" s="1"/>
  <c r="O26" i="10" s="1"/>
  <c r="Q26" i="10" s="1"/>
  <c r="S26" i="10" s="1"/>
  <c r="U26" i="10" s="1"/>
  <c r="W26" i="10" s="1"/>
  <c r="Y26" i="10" s="1"/>
  <c r="AA26" i="10" s="1"/>
  <c r="AC26" i="10" s="1"/>
  <c r="AE26" i="10" s="1"/>
  <c r="AG26" i="10" s="1"/>
  <c r="A26" i="10"/>
  <c r="C25" i="10"/>
  <c r="E25" i="10" s="1"/>
  <c r="G25" i="10" s="1"/>
  <c r="I25" i="10" s="1"/>
  <c r="K25" i="10" s="1"/>
  <c r="M25" i="10" s="1"/>
  <c r="O25" i="10" s="1"/>
  <c r="Q25" i="10" s="1"/>
  <c r="S25" i="10" s="1"/>
  <c r="U25" i="10" s="1"/>
  <c r="W25" i="10" s="1"/>
  <c r="Y25" i="10" s="1"/>
  <c r="AA25" i="10" s="1"/>
  <c r="AC25" i="10" s="1"/>
  <c r="AE25" i="10" s="1"/>
  <c r="AG25" i="10" s="1"/>
  <c r="A25" i="10"/>
  <c r="E24" i="10"/>
  <c r="G24" i="10" s="1"/>
  <c r="I24" i="10" s="1"/>
  <c r="K24" i="10" s="1"/>
  <c r="M24" i="10" s="1"/>
  <c r="O24" i="10" s="1"/>
  <c r="Q24" i="10" s="1"/>
  <c r="S24" i="10" s="1"/>
  <c r="U24" i="10" s="1"/>
  <c r="W24" i="10" s="1"/>
  <c r="Y24" i="10" s="1"/>
  <c r="AA24" i="10" s="1"/>
  <c r="AC24" i="10" s="1"/>
  <c r="AE24" i="10" s="1"/>
  <c r="AG24" i="10" s="1"/>
  <c r="C24" i="10"/>
  <c r="C23" i="10"/>
  <c r="E23" i="10" s="1"/>
  <c r="G23" i="10" s="1"/>
  <c r="I23" i="10" s="1"/>
  <c r="K23" i="10" s="1"/>
  <c r="M23" i="10" s="1"/>
  <c r="O23" i="10" s="1"/>
  <c r="Q23" i="10" s="1"/>
  <c r="S23" i="10" s="1"/>
  <c r="U23" i="10" s="1"/>
  <c r="W23" i="10" s="1"/>
  <c r="Y23" i="10" s="1"/>
  <c r="AA23" i="10" s="1"/>
  <c r="AC23" i="10" s="1"/>
  <c r="AE23" i="10" s="1"/>
  <c r="AG23" i="10" s="1"/>
  <c r="C22" i="10"/>
  <c r="E22" i="10" s="1"/>
  <c r="G22" i="10" s="1"/>
  <c r="I22" i="10" s="1"/>
  <c r="K22" i="10" s="1"/>
  <c r="M22" i="10" s="1"/>
  <c r="O22" i="10" s="1"/>
  <c r="Q22" i="10" s="1"/>
  <c r="S22" i="10" s="1"/>
  <c r="U22" i="10" s="1"/>
  <c r="W22" i="10" s="1"/>
  <c r="Y22" i="10" s="1"/>
  <c r="AA22" i="10" s="1"/>
  <c r="AC22" i="10" s="1"/>
  <c r="AE22" i="10" s="1"/>
  <c r="AG22" i="10" s="1"/>
  <c r="C21" i="10"/>
  <c r="E21" i="10" s="1"/>
  <c r="G21" i="10" s="1"/>
  <c r="I21" i="10" s="1"/>
  <c r="K21" i="10" s="1"/>
  <c r="M21" i="10" s="1"/>
  <c r="O21" i="10" s="1"/>
  <c r="Q21" i="10" s="1"/>
  <c r="S21" i="10" s="1"/>
  <c r="U21" i="10" s="1"/>
  <c r="W21" i="10" s="1"/>
  <c r="Y21" i="10" s="1"/>
  <c r="AA21" i="10" s="1"/>
  <c r="AC21" i="10" s="1"/>
  <c r="AE21" i="10" s="1"/>
  <c r="AG21" i="10" s="1"/>
  <c r="C20" i="10"/>
  <c r="E20" i="10" s="1"/>
  <c r="G20" i="10" s="1"/>
  <c r="I20" i="10" s="1"/>
  <c r="K20" i="10" s="1"/>
  <c r="M20" i="10" s="1"/>
  <c r="O20" i="10" s="1"/>
  <c r="Q20" i="10" s="1"/>
  <c r="S20" i="10" s="1"/>
  <c r="U20" i="10" s="1"/>
  <c r="W20" i="10" s="1"/>
  <c r="Y20" i="10" s="1"/>
  <c r="AA20" i="10" s="1"/>
  <c r="AC20" i="10" s="1"/>
  <c r="AE20" i="10" s="1"/>
  <c r="AG20" i="10" s="1"/>
  <c r="C17" i="10"/>
  <c r="E17" i="10" s="1"/>
  <c r="G17" i="10" s="1"/>
  <c r="I17" i="10" s="1"/>
  <c r="K17" i="10" s="1"/>
  <c r="M17" i="10" s="1"/>
  <c r="O17" i="10" s="1"/>
  <c r="Q17" i="10" s="1"/>
  <c r="S17" i="10" s="1"/>
  <c r="U17" i="10" s="1"/>
  <c r="W17" i="10" s="1"/>
  <c r="Y17" i="10" s="1"/>
  <c r="AA17" i="10" s="1"/>
  <c r="AC17" i="10" s="1"/>
  <c r="AE17" i="10" s="1"/>
  <c r="AG17" i="10" s="1"/>
  <c r="C16" i="10"/>
  <c r="B12" i="10"/>
  <c r="I6" i="10"/>
  <c r="C3" i="10"/>
  <c r="I2" i="10"/>
  <c r="C1" i="10"/>
  <c r="A53" i="8"/>
  <c r="C39" i="8"/>
  <c r="E39" i="8" s="1"/>
  <c r="C30" i="8"/>
  <c r="E30" i="8" s="1"/>
  <c r="G30" i="8" s="1"/>
  <c r="I30" i="8" s="1"/>
  <c r="K30" i="8" s="1"/>
  <c r="M30" i="8" s="1"/>
  <c r="O30" i="8" s="1"/>
  <c r="Q30" i="8" s="1"/>
  <c r="S30" i="8" s="1"/>
  <c r="U30" i="8" s="1"/>
  <c r="W30" i="8" s="1"/>
  <c r="Y30" i="8" s="1"/>
  <c r="AA30" i="8" s="1"/>
  <c r="AC30" i="8" s="1"/>
  <c r="AE30" i="8" s="1"/>
  <c r="AG30" i="8" s="1"/>
  <c r="A30" i="8"/>
  <c r="C29" i="8"/>
  <c r="E29" i="8" s="1"/>
  <c r="G29" i="8" s="1"/>
  <c r="I29" i="8" s="1"/>
  <c r="K29" i="8" s="1"/>
  <c r="M29" i="8" s="1"/>
  <c r="O29" i="8" s="1"/>
  <c r="Q29" i="8" s="1"/>
  <c r="S29" i="8" s="1"/>
  <c r="U29" i="8" s="1"/>
  <c r="W29" i="8" s="1"/>
  <c r="Y29" i="8" s="1"/>
  <c r="AA29" i="8" s="1"/>
  <c r="AC29" i="8" s="1"/>
  <c r="AE29" i="8" s="1"/>
  <c r="AG29" i="8" s="1"/>
  <c r="A29" i="8"/>
  <c r="C28" i="8"/>
  <c r="E28" i="8" s="1"/>
  <c r="G28" i="8" s="1"/>
  <c r="I28" i="8" s="1"/>
  <c r="K28" i="8" s="1"/>
  <c r="M28" i="8" s="1"/>
  <c r="O28" i="8" s="1"/>
  <c r="Q28" i="8" s="1"/>
  <c r="S28" i="8" s="1"/>
  <c r="U28" i="8" s="1"/>
  <c r="W28" i="8" s="1"/>
  <c r="Y28" i="8" s="1"/>
  <c r="AA28" i="8" s="1"/>
  <c r="AC28" i="8" s="1"/>
  <c r="AE28" i="8" s="1"/>
  <c r="AG28" i="8" s="1"/>
  <c r="A28" i="8"/>
  <c r="C27" i="8"/>
  <c r="E27" i="8" s="1"/>
  <c r="G27" i="8" s="1"/>
  <c r="I27" i="8" s="1"/>
  <c r="K27" i="8" s="1"/>
  <c r="M27" i="8" s="1"/>
  <c r="O27" i="8" s="1"/>
  <c r="Q27" i="8" s="1"/>
  <c r="S27" i="8" s="1"/>
  <c r="U27" i="8" s="1"/>
  <c r="W27" i="8" s="1"/>
  <c r="Y27" i="8" s="1"/>
  <c r="AA27" i="8" s="1"/>
  <c r="AC27" i="8" s="1"/>
  <c r="AE27" i="8" s="1"/>
  <c r="AG27" i="8" s="1"/>
  <c r="A27" i="8"/>
  <c r="C26" i="8"/>
  <c r="E26" i="8" s="1"/>
  <c r="G26" i="8" s="1"/>
  <c r="I26" i="8" s="1"/>
  <c r="K26" i="8" s="1"/>
  <c r="M26" i="8" s="1"/>
  <c r="O26" i="8" s="1"/>
  <c r="Q26" i="8" s="1"/>
  <c r="S26" i="8" s="1"/>
  <c r="U26" i="8" s="1"/>
  <c r="W26" i="8" s="1"/>
  <c r="Y26" i="8" s="1"/>
  <c r="AA26" i="8" s="1"/>
  <c r="AC26" i="8" s="1"/>
  <c r="AE26" i="8" s="1"/>
  <c r="AG26" i="8" s="1"/>
  <c r="A26" i="8"/>
  <c r="C25" i="8"/>
  <c r="E25" i="8" s="1"/>
  <c r="G25" i="8" s="1"/>
  <c r="I25" i="8" s="1"/>
  <c r="K25" i="8" s="1"/>
  <c r="M25" i="8" s="1"/>
  <c r="O25" i="8" s="1"/>
  <c r="Q25" i="8" s="1"/>
  <c r="S25" i="8" s="1"/>
  <c r="U25" i="8" s="1"/>
  <c r="W25" i="8" s="1"/>
  <c r="Y25" i="8" s="1"/>
  <c r="AA25" i="8" s="1"/>
  <c r="AC25" i="8" s="1"/>
  <c r="AE25" i="8" s="1"/>
  <c r="AG25" i="8" s="1"/>
  <c r="A25" i="8"/>
  <c r="C24" i="8"/>
  <c r="E24" i="8" s="1"/>
  <c r="G24" i="8" s="1"/>
  <c r="I24" i="8" s="1"/>
  <c r="K24" i="8" s="1"/>
  <c r="M24" i="8" s="1"/>
  <c r="O24" i="8" s="1"/>
  <c r="Q24" i="8" s="1"/>
  <c r="S24" i="8" s="1"/>
  <c r="U24" i="8" s="1"/>
  <c r="W24" i="8" s="1"/>
  <c r="Y24" i="8" s="1"/>
  <c r="AA24" i="8" s="1"/>
  <c r="AC24" i="8" s="1"/>
  <c r="AE24" i="8" s="1"/>
  <c r="AG24" i="8" s="1"/>
  <c r="C23" i="8"/>
  <c r="E23" i="8" s="1"/>
  <c r="G23" i="8" s="1"/>
  <c r="I23" i="8" s="1"/>
  <c r="K23" i="8" s="1"/>
  <c r="M23" i="8" s="1"/>
  <c r="O23" i="8" s="1"/>
  <c r="Q23" i="8" s="1"/>
  <c r="S23" i="8" s="1"/>
  <c r="U23" i="8" s="1"/>
  <c r="W23" i="8" s="1"/>
  <c r="Y23" i="8" s="1"/>
  <c r="AA23" i="8" s="1"/>
  <c r="AC23" i="8" s="1"/>
  <c r="AE23" i="8" s="1"/>
  <c r="AG23" i="8" s="1"/>
  <c r="C22" i="8"/>
  <c r="E22" i="8" s="1"/>
  <c r="G22" i="8" s="1"/>
  <c r="I22" i="8" s="1"/>
  <c r="K22" i="8" s="1"/>
  <c r="M22" i="8" s="1"/>
  <c r="O22" i="8" s="1"/>
  <c r="Q22" i="8" s="1"/>
  <c r="S22" i="8" s="1"/>
  <c r="U22" i="8" s="1"/>
  <c r="W22" i="8" s="1"/>
  <c r="Y22" i="8" s="1"/>
  <c r="AA22" i="8" s="1"/>
  <c r="AC22" i="8" s="1"/>
  <c r="AE22" i="8" s="1"/>
  <c r="AG22" i="8" s="1"/>
  <c r="C21" i="8"/>
  <c r="E21" i="8" s="1"/>
  <c r="G21" i="8" s="1"/>
  <c r="I21" i="8" s="1"/>
  <c r="K21" i="8" s="1"/>
  <c r="M21" i="8" s="1"/>
  <c r="O21" i="8" s="1"/>
  <c r="Q21" i="8" s="1"/>
  <c r="S21" i="8" s="1"/>
  <c r="U21" i="8" s="1"/>
  <c r="W21" i="8" s="1"/>
  <c r="Y21" i="8" s="1"/>
  <c r="AA21" i="8" s="1"/>
  <c r="AC21" i="8" s="1"/>
  <c r="AE21" i="8" s="1"/>
  <c r="AG21" i="8" s="1"/>
  <c r="C20" i="8"/>
  <c r="E20" i="8" s="1"/>
  <c r="G20" i="8" s="1"/>
  <c r="I20" i="8" s="1"/>
  <c r="K20" i="8" s="1"/>
  <c r="M20" i="8" s="1"/>
  <c r="O20" i="8" s="1"/>
  <c r="Q20" i="8" s="1"/>
  <c r="S20" i="8" s="1"/>
  <c r="U20" i="8" s="1"/>
  <c r="W20" i="8" s="1"/>
  <c r="Y20" i="8" s="1"/>
  <c r="AA20" i="8" s="1"/>
  <c r="AC20" i="8" s="1"/>
  <c r="AE20" i="8" s="1"/>
  <c r="AG20" i="8" s="1"/>
  <c r="C17" i="8"/>
  <c r="E17" i="8" s="1"/>
  <c r="G17" i="8" s="1"/>
  <c r="I17" i="8" s="1"/>
  <c r="K17" i="8" s="1"/>
  <c r="M17" i="8" s="1"/>
  <c r="O17" i="8" s="1"/>
  <c r="Q17" i="8" s="1"/>
  <c r="S17" i="8" s="1"/>
  <c r="U17" i="8" s="1"/>
  <c r="W17" i="8" s="1"/>
  <c r="Y17" i="8" s="1"/>
  <c r="AA17" i="8" s="1"/>
  <c r="AC17" i="8" s="1"/>
  <c r="AE17" i="8" s="1"/>
  <c r="AG17" i="8" s="1"/>
  <c r="C16" i="8"/>
  <c r="B12" i="8"/>
  <c r="I6" i="8"/>
  <c r="C3" i="8"/>
  <c r="I2" i="8"/>
  <c r="C1" i="8"/>
  <c r="E16" i="10" l="1"/>
  <c r="I39" i="10"/>
  <c r="E16" i="8"/>
  <c r="G39" i="8"/>
  <c r="C39" i="7"/>
  <c r="E39" i="7" s="1"/>
  <c r="G39" i="7" s="1"/>
  <c r="I39" i="7" s="1"/>
  <c r="K39" i="7" s="1"/>
  <c r="A53" i="7"/>
  <c r="C30" i="7"/>
  <c r="E30" i="7"/>
  <c r="G30" i="7" s="1"/>
  <c r="I30" i="7" s="1"/>
  <c r="K30" i="7" s="1"/>
  <c r="M30" i="7" s="1"/>
  <c r="O30" i="7" s="1"/>
  <c r="Q30" i="7" s="1"/>
  <c r="S30" i="7" s="1"/>
  <c r="U30" i="7" s="1"/>
  <c r="W30" i="7" s="1"/>
  <c r="Y30" i="7" s="1"/>
  <c r="AA30" i="7" s="1"/>
  <c r="AC30" i="7" s="1"/>
  <c r="AE30" i="7" s="1"/>
  <c r="AG30" i="7" s="1"/>
  <c r="A30" i="7"/>
  <c r="C29" i="7"/>
  <c r="E29" i="7" s="1"/>
  <c r="G29" i="7" s="1"/>
  <c r="I29" i="7" s="1"/>
  <c r="K29" i="7" s="1"/>
  <c r="M29" i="7" s="1"/>
  <c r="O29" i="7" s="1"/>
  <c r="Q29" i="7" s="1"/>
  <c r="S29" i="7" s="1"/>
  <c r="U29" i="7" s="1"/>
  <c r="W29" i="7" s="1"/>
  <c r="Y29" i="7" s="1"/>
  <c r="AA29" i="7" s="1"/>
  <c r="AC29" i="7" s="1"/>
  <c r="AE29" i="7" s="1"/>
  <c r="AG29" i="7" s="1"/>
  <c r="A29" i="7"/>
  <c r="C28" i="7"/>
  <c r="E28" i="7" s="1"/>
  <c r="G28" i="7" s="1"/>
  <c r="I28" i="7" s="1"/>
  <c r="K28" i="7" s="1"/>
  <c r="M28" i="7" s="1"/>
  <c r="O28" i="7" s="1"/>
  <c r="Q28" i="7" s="1"/>
  <c r="S28" i="7" s="1"/>
  <c r="U28" i="7" s="1"/>
  <c r="W28" i="7" s="1"/>
  <c r="Y28" i="7" s="1"/>
  <c r="AA28" i="7" s="1"/>
  <c r="AC28" i="7" s="1"/>
  <c r="AE28" i="7" s="1"/>
  <c r="AG28" i="7" s="1"/>
  <c r="A28" i="7"/>
  <c r="C27" i="7"/>
  <c r="E27" i="7" s="1"/>
  <c r="G27" i="7" s="1"/>
  <c r="I27" i="7" s="1"/>
  <c r="K27" i="7" s="1"/>
  <c r="M27" i="7" s="1"/>
  <c r="O27" i="7" s="1"/>
  <c r="Q27" i="7" s="1"/>
  <c r="S27" i="7" s="1"/>
  <c r="U27" i="7" s="1"/>
  <c r="W27" i="7" s="1"/>
  <c r="Y27" i="7" s="1"/>
  <c r="AA27" i="7" s="1"/>
  <c r="AC27" i="7" s="1"/>
  <c r="AE27" i="7" s="1"/>
  <c r="AG27" i="7" s="1"/>
  <c r="A27" i="7"/>
  <c r="C26" i="7"/>
  <c r="E26" i="7" s="1"/>
  <c r="G26" i="7" s="1"/>
  <c r="I26" i="7" s="1"/>
  <c r="K26" i="7" s="1"/>
  <c r="M26" i="7" s="1"/>
  <c r="O26" i="7" s="1"/>
  <c r="Q26" i="7" s="1"/>
  <c r="S26" i="7" s="1"/>
  <c r="U26" i="7" s="1"/>
  <c r="W26" i="7" s="1"/>
  <c r="Y26" i="7" s="1"/>
  <c r="AA26" i="7" s="1"/>
  <c r="AC26" i="7" s="1"/>
  <c r="AE26" i="7" s="1"/>
  <c r="AG26" i="7" s="1"/>
  <c r="A26" i="7"/>
  <c r="C25" i="7"/>
  <c r="E25" i="7" s="1"/>
  <c r="G25" i="7" s="1"/>
  <c r="I25" i="7" s="1"/>
  <c r="K25" i="7" s="1"/>
  <c r="M25" i="7" s="1"/>
  <c r="O25" i="7" s="1"/>
  <c r="Q25" i="7" s="1"/>
  <c r="S25" i="7" s="1"/>
  <c r="U25" i="7" s="1"/>
  <c r="W25" i="7" s="1"/>
  <c r="Y25" i="7" s="1"/>
  <c r="AA25" i="7" s="1"/>
  <c r="AC25" i="7" s="1"/>
  <c r="AE25" i="7" s="1"/>
  <c r="AG25" i="7" s="1"/>
  <c r="A25" i="7"/>
  <c r="C24" i="7"/>
  <c r="E24" i="7" s="1"/>
  <c r="G24" i="7" s="1"/>
  <c r="I24" i="7" s="1"/>
  <c r="K24" i="7" s="1"/>
  <c r="M24" i="7" s="1"/>
  <c r="O24" i="7" s="1"/>
  <c r="Q24" i="7" s="1"/>
  <c r="S24" i="7" s="1"/>
  <c r="U24" i="7" s="1"/>
  <c r="W24" i="7" s="1"/>
  <c r="Y24" i="7" s="1"/>
  <c r="AA24" i="7" s="1"/>
  <c r="AC24" i="7" s="1"/>
  <c r="AE24" i="7" s="1"/>
  <c r="AG24" i="7" s="1"/>
  <c r="C23" i="7"/>
  <c r="E23" i="7" s="1"/>
  <c r="G23" i="7" s="1"/>
  <c r="I23" i="7" s="1"/>
  <c r="K23" i="7" s="1"/>
  <c r="M23" i="7" s="1"/>
  <c r="O23" i="7" s="1"/>
  <c r="Q23" i="7" s="1"/>
  <c r="S23" i="7" s="1"/>
  <c r="U23" i="7" s="1"/>
  <c r="W23" i="7" s="1"/>
  <c r="Y23" i="7" s="1"/>
  <c r="AA23" i="7" s="1"/>
  <c r="AC23" i="7" s="1"/>
  <c r="AE23" i="7" s="1"/>
  <c r="AG23" i="7" s="1"/>
  <c r="C22" i="7"/>
  <c r="E22" i="7" s="1"/>
  <c r="G22" i="7" s="1"/>
  <c r="I22" i="7" s="1"/>
  <c r="K22" i="7" s="1"/>
  <c r="M22" i="7" s="1"/>
  <c r="O22" i="7" s="1"/>
  <c r="Q22" i="7" s="1"/>
  <c r="S22" i="7" s="1"/>
  <c r="U22" i="7" s="1"/>
  <c r="W22" i="7" s="1"/>
  <c r="Y22" i="7" s="1"/>
  <c r="AA22" i="7" s="1"/>
  <c r="AC22" i="7" s="1"/>
  <c r="AE22" i="7" s="1"/>
  <c r="AG22" i="7" s="1"/>
  <c r="C21" i="7"/>
  <c r="E21" i="7"/>
  <c r="G21" i="7" s="1"/>
  <c r="I21" i="7" s="1"/>
  <c r="K21" i="7" s="1"/>
  <c r="M21" i="7" s="1"/>
  <c r="O21" i="7" s="1"/>
  <c r="Q21" i="7" s="1"/>
  <c r="S21" i="7" s="1"/>
  <c r="U21" i="7" s="1"/>
  <c r="W21" i="7" s="1"/>
  <c r="Y21" i="7" s="1"/>
  <c r="AA21" i="7" s="1"/>
  <c r="AC21" i="7" s="1"/>
  <c r="AE21" i="7" s="1"/>
  <c r="AG21" i="7" s="1"/>
  <c r="C20" i="7"/>
  <c r="E20" i="7" s="1"/>
  <c r="G20" i="7" s="1"/>
  <c r="I20" i="7" s="1"/>
  <c r="K20" i="7" s="1"/>
  <c r="M20" i="7" s="1"/>
  <c r="O20" i="7" s="1"/>
  <c r="Q20" i="7" s="1"/>
  <c r="S20" i="7" s="1"/>
  <c r="U20" i="7" s="1"/>
  <c r="W20" i="7" s="1"/>
  <c r="Y20" i="7" s="1"/>
  <c r="AA20" i="7" s="1"/>
  <c r="AC20" i="7" s="1"/>
  <c r="AE20" i="7" s="1"/>
  <c r="AG20" i="7" s="1"/>
  <c r="C17" i="7"/>
  <c r="E17" i="7" s="1"/>
  <c r="G17" i="7" s="1"/>
  <c r="I17" i="7" s="1"/>
  <c r="K17" i="7" s="1"/>
  <c r="M17" i="7" s="1"/>
  <c r="O17" i="7" s="1"/>
  <c r="Q17" i="7" s="1"/>
  <c r="S17" i="7" s="1"/>
  <c r="U17" i="7" s="1"/>
  <c r="W17" i="7" s="1"/>
  <c r="Y17" i="7" s="1"/>
  <c r="AA17" i="7" s="1"/>
  <c r="AC17" i="7" s="1"/>
  <c r="AE17" i="7" s="1"/>
  <c r="AG17" i="7" s="1"/>
  <c r="C16" i="7"/>
  <c r="E16" i="7" s="1"/>
  <c r="B12" i="7"/>
  <c r="I6" i="7"/>
  <c r="I2" i="7"/>
  <c r="C3" i="7"/>
  <c r="C1" i="7"/>
  <c r="A49" i="5"/>
  <c r="A53" i="2"/>
  <c r="I26" i="5"/>
  <c r="K26" i="5" s="1"/>
  <c r="I27" i="5"/>
  <c r="K27" i="5" s="1"/>
  <c r="I28" i="5"/>
  <c r="K28" i="5" s="1"/>
  <c r="I29" i="5"/>
  <c r="K29" i="5" s="1"/>
  <c r="I30" i="5"/>
  <c r="K30" i="5" s="1"/>
  <c r="I31" i="5"/>
  <c r="K31" i="5" s="1"/>
  <c r="I32" i="5"/>
  <c r="K32" i="5" s="1"/>
  <c r="I33" i="5"/>
  <c r="K33" i="5" s="1"/>
  <c r="I34" i="5"/>
  <c r="K34" i="5" s="1"/>
  <c r="I35" i="5"/>
  <c r="K35" i="5" s="1"/>
  <c r="I36" i="5"/>
  <c r="K36" i="5" s="1"/>
  <c r="I23" i="5"/>
  <c r="K23" i="5" s="1"/>
  <c r="I22" i="5"/>
  <c r="K22" i="5" s="1"/>
  <c r="C23" i="5"/>
  <c r="E23" i="5" s="1"/>
  <c r="G23" i="5" s="1"/>
  <c r="C26" i="5"/>
  <c r="E26" i="5" s="1"/>
  <c r="G26" i="5" s="1"/>
  <c r="C27" i="5"/>
  <c r="E27" i="5" s="1"/>
  <c r="G27" i="5" s="1"/>
  <c r="C28" i="5"/>
  <c r="E28" i="5" s="1"/>
  <c r="G28" i="5" s="1"/>
  <c r="C29" i="5"/>
  <c r="E29" i="5" s="1"/>
  <c r="G29" i="5" s="1"/>
  <c r="C30" i="5"/>
  <c r="E30" i="5" s="1"/>
  <c r="G30" i="5" s="1"/>
  <c r="C31" i="5"/>
  <c r="E31" i="5" s="1"/>
  <c r="G31" i="5" s="1"/>
  <c r="C32" i="5"/>
  <c r="E32" i="5" s="1"/>
  <c r="G32" i="5" s="1"/>
  <c r="C33" i="5"/>
  <c r="E33" i="5" s="1"/>
  <c r="G33" i="5" s="1"/>
  <c r="C34" i="5"/>
  <c r="E34" i="5" s="1"/>
  <c r="G34" i="5" s="1"/>
  <c r="C35" i="5"/>
  <c r="E35" i="5" s="1"/>
  <c r="G35" i="5" s="1"/>
  <c r="C36" i="5"/>
  <c r="E36" i="5" s="1"/>
  <c r="G36" i="5" s="1"/>
  <c r="C22" i="5"/>
  <c r="E22" i="5" s="1"/>
  <c r="G22" i="5" s="1"/>
  <c r="A32" i="5"/>
  <c r="A33" i="5"/>
  <c r="A34" i="5"/>
  <c r="A35" i="5"/>
  <c r="A36" i="5"/>
  <c r="A31" i="5"/>
  <c r="I12" i="5"/>
  <c r="I10" i="5"/>
  <c r="I7" i="5"/>
  <c r="G12" i="5"/>
  <c r="G10" i="5"/>
  <c r="G7" i="5"/>
  <c r="E12" i="5"/>
  <c r="K12" i="5" s="1"/>
  <c r="E10" i="5"/>
  <c r="K10" i="5" s="1"/>
  <c r="E7" i="5"/>
  <c r="K7" i="5" s="1"/>
  <c r="C12" i="5"/>
  <c r="C10" i="5"/>
  <c r="C7" i="5"/>
  <c r="E23" i="2"/>
  <c r="E24" i="2"/>
  <c r="E25" i="2"/>
  <c r="E26" i="2"/>
  <c r="E27" i="2"/>
  <c r="E28" i="2"/>
  <c r="E29" i="2"/>
  <c r="E30" i="2"/>
  <c r="E31" i="2"/>
  <c r="E32" i="2"/>
  <c r="E33" i="2"/>
  <c r="E34" i="2"/>
  <c r="E35" i="2"/>
  <c r="E36" i="2"/>
  <c r="G41" i="2"/>
  <c r="E22" i="2"/>
  <c r="C36" i="2"/>
  <c r="C35" i="2"/>
  <c r="C34" i="2"/>
  <c r="C33" i="2"/>
  <c r="C32" i="2"/>
  <c r="C31" i="2"/>
  <c r="A36" i="2"/>
  <c r="A35" i="2"/>
  <c r="A34" i="2"/>
  <c r="A33" i="2"/>
  <c r="A32" i="2"/>
  <c r="A31" i="2"/>
  <c r="C30" i="2"/>
  <c r="C29" i="2"/>
  <c r="C28" i="2"/>
  <c r="C27" i="2"/>
  <c r="C26" i="2"/>
  <c r="C23" i="2"/>
  <c r="B18" i="2"/>
  <c r="C22" i="2"/>
  <c r="C10" i="2"/>
  <c r="C6" i="2"/>
  <c r="C3" i="2"/>
  <c r="C1" i="2"/>
  <c r="C1" i="5" s="1"/>
  <c r="C33" i="4"/>
  <c r="C31" i="4"/>
  <c r="C32" i="4"/>
  <c r="C39" i="4"/>
  <c r="B34" i="4"/>
  <c r="B19" i="4"/>
  <c r="G9" i="5" s="1"/>
  <c r="E49" i="2" l="1"/>
  <c r="G47" i="2"/>
  <c r="E17" i="2"/>
  <c r="G49" i="2" s="1"/>
  <c r="I49" i="2" s="1"/>
  <c r="C49" i="2" s="1"/>
  <c r="B46" i="4"/>
  <c r="B45" i="4"/>
  <c r="C11" i="7"/>
  <c r="E11" i="7" s="1"/>
  <c r="G11" i="7" s="1"/>
  <c r="C17" i="5"/>
  <c r="E17" i="5" s="1"/>
  <c r="M39" i="7"/>
  <c r="O39" i="7" s="1"/>
  <c r="Q39" i="7" s="1"/>
  <c r="S39" i="7" s="1"/>
  <c r="U39" i="7" s="1"/>
  <c r="W39" i="7" s="1"/>
  <c r="Y39" i="7" s="1"/>
  <c r="AA39" i="7" s="1"/>
  <c r="AC39" i="7" s="1"/>
  <c r="AE39" i="7" s="1"/>
  <c r="AG39" i="7" s="1"/>
  <c r="K58" i="7"/>
  <c r="C11" i="10"/>
  <c r="C11" i="8"/>
  <c r="C17" i="2"/>
  <c r="C8" i="2"/>
  <c r="B20" i="4"/>
  <c r="E9" i="5"/>
  <c r="E8" i="5" s="1"/>
  <c r="I4" i="8"/>
  <c r="I4" i="10"/>
  <c r="C9" i="5"/>
  <c r="I4" i="7"/>
  <c r="I9" i="5"/>
  <c r="K39" i="10"/>
  <c r="G16" i="10"/>
  <c r="G16" i="8"/>
  <c r="I39" i="8"/>
  <c r="G16" i="7"/>
  <c r="I17" i="5" l="1"/>
  <c r="G17" i="5"/>
  <c r="K17" i="5" s="1"/>
  <c r="C12" i="7"/>
  <c r="C13" i="7" s="1"/>
  <c r="C18" i="5"/>
  <c r="I18" i="5" s="1"/>
  <c r="I19" i="5" s="1"/>
  <c r="C18" i="8"/>
  <c r="C18" i="10"/>
  <c r="C24" i="2"/>
  <c r="C24" i="5"/>
  <c r="E24" i="5" s="1"/>
  <c r="G24" i="5" s="1"/>
  <c r="I24" i="5"/>
  <c r="C18" i="7"/>
  <c r="C19" i="10"/>
  <c r="E19" i="10" s="1"/>
  <c r="G19" i="10" s="1"/>
  <c r="I19" i="10" s="1"/>
  <c r="K19" i="10" s="1"/>
  <c r="M19" i="10" s="1"/>
  <c r="O19" i="10" s="1"/>
  <c r="Q19" i="10" s="1"/>
  <c r="S19" i="10" s="1"/>
  <c r="U19" i="10" s="1"/>
  <c r="W19" i="10" s="1"/>
  <c r="Y19" i="10" s="1"/>
  <c r="AA19" i="10" s="1"/>
  <c r="AC19" i="10" s="1"/>
  <c r="AE19" i="10" s="1"/>
  <c r="AG19" i="10" s="1"/>
  <c r="C19" i="8"/>
  <c r="E19" i="8" s="1"/>
  <c r="G19" i="8" s="1"/>
  <c r="I19" i="8" s="1"/>
  <c r="K19" i="8" s="1"/>
  <c r="M19" i="8" s="1"/>
  <c r="O19" i="8" s="1"/>
  <c r="Q19" i="8" s="1"/>
  <c r="S19" i="8" s="1"/>
  <c r="U19" i="8" s="1"/>
  <c r="W19" i="8" s="1"/>
  <c r="Y19" i="8" s="1"/>
  <c r="AA19" i="8" s="1"/>
  <c r="AC19" i="8" s="1"/>
  <c r="AE19" i="8" s="1"/>
  <c r="AG19" i="8" s="1"/>
  <c r="C25" i="2"/>
  <c r="I25" i="5"/>
  <c r="K25" i="5" s="1"/>
  <c r="C25" i="5"/>
  <c r="E25" i="5" s="1"/>
  <c r="G25" i="5" s="1"/>
  <c r="C19" i="7"/>
  <c r="E19" i="7" s="1"/>
  <c r="G19" i="7" s="1"/>
  <c r="I19" i="7" s="1"/>
  <c r="K19" i="7" s="1"/>
  <c r="M19" i="7" s="1"/>
  <c r="O19" i="7" s="1"/>
  <c r="Q19" i="7" s="1"/>
  <c r="S19" i="7" s="1"/>
  <c r="U19" i="7" s="1"/>
  <c r="W19" i="7" s="1"/>
  <c r="Y19" i="7" s="1"/>
  <c r="AA19" i="7" s="1"/>
  <c r="AC19" i="7" s="1"/>
  <c r="AE19" i="7" s="1"/>
  <c r="AG19" i="7" s="1"/>
  <c r="E12" i="7"/>
  <c r="E13" i="7" s="1"/>
  <c r="C18" i="2"/>
  <c r="C19" i="2" s="1"/>
  <c r="E11" i="10"/>
  <c r="C12" i="10"/>
  <c r="C13" i="10" s="1"/>
  <c r="E11" i="8"/>
  <c r="C12" i="8"/>
  <c r="C13" i="8" s="1"/>
  <c r="C40" i="7"/>
  <c r="C35" i="10"/>
  <c r="E41" i="5"/>
  <c r="K41" i="5" s="1"/>
  <c r="K11" i="5"/>
  <c r="K8" i="5"/>
  <c r="I3" i="10"/>
  <c r="C40" i="8"/>
  <c r="I3" i="8"/>
  <c r="C8" i="5"/>
  <c r="I3" i="7"/>
  <c r="G8" i="5"/>
  <c r="C16" i="4"/>
  <c r="C41" i="2"/>
  <c r="I8" i="5"/>
  <c r="C18" i="4"/>
  <c r="C7" i="2"/>
  <c r="E41" i="2"/>
  <c r="K9" i="5"/>
  <c r="I16" i="10"/>
  <c r="M39" i="10"/>
  <c r="K39" i="8"/>
  <c r="I16" i="8"/>
  <c r="I16" i="7"/>
  <c r="I11" i="7"/>
  <c r="G12" i="7"/>
  <c r="G13" i="7" s="1"/>
  <c r="E18" i="5" l="1"/>
  <c r="C19" i="5"/>
  <c r="E19" i="5" s="1"/>
  <c r="G18" i="5"/>
  <c r="C37" i="2"/>
  <c r="C37" i="5" s="1"/>
  <c r="E37" i="5" s="1"/>
  <c r="G37" i="5" s="1"/>
  <c r="E18" i="7"/>
  <c r="C31" i="7"/>
  <c r="C33" i="7" s="1"/>
  <c r="E18" i="10"/>
  <c r="C31" i="10"/>
  <c r="C33" i="10" s="1"/>
  <c r="K24" i="5"/>
  <c r="K37" i="5" s="1"/>
  <c r="I37" i="5"/>
  <c r="I39" i="5" s="1"/>
  <c r="I47" i="5" s="1"/>
  <c r="E18" i="8"/>
  <c r="C31" i="8"/>
  <c r="C33" i="8" s="1"/>
  <c r="E12" i="10"/>
  <c r="E13" i="10" s="1"/>
  <c r="G11" i="10"/>
  <c r="E12" i="8"/>
  <c r="E13" i="8" s="1"/>
  <c r="G11" i="8"/>
  <c r="C35" i="8"/>
  <c r="E35" i="8"/>
  <c r="C35" i="7"/>
  <c r="C37" i="7" s="1"/>
  <c r="E35" i="7"/>
  <c r="I41" i="2"/>
  <c r="C41" i="5"/>
  <c r="G41" i="5" s="1"/>
  <c r="I41" i="5" s="1"/>
  <c r="E40" i="7"/>
  <c r="C41" i="7"/>
  <c r="E13" i="5"/>
  <c r="K13" i="5" s="1"/>
  <c r="I5" i="10"/>
  <c r="I5" i="8"/>
  <c r="C11" i="5"/>
  <c r="I11" i="5"/>
  <c r="B21" i="4"/>
  <c r="B23" i="4" s="1"/>
  <c r="I5" i="7"/>
  <c r="K60" i="7" s="1"/>
  <c r="K61" i="7" s="1"/>
  <c r="G11" i="5"/>
  <c r="C9" i="2"/>
  <c r="E40" i="8"/>
  <c r="G35" i="8" s="1"/>
  <c r="C41" i="8"/>
  <c r="O39" i="10"/>
  <c r="K16" i="10"/>
  <c r="M39" i="8"/>
  <c r="K16" i="8"/>
  <c r="K16" i="7"/>
  <c r="I12" i="7"/>
  <c r="I13" i="7" s="1"/>
  <c r="K11" i="7"/>
  <c r="K18" i="5" l="1"/>
  <c r="K19" i="5" s="1"/>
  <c r="K39" i="5" s="1"/>
  <c r="G19" i="5"/>
  <c r="G39" i="5" s="1"/>
  <c r="G18" i="8"/>
  <c r="E31" i="8"/>
  <c r="E33" i="8" s="1"/>
  <c r="E37" i="8" s="1"/>
  <c r="C39" i="2"/>
  <c r="C47" i="2" s="1"/>
  <c r="G18" i="10"/>
  <c r="E31" i="10"/>
  <c r="E33" i="10" s="1"/>
  <c r="I43" i="5"/>
  <c r="C37" i="8"/>
  <c r="C46" i="8" s="1"/>
  <c r="G18" i="7"/>
  <c r="E31" i="7"/>
  <c r="E33" i="7" s="1"/>
  <c r="E37" i="7" s="1"/>
  <c r="C46" i="7"/>
  <c r="C56" i="7"/>
  <c r="I11" i="8"/>
  <c r="G12" i="8"/>
  <c r="G13" i="8" s="1"/>
  <c r="I11" i="10"/>
  <c r="G12" i="10"/>
  <c r="G13" i="10" s="1"/>
  <c r="G35" i="7"/>
  <c r="G40" i="8"/>
  <c r="I35" i="8" s="1"/>
  <c r="E41" i="8"/>
  <c r="I7" i="8"/>
  <c r="I7" i="10"/>
  <c r="G13" i="5"/>
  <c r="I7" i="7"/>
  <c r="B56" i="7" s="1"/>
  <c r="I13" i="5"/>
  <c r="C11" i="2"/>
  <c r="C13" i="5"/>
  <c r="G40" i="7"/>
  <c r="I35" i="7" s="1"/>
  <c r="E41" i="7"/>
  <c r="C42" i="7"/>
  <c r="Q39" i="10"/>
  <c r="M16" i="10"/>
  <c r="M16" i="8"/>
  <c r="O39" i="8"/>
  <c r="M11" i="7"/>
  <c r="K12" i="7"/>
  <c r="K13" i="7" s="1"/>
  <c r="M16" i="7"/>
  <c r="G47" i="5" l="1"/>
  <c r="G43" i="5"/>
  <c r="I45" i="5"/>
  <c r="K47" i="5"/>
  <c r="K43" i="5"/>
  <c r="K45" i="5" s="1"/>
  <c r="C42" i="8"/>
  <c r="E46" i="8"/>
  <c r="C43" i="2"/>
  <c r="C39" i="5"/>
  <c r="E39" i="5" s="1"/>
  <c r="E47" i="2"/>
  <c r="I18" i="7"/>
  <c r="G31" i="7"/>
  <c r="G33" i="7" s="1"/>
  <c r="G37" i="7" s="1"/>
  <c r="I18" i="10"/>
  <c r="G31" i="10"/>
  <c r="G33" i="10" s="1"/>
  <c r="I18" i="8"/>
  <c r="G31" i="8"/>
  <c r="G33" i="8" s="1"/>
  <c r="G37" i="8" s="1"/>
  <c r="E46" i="7"/>
  <c r="E47" i="7" s="1"/>
  <c r="E56" i="7"/>
  <c r="I12" i="10"/>
  <c r="I13" i="10" s="1"/>
  <c r="K11" i="10"/>
  <c r="I12" i="8"/>
  <c r="I13" i="8" s="1"/>
  <c r="K11" i="8"/>
  <c r="I40" i="7"/>
  <c r="K35" i="7" s="1"/>
  <c r="G41" i="7"/>
  <c r="E43" i="7"/>
  <c r="E49" i="7" s="1"/>
  <c r="E50" i="7" s="1"/>
  <c r="K43" i="7"/>
  <c r="Y43" i="7"/>
  <c r="C43" i="7"/>
  <c r="U43" i="7"/>
  <c r="S43" i="7"/>
  <c r="AA43" i="7"/>
  <c r="M43" i="7"/>
  <c r="AC43" i="7"/>
  <c r="O43" i="7"/>
  <c r="I43" i="7"/>
  <c r="AG43" i="7"/>
  <c r="AE43" i="7"/>
  <c r="Q43" i="7"/>
  <c r="W43" i="7"/>
  <c r="G43" i="7"/>
  <c r="C47" i="7"/>
  <c r="E44" i="8"/>
  <c r="E42" i="8"/>
  <c r="I40" i="8"/>
  <c r="K35" i="8" s="1"/>
  <c r="G41" i="8"/>
  <c r="G45" i="5"/>
  <c r="G45" i="2"/>
  <c r="C45" i="2"/>
  <c r="U43" i="10"/>
  <c r="AA43" i="10"/>
  <c r="AG43" i="10"/>
  <c r="AE43" i="10"/>
  <c r="S43" i="10"/>
  <c r="Y43" i="10"/>
  <c r="W43" i="10"/>
  <c r="AC43" i="10"/>
  <c r="M43" i="10"/>
  <c r="E43" i="10"/>
  <c r="C43" i="10"/>
  <c r="I43" i="10"/>
  <c r="G43" i="10"/>
  <c r="K43" i="10"/>
  <c r="Q43" i="10"/>
  <c r="O43" i="10"/>
  <c r="E44" i="7"/>
  <c r="E42" i="7"/>
  <c r="Q43" i="8"/>
  <c r="AG43" i="8"/>
  <c r="AE43" i="8"/>
  <c r="W43" i="8"/>
  <c r="O43" i="8"/>
  <c r="G43" i="8"/>
  <c r="AA43" i="8"/>
  <c r="AC43" i="8"/>
  <c r="I43" i="8"/>
  <c r="U43" i="8"/>
  <c r="Y43" i="8"/>
  <c r="K43" i="8"/>
  <c r="C43" i="8"/>
  <c r="E43" i="8"/>
  <c r="E49" i="8" s="1"/>
  <c r="E50" i="8" s="1"/>
  <c r="S43" i="8"/>
  <c r="M43" i="8"/>
  <c r="C47" i="8"/>
  <c r="E47" i="8"/>
  <c r="S39" i="10"/>
  <c r="O16" i="10"/>
  <c r="Q39" i="8"/>
  <c r="O16" i="8"/>
  <c r="O11" i="7"/>
  <c r="M12" i="7"/>
  <c r="M13" i="7" s="1"/>
  <c r="O16" i="7"/>
  <c r="G46" i="8" l="1"/>
  <c r="G47" i="8" s="1"/>
  <c r="G56" i="7"/>
  <c r="G46" i="7"/>
  <c r="G47" i="7" s="1"/>
  <c r="K18" i="8"/>
  <c r="I31" i="8"/>
  <c r="I33" i="8" s="1"/>
  <c r="I37" i="8" s="1"/>
  <c r="I46" i="8" s="1"/>
  <c r="I47" i="8" s="1"/>
  <c r="E47" i="5"/>
  <c r="E43" i="5"/>
  <c r="E45" i="5" s="1"/>
  <c r="K18" i="7"/>
  <c r="I31" i="7"/>
  <c r="I33" i="7" s="1"/>
  <c r="I37" i="7" s="1"/>
  <c r="I56" i="7" s="1"/>
  <c r="E45" i="2"/>
  <c r="C43" i="5"/>
  <c r="K18" i="10"/>
  <c r="I31" i="10"/>
  <c r="I33" i="10" s="1"/>
  <c r="C47" i="5"/>
  <c r="I47" i="2"/>
  <c r="M11" i="10"/>
  <c r="K12" i="10"/>
  <c r="K13" i="10" s="1"/>
  <c r="K12" i="8"/>
  <c r="K13" i="8" s="1"/>
  <c r="M11" i="8"/>
  <c r="C45" i="5"/>
  <c r="I45" i="2"/>
  <c r="K40" i="8"/>
  <c r="M35" i="8" s="1"/>
  <c r="I41" i="8"/>
  <c r="C49" i="8"/>
  <c r="C50" i="8" s="1"/>
  <c r="C44" i="8"/>
  <c r="C49" i="7"/>
  <c r="C50" i="7" s="1"/>
  <c r="C44" i="7"/>
  <c r="G42" i="7"/>
  <c r="G44" i="7"/>
  <c r="G49" i="7"/>
  <c r="G50" i="7" s="1"/>
  <c r="G42" i="8"/>
  <c r="G49" i="8"/>
  <c r="G50" i="8" s="1"/>
  <c r="G44" i="8"/>
  <c r="K40" i="7"/>
  <c r="I41" i="7"/>
  <c r="U39" i="10"/>
  <c r="Q16" i="10"/>
  <c r="Q16" i="8"/>
  <c r="S39" i="8"/>
  <c r="Q11" i="7"/>
  <c r="O12" i="7"/>
  <c r="O13" i="7" s="1"/>
  <c r="Q16" i="7"/>
  <c r="I46" i="7" l="1"/>
  <c r="I47" i="7" s="1"/>
  <c r="M18" i="10"/>
  <c r="K31" i="10"/>
  <c r="K33" i="10" s="1"/>
  <c r="M18" i="7"/>
  <c r="K31" i="7"/>
  <c r="K33" i="7" s="1"/>
  <c r="K37" i="7" s="1"/>
  <c r="K57" i="7" s="1"/>
  <c r="M18" i="8"/>
  <c r="K31" i="8"/>
  <c r="K33" i="8" s="1"/>
  <c r="K37" i="8" s="1"/>
  <c r="K46" i="8" s="1"/>
  <c r="K47" i="8" s="1"/>
  <c r="M35" i="7"/>
  <c r="K59" i="7"/>
  <c r="K62" i="7" s="1"/>
  <c r="K56" i="7" s="1"/>
  <c r="M56" i="7" s="1"/>
  <c r="C51" i="2" s="1"/>
  <c r="O11" i="8"/>
  <c r="M12" i="8"/>
  <c r="M13" i="8" s="1"/>
  <c r="M12" i="10"/>
  <c r="M13" i="10" s="1"/>
  <c r="O11" i="10"/>
  <c r="M40" i="7"/>
  <c r="O35" i="7" s="1"/>
  <c r="K41" i="7"/>
  <c r="I49" i="8"/>
  <c r="I50" i="8" s="1"/>
  <c r="I44" i="8"/>
  <c r="I42" i="8"/>
  <c r="M40" i="8"/>
  <c r="O35" i="8" s="1"/>
  <c r="K41" i="8"/>
  <c r="I44" i="7"/>
  <c r="I42" i="7"/>
  <c r="I49" i="7"/>
  <c r="I50" i="7" s="1"/>
  <c r="S16" i="10"/>
  <c r="W39" i="10"/>
  <c r="U39" i="8"/>
  <c r="S16" i="8"/>
  <c r="S16" i="7"/>
  <c r="S11" i="7"/>
  <c r="Q12" i="7"/>
  <c r="Q13" i="7" s="1"/>
  <c r="K46" i="7" l="1"/>
  <c r="K47" i="7" s="1"/>
  <c r="O18" i="7"/>
  <c r="M31" i="7"/>
  <c r="M33" i="7" s="1"/>
  <c r="M37" i="7" s="1"/>
  <c r="O18" i="8"/>
  <c r="M31" i="8"/>
  <c r="M33" i="8" s="1"/>
  <c r="M37" i="8" s="1"/>
  <c r="M46" i="8" s="1"/>
  <c r="M47" i="8" s="1"/>
  <c r="O18" i="10"/>
  <c r="M31" i="10"/>
  <c r="M33" i="10" s="1"/>
  <c r="O12" i="8"/>
  <c r="O13" i="8" s="1"/>
  <c r="Q11" i="8"/>
  <c r="O12" i="10"/>
  <c r="O13" i="10" s="1"/>
  <c r="Q11" i="10"/>
  <c r="K49" i="7"/>
  <c r="K50" i="7" s="1"/>
  <c r="K42" i="7"/>
  <c r="K44" i="7"/>
  <c r="K49" i="8"/>
  <c r="K50" i="8" s="1"/>
  <c r="K44" i="8"/>
  <c r="K42" i="8"/>
  <c r="O40" i="8"/>
  <c r="Q35" i="8" s="1"/>
  <c r="M41" i="8"/>
  <c r="O40" i="7"/>
  <c r="Q35" i="7" s="1"/>
  <c r="M41" i="7"/>
  <c r="Y39" i="10"/>
  <c r="U16" i="10"/>
  <c r="U16" i="8"/>
  <c r="W39" i="8"/>
  <c r="U11" i="7"/>
  <c r="S12" i="7"/>
  <c r="S13" i="7" s="1"/>
  <c r="U16" i="7"/>
  <c r="M46" i="7" l="1"/>
  <c r="M47" i="7" s="1"/>
  <c r="Q18" i="8"/>
  <c r="O31" i="8"/>
  <c r="O33" i="8" s="1"/>
  <c r="O37" i="8" s="1"/>
  <c r="O46" i="8" s="1"/>
  <c r="O47" i="8" s="1"/>
  <c r="Q18" i="10"/>
  <c r="O31" i="10"/>
  <c r="O33" i="10" s="1"/>
  <c r="Q18" i="7"/>
  <c r="O31" i="7"/>
  <c r="O33" i="7" s="1"/>
  <c r="O37" i="7" s="1"/>
  <c r="Q12" i="10"/>
  <c r="Q13" i="10" s="1"/>
  <c r="S11" i="10"/>
  <c r="Q12" i="8"/>
  <c r="Q13" i="8" s="1"/>
  <c r="S11" i="8"/>
  <c r="M42" i="8"/>
  <c r="M49" i="8"/>
  <c r="M50" i="8" s="1"/>
  <c r="M44" i="8"/>
  <c r="Q40" i="7"/>
  <c r="S35" i="7" s="1"/>
  <c r="O41" i="7"/>
  <c r="Q40" i="8"/>
  <c r="S35" i="8" s="1"/>
  <c r="O41" i="8"/>
  <c r="M44" i="7"/>
  <c r="M49" i="7"/>
  <c r="M50" i="7" s="1"/>
  <c r="M42" i="7"/>
  <c r="W16" i="10"/>
  <c r="AA39" i="10"/>
  <c r="Y39" i="8"/>
  <c r="W16" i="8"/>
  <c r="W11" i="7"/>
  <c r="U12" i="7"/>
  <c r="U13" i="7" s="1"/>
  <c r="W16" i="7"/>
  <c r="O46" i="7" l="1"/>
  <c r="O47" i="7" s="1"/>
  <c r="S18" i="10"/>
  <c r="Q31" i="10"/>
  <c r="Q33" i="10" s="1"/>
  <c r="S18" i="7"/>
  <c r="Q31" i="7"/>
  <c r="Q33" i="7" s="1"/>
  <c r="Q37" i="7" s="1"/>
  <c r="Q46" i="7" s="1"/>
  <c r="Q47" i="7" s="1"/>
  <c r="S18" i="8"/>
  <c r="Q31" i="8"/>
  <c r="Q33" i="8" s="1"/>
  <c r="Q37" i="8" s="1"/>
  <c r="Q46" i="8" s="1"/>
  <c r="Q47" i="8" s="1"/>
  <c r="U11" i="8"/>
  <c r="S12" i="8"/>
  <c r="S13" i="8" s="1"/>
  <c r="S12" i="10"/>
  <c r="S13" i="10" s="1"/>
  <c r="U11" i="10"/>
  <c r="O49" i="8"/>
  <c r="O50" i="8" s="1"/>
  <c r="O44" i="8"/>
  <c r="O42" i="8"/>
  <c r="S40" i="7"/>
  <c r="U35" i="7" s="1"/>
  <c r="Q41" i="7"/>
  <c r="S40" i="8"/>
  <c r="U35" i="8" s="1"/>
  <c r="Q41" i="8"/>
  <c r="O44" i="7"/>
  <c r="O42" i="7"/>
  <c r="O49" i="7"/>
  <c r="O50" i="7" s="1"/>
  <c r="AC39" i="10"/>
  <c r="Y16" i="10"/>
  <c r="Y16" i="8"/>
  <c r="AA39" i="8"/>
  <c r="Y11" i="7"/>
  <c r="W12" i="7"/>
  <c r="W13" i="7" s="1"/>
  <c r="Y16" i="7"/>
  <c r="U18" i="7" l="1"/>
  <c r="S31" i="7"/>
  <c r="S33" i="7" s="1"/>
  <c r="S37" i="7" s="1"/>
  <c r="S46" i="7" s="1"/>
  <c r="S47" i="7" s="1"/>
  <c r="U18" i="8"/>
  <c r="S31" i="8"/>
  <c r="S33" i="8" s="1"/>
  <c r="S37" i="8" s="1"/>
  <c r="S46" i="8" s="1"/>
  <c r="S47" i="8" s="1"/>
  <c r="U18" i="10"/>
  <c r="S31" i="10"/>
  <c r="S33" i="10" s="1"/>
  <c r="W11" i="10"/>
  <c r="U12" i="10"/>
  <c r="U13" i="10" s="1"/>
  <c r="U12" i="8"/>
  <c r="U13" i="8" s="1"/>
  <c r="W11" i="8"/>
  <c r="U40" i="7"/>
  <c r="W35" i="7" s="1"/>
  <c r="S41" i="7"/>
  <c r="Q44" i="8"/>
  <c r="Q49" i="8"/>
  <c r="Q50" i="8" s="1"/>
  <c r="Q42" i="8"/>
  <c r="U40" i="8"/>
  <c r="W35" i="8" s="1"/>
  <c r="S41" i="8"/>
  <c r="Q49" i="7"/>
  <c r="Q50" i="7" s="1"/>
  <c r="Q42" i="7"/>
  <c r="Q44" i="7"/>
  <c r="AA16" i="10"/>
  <c r="AE39" i="10"/>
  <c r="AA16" i="8"/>
  <c r="AC39" i="8"/>
  <c r="AA11" i="7"/>
  <c r="Y12" i="7"/>
  <c r="Y13" i="7" s="1"/>
  <c r="AA16" i="7"/>
  <c r="W18" i="10" l="1"/>
  <c r="U31" i="10"/>
  <c r="U33" i="10" s="1"/>
  <c r="W18" i="7"/>
  <c r="U31" i="7"/>
  <c r="U33" i="7" s="1"/>
  <c r="U37" i="7" s="1"/>
  <c r="U46" i="7" s="1"/>
  <c r="U47" i="7" s="1"/>
  <c r="W18" i="8"/>
  <c r="U31" i="8"/>
  <c r="U33" i="8" s="1"/>
  <c r="U37" i="8" s="1"/>
  <c r="U46" i="8" s="1"/>
  <c r="U47" i="8" s="1"/>
  <c r="Y11" i="8"/>
  <c r="W12" i="8"/>
  <c r="W13" i="8" s="1"/>
  <c r="W12" i="10"/>
  <c r="W13" i="10" s="1"/>
  <c r="Y11" i="10"/>
  <c r="W40" i="8"/>
  <c r="Y35" i="8" s="1"/>
  <c r="U41" i="8"/>
  <c r="S49" i="7"/>
  <c r="S50" i="7" s="1"/>
  <c r="S42" i="7"/>
  <c r="S44" i="7"/>
  <c r="S49" i="8"/>
  <c r="S50" i="8" s="1"/>
  <c r="S44" i="8"/>
  <c r="S42" i="8"/>
  <c r="W40" i="7"/>
  <c r="Y35" i="7" s="1"/>
  <c r="U41" i="7"/>
  <c r="AG39" i="10"/>
  <c r="AC16" i="10"/>
  <c r="AE39" i="8"/>
  <c r="AC16" i="8"/>
  <c r="AC16" i="7"/>
  <c r="AC11" i="7"/>
  <c r="AA12" i="7"/>
  <c r="AA13" i="7" s="1"/>
  <c r="AG41" i="7"/>
  <c r="Y18" i="8" l="1"/>
  <c r="W31" i="8"/>
  <c r="W33" i="8" s="1"/>
  <c r="W37" i="8" s="1"/>
  <c r="W46" i="8" s="1"/>
  <c r="W47" i="8" s="1"/>
  <c r="Y18" i="10"/>
  <c r="W31" i="10"/>
  <c r="W33" i="10" s="1"/>
  <c r="Y18" i="7"/>
  <c r="W31" i="7"/>
  <c r="W33" i="7" s="1"/>
  <c r="W37" i="7" s="1"/>
  <c r="W46" i="7" s="1"/>
  <c r="W47" i="7" s="1"/>
  <c r="Y12" i="10"/>
  <c r="Y13" i="10" s="1"/>
  <c r="AA11" i="10"/>
  <c r="Y12" i="8"/>
  <c r="Y13" i="8" s="1"/>
  <c r="AA11" i="8"/>
  <c r="Y40" i="7"/>
  <c r="AA35" i="7" s="1"/>
  <c r="W41" i="7"/>
  <c r="U44" i="8"/>
  <c r="U42" i="8"/>
  <c r="U49" i="8"/>
  <c r="U50" i="8" s="1"/>
  <c r="U44" i="7"/>
  <c r="U49" i="7"/>
  <c r="U50" i="7" s="1"/>
  <c r="U42" i="7"/>
  <c r="Y40" i="8"/>
  <c r="AA35" i="8" s="1"/>
  <c r="W41" i="8"/>
  <c r="AE16" i="10"/>
  <c r="AG39" i="8"/>
  <c r="AE16" i="8"/>
  <c r="AE11" i="7"/>
  <c r="AC12" i="7"/>
  <c r="AC13" i="7" s="1"/>
  <c r="AE16" i="7"/>
  <c r="AA18" i="7" l="1"/>
  <c r="Y31" i="7"/>
  <c r="Y33" i="7" s="1"/>
  <c r="Y37" i="7" s="1"/>
  <c r="Y46" i="7" s="1"/>
  <c r="Y47" i="7" s="1"/>
  <c r="AA18" i="8"/>
  <c r="Y31" i="8"/>
  <c r="Y33" i="8" s="1"/>
  <c r="Y37" i="8" s="1"/>
  <c r="Y46" i="8" s="1"/>
  <c r="Y47" i="8" s="1"/>
  <c r="AA18" i="10"/>
  <c r="Y31" i="10"/>
  <c r="Y33" i="10" s="1"/>
  <c r="AC11" i="8"/>
  <c r="AA12" i="8"/>
  <c r="AA13" i="8" s="1"/>
  <c r="AA12" i="10"/>
  <c r="AA13" i="10" s="1"/>
  <c r="AC11" i="10"/>
  <c r="W44" i="8"/>
  <c r="W42" i="8"/>
  <c r="W49" i="8"/>
  <c r="W50" i="8" s="1"/>
  <c r="W42" i="7"/>
  <c r="W49" i="7"/>
  <c r="W50" i="7" s="1"/>
  <c r="W44" i="7"/>
  <c r="AA40" i="8"/>
  <c r="AC35" i="8" s="1"/>
  <c r="Y41" i="8"/>
  <c r="AA40" i="7"/>
  <c r="AC35" i="7" s="1"/>
  <c r="Y41" i="7"/>
  <c r="AG16" i="10"/>
  <c r="AG16" i="8"/>
  <c r="AG16" i="7"/>
  <c r="AE12" i="7"/>
  <c r="AE13" i="7" s="1"/>
  <c r="AG11" i="7"/>
  <c r="AC18" i="8" l="1"/>
  <c r="AA31" i="8"/>
  <c r="AA33" i="8" s="1"/>
  <c r="AA37" i="8" s="1"/>
  <c r="AA46" i="8" s="1"/>
  <c r="AA47" i="8" s="1"/>
  <c r="AC18" i="10"/>
  <c r="AA31" i="10"/>
  <c r="AA33" i="10" s="1"/>
  <c r="AC18" i="7"/>
  <c r="AA31" i="7"/>
  <c r="AA33" i="7" s="1"/>
  <c r="AA37" i="7" s="1"/>
  <c r="AA46" i="7" s="1"/>
  <c r="AA47" i="7" s="1"/>
  <c r="AE11" i="10"/>
  <c r="AC12" i="10"/>
  <c r="AC13" i="10" s="1"/>
  <c r="AC12" i="8"/>
  <c r="AC13" i="8" s="1"/>
  <c r="AE11" i="8"/>
  <c r="AC40" i="8"/>
  <c r="AE35" i="8" s="1"/>
  <c r="AA41" i="8"/>
  <c r="Y49" i="7"/>
  <c r="Y50" i="7" s="1"/>
  <c r="Y44" i="7"/>
  <c r="Y42" i="7"/>
  <c r="Y42" i="8"/>
  <c r="Y44" i="8"/>
  <c r="Y49" i="8"/>
  <c r="Y50" i="8" s="1"/>
  <c r="AC40" i="7"/>
  <c r="AE35" i="7" s="1"/>
  <c r="AA41" i="7"/>
  <c r="AG12" i="7"/>
  <c r="AG13" i="7" s="1"/>
  <c r="AE18" i="7" l="1"/>
  <c r="AC31" i="7"/>
  <c r="AC33" i="7" s="1"/>
  <c r="AC37" i="7" s="1"/>
  <c r="AC46" i="7" s="1"/>
  <c r="AC47" i="7" s="1"/>
  <c r="AE18" i="8"/>
  <c r="AC31" i="8"/>
  <c r="AC33" i="8" s="1"/>
  <c r="AC37" i="8" s="1"/>
  <c r="AC46" i="8" s="1"/>
  <c r="AC47" i="8" s="1"/>
  <c r="AE18" i="10"/>
  <c r="AC31" i="10"/>
  <c r="AC33" i="10" s="1"/>
  <c r="AE12" i="10"/>
  <c r="AE13" i="10" s="1"/>
  <c r="AG11" i="10"/>
  <c r="AG12" i="10" s="1"/>
  <c r="AG13" i="10" s="1"/>
  <c r="AG11" i="8"/>
  <c r="AG12" i="8" s="1"/>
  <c r="AG13" i="8" s="1"/>
  <c r="AE12" i="8"/>
  <c r="AE13" i="8" s="1"/>
  <c r="AA42" i="8"/>
  <c r="AA49" i="8"/>
  <c r="AA50" i="8" s="1"/>
  <c r="AA44" i="8"/>
  <c r="AE40" i="8"/>
  <c r="AG35" i="8" s="1"/>
  <c r="AC41" i="8"/>
  <c r="AA49" i="7"/>
  <c r="AA50" i="7" s="1"/>
  <c r="AA42" i="7"/>
  <c r="AA44" i="7"/>
  <c r="AE40" i="7"/>
  <c r="AC41" i="7"/>
  <c r="AG18" i="10" l="1"/>
  <c r="AG31" i="10" s="1"/>
  <c r="AG33" i="10" s="1"/>
  <c r="AE31" i="10"/>
  <c r="AE33" i="10" s="1"/>
  <c r="AG18" i="7"/>
  <c r="AG31" i="7" s="1"/>
  <c r="AG33" i="7" s="1"/>
  <c r="AE31" i="7"/>
  <c r="AE33" i="7" s="1"/>
  <c r="AE37" i="7" s="1"/>
  <c r="AE46" i="7" s="1"/>
  <c r="AE47" i="7" s="1"/>
  <c r="AG18" i="8"/>
  <c r="AG31" i="8" s="1"/>
  <c r="AG33" i="8" s="1"/>
  <c r="AG37" i="8" s="1"/>
  <c r="AE31" i="8"/>
  <c r="AE33" i="8" s="1"/>
  <c r="AE37" i="8" s="1"/>
  <c r="AE46" i="8" s="1"/>
  <c r="AE47" i="8" s="1"/>
  <c r="AE41" i="7"/>
  <c r="AG35" i="7"/>
  <c r="AC42" i="7"/>
  <c r="AC49" i="7"/>
  <c r="AC50" i="7" s="1"/>
  <c r="AC44" i="7"/>
  <c r="AG40" i="8"/>
  <c r="AG41" i="8" s="1"/>
  <c r="AE41" i="8"/>
  <c r="AC49" i="8"/>
  <c r="AC50" i="8" s="1"/>
  <c r="AC42" i="8"/>
  <c r="AC44" i="8"/>
  <c r="AG46" i="8" l="1"/>
  <c r="AG47" i="8" s="1"/>
  <c r="AG37" i="7"/>
  <c r="AG46" i="7" s="1"/>
  <c r="AG47" i="7" s="1"/>
  <c r="AE42" i="7"/>
  <c r="AE44" i="7"/>
  <c r="AE49" i="7"/>
  <c r="AE50" i="7" s="1"/>
  <c r="AE42" i="8"/>
  <c r="AE44" i="8"/>
  <c r="AE49" i="8"/>
  <c r="AE50" i="8" s="1"/>
  <c r="AG49" i="8"/>
  <c r="AG50" i="8" s="1"/>
  <c r="AG44" i="8"/>
  <c r="AG42" i="8"/>
  <c r="AG49" i="7" l="1"/>
  <c r="AG50" i="7" s="1"/>
  <c r="AG44" i="7"/>
  <c r="AG42" i="7"/>
  <c r="C37" i="10"/>
  <c r="C40" i="10" s="1"/>
  <c r="C41" i="10" l="1"/>
  <c r="C44" i="10" s="1"/>
  <c r="E35" i="10"/>
  <c r="C46" i="10"/>
  <c r="C47" i="10" s="1"/>
  <c r="C42" i="10" l="1"/>
  <c r="C49" i="10"/>
  <c r="C50" i="10" s="1"/>
  <c r="E37" i="10"/>
  <c r="E40" i="10" s="1"/>
  <c r="G35" i="10" s="1"/>
  <c r="E46" i="10" l="1"/>
  <c r="E47" i="10" s="1"/>
  <c r="E41" i="10"/>
  <c r="E42" i="10" s="1"/>
  <c r="G37" i="10"/>
  <c r="G40" i="10" s="1"/>
  <c r="I35" i="10" s="1"/>
  <c r="E49" i="10" l="1"/>
  <c r="E50" i="10" s="1"/>
  <c r="E44" i="10"/>
  <c r="G41" i="10"/>
  <c r="G42" i="10" s="1"/>
  <c r="G46" i="10"/>
  <c r="G47" i="10" s="1"/>
  <c r="G49" i="10" l="1"/>
  <c r="G50" i="10" s="1"/>
  <c r="G44" i="10"/>
  <c r="I37" i="10"/>
  <c r="I40" i="10" s="1"/>
  <c r="K35" i="10" s="1"/>
  <c r="I41" i="10" l="1"/>
  <c r="I46" i="10"/>
  <c r="I47" i="10" s="1"/>
  <c r="I49" i="10" l="1"/>
  <c r="I50" i="10" s="1"/>
  <c r="I42" i="10"/>
  <c r="I44" i="10"/>
  <c r="K37" i="10"/>
  <c r="K40" i="10" s="1"/>
  <c r="M35" i="10" s="1"/>
  <c r="K46" i="10" l="1"/>
  <c r="K47" i="10" s="1"/>
  <c r="K41" i="10"/>
  <c r="K49" i="10" l="1"/>
  <c r="K50" i="10" s="1"/>
  <c r="K42" i="10"/>
  <c r="K44" i="10"/>
  <c r="M37" i="10"/>
  <c r="M40" i="10" s="1"/>
  <c r="O35" i="10" s="1"/>
  <c r="M41" i="10" l="1"/>
  <c r="M46" i="10"/>
  <c r="M47" i="10" s="1"/>
  <c r="M49" i="10" l="1"/>
  <c r="M50" i="10" s="1"/>
  <c r="M42" i="10"/>
  <c r="M44" i="10"/>
  <c r="O37" i="10"/>
  <c r="O40" i="10" s="1"/>
  <c r="O46" i="10" l="1"/>
  <c r="O47" i="10" s="1"/>
  <c r="Q35" i="10"/>
  <c r="O41" i="10"/>
  <c r="O49" i="10" l="1"/>
  <c r="O50" i="10" s="1"/>
  <c r="O44" i="10"/>
  <c r="O42" i="10"/>
  <c r="Q37" i="10"/>
  <c r="Q40" i="10" s="1"/>
  <c r="S35" i="10" s="1"/>
  <c r="Q41" i="10" l="1"/>
  <c r="Q42" i="10" s="1"/>
  <c r="Q46" i="10"/>
  <c r="Q47" i="10" s="1"/>
  <c r="Q44" i="10" l="1"/>
  <c r="Q49" i="10"/>
  <c r="Q50" i="10" s="1"/>
  <c r="S37" i="10"/>
  <c r="S40" i="10" s="1"/>
  <c r="U35" i="10" s="1"/>
  <c r="S41" i="10" l="1"/>
  <c r="S46" i="10"/>
  <c r="S47" i="10" s="1"/>
  <c r="S49" i="10" l="1"/>
  <c r="S50" i="10" s="1"/>
  <c r="S44" i="10"/>
  <c r="S42" i="10"/>
  <c r="U37" i="10"/>
  <c r="U40" i="10" s="1"/>
  <c r="W35" i="10" s="1"/>
  <c r="U41" i="10" l="1"/>
  <c r="U44" i="10" s="1"/>
  <c r="U46" i="10"/>
  <c r="U47" i="10" s="1"/>
  <c r="U42" i="10" l="1"/>
  <c r="U49" i="10"/>
  <c r="U50" i="10" s="1"/>
  <c r="W37" i="10"/>
  <c r="W40" i="10" s="1"/>
  <c r="Y35" i="10" s="1"/>
  <c r="W41" i="10" l="1"/>
  <c r="W46" i="10"/>
  <c r="W47" i="10" s="1"/>
  <c r="W49" i="10" l="1"/>
  <c r="W50" i="10" s="1"/>
  <c r="W42" i="10"/>
  <c r="W44" i="10"/>
  <c r="Y37" i="10"/>
  <c r="Y40" i="10" s="1"/>
  <c r="AA35" i="10" s="1"/>
  <c r="Y41" i="10" l="1"/>
  <c r="Y42" i="10" s="1"/>
  <c r="Y46" i="10"/>
  <c r="Y47" i="10" s="1"/>
  <c r="Y49" i="10" l="1"/>
  <c r="Y50" i="10" s="1"/>
  <c r="Y44" i="10"/>
  <c r="AA37" i="10"/>
  <c r="AA40" i="10" s="1"/>
  <c r="AC35" i="10" s="1"/>
  <c r="AA46" i="10" l="1"/>
  <c r="AA47" i="10" s="1"/>
  <c r="AA41" i="10"/>
  <c r="AA44" i="10" s="1"/>
  <c r="AA49" i="10" l="1"/>
  <c r="AA50" i="10" s="1"/>
  <c r="AA42" i="10"/>
  <c r="AC37" i="10"/>
  <c r="AC40" i="10" s="1"/>
  <c r="AE35" i="10" s="1"/>
  <c r="AC41" i="10" l="1"/>
  <c r="AC46" i="10"/>
  <c r="AC47" i="10" s="1"/>
  <c r="AC49" i="10" l="1"/>
  <c r="AC50" i="10" s="1"/>
  <c r="AC44" i="10"/>
  <c r="AC42" i="10"/>
  <c r="AE37" i="10"/>
  <c r="AE40" i="10" s="1"/>
  <c r="AE46" i="10" l="1"/>
  <c r="AE47" i="10" s="1"/>
  <c r="AG35" i="10"/>
  <c r="AG37" i="10" s="1"/>
  <c r="AG40" i="10" s="1"/>
  <c r="AE41" i="10"/>
  <c r="AE42" i="10" s="1"/>
  <c r="AE44" i="10" l="1"/>
  <c r="AE49" i="10"/>
  <c r="AE50" i="10" s="1"/>
  <c r="AG41" i="10"/>
  <c r="AG46" i="10"/>
  <c r="AG47" i="10" s="1"/>
  <c r="AG49" i="10" l="1"/>
  <c r="AG50" i="10" s="1"/>
  <c r="AG44" i="10"/>
  <c r="AG42" i="10"/>
</calcChain>
</file>

<file path=xl/comments1.xml><?xml version="1.0" encoding="utf-8"?>
<comments xmlns="http://schemas.openxmlformats.org/spreadsheetml/2006/main">
  <authors>
    <author>Joseph</author>
  </authors>
  <commentList>
    <comment ref="A14" authorId="0" shapeId="0">
      <text>
        <r>
          <rPr>
            <b/>
            <sz val="9"/>
            <color indexed="81"/>
            <rFont val="Tahoma"/>
            <family val="2"/>
          </rPr>
          <t xml:space="preserve">20% Minimum on Single Family Residence
25% Minimum on 2-4 Plex </t>
        </r>
        <r>
          <rPr>
            <sz val="9"/>
            <color indexed="81"/>
            <rFont val="Tahoma"/>
            <family val="2"/>
          </rPr>
          <t xml:space="preserve">
</t>
        </r>
      </text>
    </comment>
    <comment ref="A17" authorId="0" shapeId="0">
      <text>
        <r>
          <rPr>
            <b/>
            <sz val="9"/>
            <color indexed="81"/>
            <rFont val="Tahoma"/>
            <family val="2"/>
          </rPr>
          <t xml:space="preserve">Be sure to include: </t>
        </r>
        <r>
          <rPr>
            <sz val="9"/>
            <color indexed="81"/>
            <rFont val="Tahoma"/>
            <family val="2"/>
          </rPr>
          <t xml:space="preserve">
Property Insurance for 1 year
Inspection costs
Appraisal costs
Transfer taxes
Title Insurance
Recording Fees
Closing fees 
Other expenses
</t>
        </r>
      </text>
    </comment>
    <comment ref="A25" authorId="0" shapeId="0">
      <text>
        <r>
          <rPr>
            <sz val="9"/>
            <color indexed="81"/>
            <rFont val="Tahoma"/>
            <family val="2"/>
          </rPr>
          <t>Contact Joe Massey at 303-809-7769 for today's rates.  Or check yesterday's Whiteboard e-mail for a quote on an investment property interest rate</t>
        </r>
      </text>
    </comment>
    <comment ref="A34" authorId="0" shapeId="0">
      <text>
        <r>
          <rPr>
            <b/>
            <sz val="9"/>
            <color indexed="81"/>
            <rFont val="Tahoma"/>
            <family val="2"/>
          </rPr>
          <t>REMEMBER to select the correct number of units above.</t>
        </r>
        <r>
          <rPr>
            <sz val="9"/>
            <color indexed="81"/>
            <rFont val="Tahoma"/>
            <family val="2"/>
          </rPr>
          <t xml:space="preserve">
</t>
        </r>
      </text>
    </comment>
    <comment ref="A60" authorId="0" shapeId="0">
      <text>
        <r>
          <rPr>
            <b/>
            <sz val="9"/>
            <color indexed="81"/>
            <rFont val="Tahoma"/>
            <family val="2"/>
          </rPr>
          <t>Insert your percentage changes for your "What If" scenarios.  
For example "What if" we got a 5% discount on the price of the property.  
"What If" we increased rents by 10%. 
"What If" we decreased expenses by 10%</t>
        </r>
        <r>
          <rPr>
            <sz val="9"/>
            <color indexed="81"/>
            <rFont val="Tahoma"/>
            <family val="2"/>
          </rPr>
          <t xml:space="preserve">
</t>
        </r>
      </text>
    </comment>
  </commentList>
</comments>
</file>

<file path=xl/sharedStrings.xml><?xml version="1.0" encoding="utf-8"?>
<sst xmlns="http://schemas.openxmlformats.org/spreadsheetml/2006/main" count="311" uniqueCount="129">
  <si>
    <t>Investment Property Analysis Sheet</t>
  </si>
  <si>
    <t>Property Address</t>
  </si>
  <si>
    <t>Number of Units</t>
  </si>
  <si>
    <t>Purchase Price</t>
  </si>
  <si>
    <t xml:space="preserve">Acquisition Costs </t>
  </si>
  <si>
    <t>Loan Costs</t>
  </si>
  <si>
    <t xml:space="preserve">Down Payment </t>
  </si>
  <si>
    <t>Down Payment Percentage</t>
  </si>
  <si>
    <t>Mortgage Balance</t>
  </si>
  <si>
    <t>Total Initial Investment</t>
  </si>
  <si>
    <t>Initial Repair Costs</t>
  </si>
  <si>
    <t>Initial Investment</t>
  </si>
  <si>
    <t>Unit #1</t>
  </si>
  <si>
    <t>Unit #2</t>
  </si>
  <si>
    <t>Unit #3</t>
  </si>
  <si>
    <t>Unit #4</t>
  </si>
  <si>
    <t>Total Rental Income</t>
  </si>
  <si>
    <t>Mortgage Interest Rate</t>
  </si>
  <si>
    <t>Real Estate Taxes</t>
  </si>
  <si>
    <t>Property Insurance</t>
  </si>
  <si>
    <t>Property Management</t>
  </si>
  <si>
    <t>Repairs and Maintenance</t>
  </si>
  <si>
    <t>MONTHLY Rental Income Per Unit</t>
  </si>
  <si>
    <t>ANNUAL Operating Expenses</t>
  </si>
  <si>
    <t xml:space="preserve"> - Water and Sewer</t>
  </si>
  <si>
    <t xml:space="preserve"> - Trash</t>
  </si>
  <si>
    <t xml:space="preserve">Utilities (If paid by owner) </t>
  </si>
  <si>
    <t xml:space="preserve"> - Electric</t>
  </si>
  <si>
    <t>Vacancy Factor</t>
  </si>
  <si>
    <t>Landscaping</t>
  </si>
  <si>
    <t>Other</t>
  </si>
  <si>
    <t xml:space="preserve">Instructions:  </t>
  </si>
  <si>
    <t xml:space="preserve">1 - Work your way down this sheet inputting the appropriate information in to each highlighted tab. </t>
  </si>
  <si>
    <t>3 - Please note that certain lines have comments to provide additional help for you</t>
  </si>
  <si>
    <t>4 - Once the highlighted cells are completed, you can view your results on the Cash-Flow Tab and What-If Tab</t>
  </si>
  <si>
    <t xml:space="preserve">2 - Be sure to input the correct number of units for your subject property (SFR through Four-Plex) </t>
  </si>
  <si>
    <t>Comments/Footnotes On Expenses</t>
  </si>
  <si>
    <t>What If Scenarios</t>
  </si>
  <si>
    <t xml:space="preserve">What if you got a discount on the purchase price…  What percentage?  </t>
  </si>
  <si>
    <t xml:space="preserve">What if you lowered expenses…. What percentage? </t>
  </si>
  <si>
    <t xml:space="preserve">What if you increased rents…  What percentage? </t>
  </si>
  <si>
    <t>Annual Appreciation Rate</t>
  </si>
  <si>
    <t xml:space="preserve">Cash Flow Analysis for </t>
  </si>
  <si>
    <t xml:space="preserve">Number of Units </t>
  </si>
  <si>
    <t>Cash Investment Breakdown</t>
  </si>
  <si>
    <t>Mortgage</t>
  </si>
  <si>
    <t>Down Payment</t>
  </si>
  <si>
    <t>Repair Costs</t>
  </si>
  <si>
    <t xml:space="preserve">Total Cash Investment </t>
  </si>
  <si>
    <t xml:space="preserve">Annual Cash Flow Statement </t>
  </si>
  <si>
    <t xml:space="preserve"> - Vacancy</t>
  </si>
  <si>
    <t>Annual Rental Income</t>
  </si>
  <si>
    <t>Annual Income</t>
  </si>
  <si>
    <t>Annual Expenses</t>
  </si>
  <si>
    <t xml:space="preserve">  Water and Sewer</t>
  </si>
  <si>
    <t xml:space="preserve">  Trash</t>
  </si>
  <si>
    <t xml:space="preserve">  Electric</t>
  </si>
  <si>
    <t>Comments/Footnotes</t>
  </si>
  <si>
    <t>Total Annual Expenses</t>
  </si>
  <si>
    <t>Expected Annual Rental Income</t>
  </si>
  <si>
    <t>Net Operating Income</t>
  </si>
  <si>
    <t>Less: Annual Mortgage Payments</t>
  </si>
  <si>
    <t>@</t>
  </si>
  <si>
    <t>=</t>
  </si>
  <si>
    <t xml:space="preserve"> per month</t>
  </si>
  <si>
    <t>Cash-on-Cash Rate of Return</t>
  </si>
  <si>
    <t>per month</t>
  </si>
  <si>
    <t>CAP Rate</t>
  </si>
  <si>
    <t>÷</t>
  </si>
  <si>
    <t>Annual Cash Flow Before Taxes</t>
  </si>
  <si>
    <t xml:space="preserve">"What-If" Analysis for </t>
  </si>
  <si>
    <t>Description</t>
  </si>
  <si>
    <t>Actual from Cash Flow Analysis</t>
  </si>
  <si>
    <t xml:space="preserve">…we increased rents. </t>
  </si>
  <si>
    <t>…we decreased expenses</t>
  </si>
  <si>
    <t>What If…</t>
  </si>
  <si>
    <t>…we purchased the property at a discount</t>
  </si>
  <si>
    <t>…we purchased at a discount, increased rents and decreased expenses</t>
  </si>
  <si>
    <t>Estimated Prepaid Costs</t>
  </si>
  <si>
    <t>Estimated Finance and Acquisition Costs</t>
  </si>
  <si>
    <t>Year 1</t>
  </si>
  <si>
    <t>Property Value at End of Year</t>
  </si>
  <si>
    <t>Mortgage Balance at End of Year</t>
  </si>
  <si>
    <t>Total Equity</t>
  </si>
  <si>
    <t>Equity + Cash Flow</t>
  </si>
  <si>
    <t>Year 2</t>
  </si>
  <si>
    <t>Year 3</t>
  </si>
  <si>
    <t>Year 4</t>
  </si>
  <si>
    <t>Year 5</t>
  </si>
  <si>
    <t>Total Cash Investment</t>
  </si>
  <si>
    <t>Annual Rate of Return</t>
  </si>
  <si>
    <t>Rate of Return on Initial Cash Investment</t>
  </si>
  <si>
    <t>Cash on Cash Rate of Return</t>
  </si>
  <si>
    <t>Annual Rent Increase</t>
  </si>
  <si>
    <t>123 Main St</t>
  </si>
  <si>
    <t xml:space="preserve">Mortgage Term (years) </t>
  </si>
  <si>
    <t>HOA Dues</t>
  </si>
  <si>
    <t>Generally a minimum of 5% for repairs/maintenance</t>
  </si>
  <si>
    <t>Standard 10% of gross rents for Property Management</t>
  </si>
  <si>
    <t>Year 6</t>
  </si>
  <si>
    <t>Year 7</t>
  </si>
  <si>
    <t>Year 8</t>
  </si>
  <si>
    <t>Year 9</t>
  </si>
  <si>
    <t>Year 10</t>
  </si>
  <si>
    <t>Year 11</t>
  </si>
  <si>
    <t>Year 12</t>
  </si>
  <si>
    <t>Year 13</t>
  </si>
  <si>
    <t>Year 14</t>
  </si>
  <si>
    <t>Year 15</t>
  </si>
  <si>
    <t>Year 16</t>
  </si>
  <si>
    <t>Cumulative Cash Flow</t>
  </si>
  <si>
    <t>Cumulative Cash and Equity Gain</t>
  </si>
  <si>
    <t>Extra Principal per Month</t>
  </si>
  <si>
    <t xml:space="preserve">Net Future value after 7% sales cost </t>
  </si>
  <si>
    <t xml:space="preserve">Pre Tax Terminal Value </t>
  </si>
  <si>
    <t>Capital Gain Base</t>
  </si>
  <si>
    <t>Capital Gains Tax at 19.6%</t>
  </si>
  <si>
    <t xml:space="preserve">After Tax Terminal Value </t>
  </si>
  <si>
    <t>5 Year After Tax Cash-flows + 5 Year Exit - Capital Gains</t>
  </si>
  <si>
    <t>IRR</t>
  </si>
  <si>
    <t xml:space="preserve">5 Year After-Tax Return </t>
  </si>
  <si>
    <t>GRM - Gross Rent Multiplier</t>
  </si>
  <si>
    <t xml:space="preserve">Latest Revision Date: </t>
  </si>
  <si>
    <t>December 1st, 2017</t>
  </si>
  <si>
    <t>Provided by Joe Massey of Castle &amp; Cooke Mortgage and Matt Pillmore of VIP Financial</t>
  </si>
  <si>
    <t xml:space="preserve">Direct: 303-809-7769 - Email: jmassey@castlecookemortgage.com - Website: www.loansbyjoemassey.com </t>
  </si>
  <si>
    <t xml:space="preserve">This sheet is for informational purposes only.  This is not a commitment, approval or guarantee to lend.  The figures included in this worksheet are entirely dependent on the information that you input.  These figures and calculations are considered accurate, but not guaranteed.  Joe Massey and Castle &amp; Cooke Mortgage do not represent, warrant or guarantee these numbers.  Matt Pillmore and VIP Financial Education do not represent, warrant or guarantee these numbers.  All information is for preliminary analysis and calculations only.  Please contact your tax advisor, CPA, financial planner, attorney, insurance agent, real estate agent or other properly licensed professional for additional information as needed.  </t>
  </si>
  <si>
    <t>Estimated Finance Costs</t>
  </si>
  <si>
    <t xml:space="preserve">Direct: 303-872-0709 - Email: contactus@vipfinancialeducation.com - Website: www.vipfinancialeducation.com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</si>
</sst>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0.000%"/>
    <numFmt numFmtId="166" formatCode="&quot;$&quot;#,##0"/>
    <numFmt numFmtId="167" formatCode="&quot;$&quot;#,##0.00"/>
    <numFmt numFmtId="168" formatCode="0.0%"/>
    <numFmt numFmtId="169" formatCode="_(&quot;$&quot;* #,##0_);_(&quot;$&quot;* \(#,##0\);_(&quot;$&quot;* &quot;-&quot;?_);_(@_)"/>
    <numFmt numFmtId="170" formatCode="0.0"/>
  </numFmts>
  <fonts count="23"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rgb="FF9C6500"/>
      <name val="Calibri"/>
      <family val="2"/>
      <scheme val="minor"/>
    </font>
    <font>
      <b/>
      <sz val="11"/>
      <color theme="1"/>
      <name val="Calibri"/>
      <family val="2"/>
      <scheme val="minor"/>
    </font>
    <font>
      <sz val="11"/>
      <name val="Calibri"/>
      <family val="2"/>
      <scheme val="minor"/>
    </font>
    <font>
      <sz val="11"/>
      <color theme="0" tint="-0.1499984740745262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i/>
      <sz val="12"/>
      <color theme="1"/>
      <name val="Calibri"/>
      <family val="2"/>
      <scheme val="minor"/>
    </font>
    <font>
      <b/>
      <sz val="11"/>
      <color rgb="FFFF0000"/>
      <name val="Calibri"/>
      <family val="2"/>
      <scheme val="minor"/>
    </font>
    <font>
      <sz val="14"/>
      <color theme="1"/>
      <name val="Calibri"/>
      <family val="2"/>
      <scheme val="minor"/>
    </font>
    <font>
      <sz val="11"/>
      <color theme="1"/>
      <name val="Calibri"/>
      <family val="2"/>
    </font>
    <font>
      <sz val="9"/>
      <color theme="1"/>
      <name val="Calibri"/>
      <family val="2"/>
      <scheme val="minor"/>
    </font>
    <font>
      <b/>
      <sz val="14"/>
      <color rgb="FFFF0000"/>
      <name val="Calibri"/>
      <family val="2"/>
      <scheme val="minor"/>
    </font>
    <font>
      <b/>
      <sz val="12"/>
      <color rgb="FFFF0000"/>
      <name val="Calibri"/>
      <family val="2"/>
      <scheme val="minor"/>
    </font>
    <font>
      <b/>
      <u/>
      <sz val="20"/>
      <color theme="1"/>
      <name val="Calibri"/>
      <family val="2"/>
      <scheme val="minor"/>
    </font>
    <font>
      <b/>
      <sz val="14"/>
      <name val="Calibri"/>
      <family val="2"/>
      <scheme val="minor"/>
    </font>
    <font>
      <sz val="12"/>
      <name val="Calibri"/>
      <family val="2"/>
      <scheme val="minor"/>
    </font>
    <font>
      <sz val="9"/>
      <color theme="0" tint="-0.249977111117893"/>
      <name val="Calibri"/>
      <family val="2"/>
      <scheme val="minor"/>
    </font>
    <font>
      <sz val="11"/>
      <color theme="0" tint="-0.249977111117893"/>
      <name val="Calibri"/>
      <family val="2"/>
      <scheme val="minor"/>
    </font>
  </fonts>
  <fills count="8">
    <fill>
      <patternFill patternType="none"/>
    </fill>
    <fill>
      <patternFill patternType="gray125"/>
    </fill>
    <fill>
      <patternFill patternType="solid">
        <fgColor rgb="FFFFEB9C"/>
      </patternFill>
    </fill>
    <fill>
      <patternFill patternType="solid">
        <fgColor theme="0" tint="-0.149967955565050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10">
    <border>
      <left/>
      <right/>
      <top/>
      <bottom/>
      <diagonal/>
    </border>
    <border>
      <left/>
      <right/>
      <top style="medium">
        <color indexed="64"/>
      </top>
      <bottom style="double">
        <color indexed="64"/>
      </bottom>
      <diagonal/>
    </border>
    <border>
      <left/>
      <right/>
      <top/>
      <bottom style="medium">
        <color indexed="64"/>
      </bottom>
      <diagonal/>
    </border>
    <border>
      <left/>
      <right/>
      <top style="medium">
        <color indexed="64"/>
      </top>
      <bottom/>
      <diagonal/>
    </border>
    <border>
      <left/>
      <right/>
      <top/>
      <bottom style="double">
        <color indexed="64"/>
      </bottom>
      <diagonal/>
    </border>
    <border>
      <left/>
      <right/>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3" fillId="0" borderId="0" applyFont="0" applyFill="0" applyBorder="0" applyAlignment="0" applyProtection="0"/>
    <xf numFmtId="0" fontId="4" fillId="2" borderId="0" applyNumberFormat="0" applyBorder="0" applyAlignment="0" applyProtection="0"/>
    <xf numFmtId="9" fontId="3" fillId="0" borderId="0" applyFont="0" applyFill="0" applyBorder="0" applyAlignment="0" applyProtection="0"/>
  </cellStyleXfs>
  <cellXfs count="165">
    <xf numFmtId="0" fontId="0" fillId="0" borderId="0" xfId="0"/>
    <xf numFmtId="0" fontId="0" fillId="3" borderId="0" xfId="0" applyFill="1"/>
    <xf numFmtId="0" fontId="0" fillId="3" borderId="0" xfId="0" applyFill="1" applyBorder="1" applyAlignment="1"/>
    <xf numFmtId="164" fontId="0" fillId="3" borderId="0" xfId="0" applyNumberFormat="1" applyFill="1"/>
    <xf numFmtId="166" fontId="0" fillId="3" borderId="0" xfId="0" applyNumberFormat="1" applyFill="1"/>
    <xf numFmtId="0" fontId="6" fillId="3" borderId="0" xfId="0" applyFont="1" applyFill="1"/>
    <xf numFmtId="0" fontId="7" fillId="3" borderId="0" xfId="0" applyFont="1" applyFill="1"/>
    <xf numFmtId="0" fontId="0" fillId="4" borderId="0" xfId="0" applyFill="1"/>
    <xf numFmtId="0" fontId="8" fillId="5" borderId="0" xfId="0" applyFont="1" applyFill="1"/>
    <xf numFmtId="0" fontId="0" fillId="5" borderId="0" xfId="0" applyFill="1"/>
    <xf numFmtId="0" fontId="9" fillId="5" borderId="0" xfId="0" applyFont="1" applyFill="1"/>
    <xf numFmtId="0" fontId="10" fillId="5" borderId="0" xfId="0" applyFont="1" applyFill="1"/>
    <xf numFmtId="0" fontId="11" fillId="5" borderId="0" xfId="0" applyFont="1" applyFill="1"/>
    <xf numFmtId="0" fontId="8" fillId="5" borderId="0" xfId="0" applyFont="1" applyFill="1" applyAlignment="1">
      <alignment horizontal="center"/>
    </xf>
    <xf numFmtId="0" fontId="5" fillId="5" borderId="0" xfId="0" applyFont="1" applyFill="1" applyAlignment="1">
      <alignment horizontal="center"/>
    </xf>
    <xf numFmtId="0" fontId="0" fillId="5" borderId="0" xfId="0" applyFill="1" applyAlignment="1">
      <alignment horizontal="center"/>
    </xf>
    <xf numFmtId="164" fontId="0" fillId="5" borderId="0" xfId="0" applyNumberFormat="1" applyFill="1"/>
    <xf numFmtId="44" fontId="0" fillId="5" borderId="0" xfId="0" applyNumberFormat="1" applyFill="1"/>
    <xf numFmtId="164" fontId="0" fillId="5" borderId="0" xfId="0" applyNumberFormat="1" applyFill="1" applyAlignment="1"/>
    <xf numFmtId="44" fontId="3" fillId="5" borderId="0" xfId="1" applyNumberFormat="1" applyFont="1" applyFill="1" applyAlignment="1">
      <alignment horizontal="left"/>
    </xf>
    <xf numFmtId="164" fontId="0" fillId="5" borderId="1" xfId="0" applyNumberFormat="1" applyFill="1" applyBorder="1"/>
    <xf numFmtId="164" fontId="0" fillId="5" borderId="1" xfId="0" applyNumberFormat="1" applyFill="1" applyBorder="1" applyAlignment="1"/>
    <xf numFmtId="164" fontId="0" fillId="5" borderId="2" xfId="0" applyNumberFormat="1" applyFill="1" applyBorder="1"/>
    <xf numFmtId="164" fontId="5" fillId="5" borderId="0" xfId="0" applyNumberFormat="1" applyFont="1" applyFill="1"/>
    <xf numFmtId="164" fontId="5" fillId="5" borderId="3" xfId="0" applyNumberFormat="1" applyFont="1" applyFill="1" applyBorder="1"/>
    <xf numFmtId="44" fontId="5" fillId="5" borderId="3" xfId="0" applyNumberFormat="1" applyFont="1" applyFill="1" applyBorder="1"/>
    <xf numFmtId="164" fontId="0" fillId="5" borderId="0" xfId="0" applyNumberFormat="1" applyFont="1" applyFill="1"/>
    <xf numFmtId="164" fontId="9" fillId="5" borderId="1" xfId="0" applyNumberFormat="1" applyFont="1" applyFill="1" applyBorder="1"/>
    <xf numFmtId="0" fontId="9" fillId="5" borderId="0" xfId="0" applyFont="1" applyFill="1" applyAlignment="1">
      <alignment horizontal="left"/>
    </xf>
    <xf numFmtId="9" fontId="9" fillId="5" borderId="4" xfId="0" applyNumberFormat="1" applyFont="1" applyFill="1" applyBorder="1"/>
    <xf numFmtId="9" fontId="9" fillId="5" borderId="4" xfId="3" applyNumberFormat="1" applyFont="1" applyFill="1" applyBorder="1"/>
    <xf numFmtId="44" fontId="10" fillId="5" borderId="0" xfId="0" applyNumberFormat="1" applyFont="1" applyFill="1"/>
    <xf numFmtId="168" fontId="9" fillId="5" borderId="4" xfId="3" applyNumberFormat="1" applyFont="1" applyFill="1" applyBorder="1"/>
    <xf numFmtId="0" fontId="0" fillId="5" borderId="0" xfId="0" applyFill="1" applyBorder="1" applyAlignment="1">
      <alignment horizontal="center" wrapText="1"/>
    </xf>
    <xf numFmtId="0" fontId="5" fillId="5" borderId="0" xfId="0" applyFont="1" applyFill="1" applyBorder="1" applyAlignment="1">
      <alignment horizontal="center" wrapText="1"/>
    </xf>
    <xf numFmtId="0" fontId="0" fillId="5" borderId="0" xfId="0" applyFill="1" applyBorder="1"/>
    <xf numFmtId="0" fontId="5" fillId="5" borderId="0" xfId="0" applyFont="1" applyFill="1"/>
    <xf numFmtId="164" fontId="3" fillId="5" borderId="0" xfId="1" applyNumberFormat="1" applyFont="1" applyFill="1" applyAlignment="1">
      <alignment horizontal="left"/>
    </xf>
    <xf numFmtId="0" fontId="12" fillId="5" borderId="0" xfId="0" applyFont="1" applyFill="1"/>
    <xf numFmtId="164" fontId="0" fillId="5" borderId="0" xfId="0" applyNumberFormat="1" applyFill="1" applyAlignment="1">
      <alignment horizontal="center"/>
    </xf>
    <xf numFmtId="0" fontId="0" fillId="5" borderId="0" xfId="0" applyFill="1" applyBorder="1" applyAlignment="1"/>
    <xf numFmtId="0" fontId="8" fillId="5" borderId="0" xfId="0" applyFont="1" applyFill="1" applyProtection="1"/>
    <xf numFmtId="0" fontId="0" fillId="5" borderId="0" xfId="0" applyFill="1" applyProtection="1"/>
    <xf numFmtId="0" fontId="0" fillId="4" borderId="0" xfId="0" applyFill="1" applyProtection="1"/>
    <xf numFmtId="0" fontId="9" fillId="5" borderId="0" xfId="0" applyFont="1" applyFill="1" applyProtection="1"/>
    <xf numFmtId="0" fontId="10" fillId="5" borderId="0" xfId="0" applyFont="1" applyFill="1" applyAlignment="1" applyProtection="1">
      <alignment horizontal="center"/>
    </xf>
    <xf numFmtId="0" fontId="10" fillId="5" borderId="0" xfId="0" applyFont="1" applyFill="1" applyProtection="1"/>
    <xf numFmtId="164" fontId="10" fillId="5" borderId="0" xfId="0" applyNumberFormat="1" applyFont="1" applyFill="1" applyProtection="1"/>
    <xf numFmtId="164" fontId="10" fillId="5" borderId="2" xfId="0" applyNumberFormat="1" applyFont="1" applyFill="1" applyBorder="1" applyProtection="1"/>
    <xf numFmtId="164" fontId="8" fillId="5" borderId="4" xfId="0" applyNumberFormat="1" applyFont="1" applyFill="1" applyBorder="1" applyProtection="1"/>
    <xf numFmtId="0" fontId="11" fillId="5" borderId="0" xfId="0" applyFont="1" applyFill="1" applyProtection="1"/>
    <xf numFmtId="42" fontId="10" fillId="5" borderId="0" xfId="0" applyNumberFormat="1" applyFont="1" applyFill="1" applyProtection="1"/>
    <xf numFmtId="166" fontId="10" fillId="5" borderId="5" xfId="0" applyNumberFormat="1" applyFont="1" applyFill="1" applyBorder="1" applyAlignment="1" applyProtection="1">
      <alignment horizontal="center"/>
    </xf>
    <xf numFmtId="0" fontId="10" fillId="5" borderId="5" xfId="0" applyFont="1" applyFill="1" applyBorder="1" applyProtection="1"/>
    <xf numFmtId="9" fontId="10" fillId="5" borderId="0" xfId="0" applyNumberFormat="1" applyFont="1" applyFill="1" applyAlignment="1" applyProtection="1">
      <alignment horizontal="center"/>
    </xf>
    <xf numFmtId="42" fontId="10" fillId="5" borderId="2" xfId="0" applyNumberFormat="1" applyFont="1" applyFill="1" applyBorder="1" applyProtection="1"/>
    <xf numFmtId="42" fontId="9" fillId="5" borderId="0" xfId="0" applyNumberFormat="1" applyFont="1" applyFill="1" applyProtection="1"/>
    <xf numFmtId="166" fontId="0" fillId="5" borderId="5" xfId="0" applyNumberFormat="1" applyFill="1" applyBorder="1" applyAlignment="1" applyProtection="1">
      <alignment horizontal="center"/>
    </xf>
    <xf numFmtId="0" fontId="0" fillId="5" borderId="5" xfId="0" applyFill="1" applyBorder="1" applyAlignment="1" applyProtection="1">
      <alignment horizontal="center"/>
    </xf>
    <xf numFmtId="165" fontId="3" fillId="5" borderId="5" xfId="3" applyNumberFormat="1" applyFont="1" applyFill="1" applyBorder="1" applyAlignment="1" applyProtection="1">
      <alignment horizontal="center"/>
    </xf>
    <xf numFmtId="167" fontId="0" fillId="5" borderId="5" xfId="0" applyNumberFormat="1" applyFill="1" applyBorder="1" applyAlignment="1" applyProtection="1">
      <alignment horizontal="center"/>
    </xf>
    <xf numFmtId="0" fontId="0" fillId="5" borderId="5" xfId="0" applyFill="1" applyBorder="1" applyProtection="1"/>
    <xf numFmtId="0" fontId="13" fillId="5" borderId="0" xfId="0" applyFont="1" applyFill="1" applyProtection="1"/>
    <xf numFmtId="164" fontId="8" fillId="5" borderId="1" xfId="0" applyNumberFormat="1" applyFont="1" applyFill="1" applyBorder="1" applyProtection="1"/>
    <xf numFmtId="0" fontId="8" fillId="5" borderId="0" xfId="0" applyFont="1" applyFill="1" applyAlignment="1" applyProtection="1">
      <alignment horizontal="left"/>
    </xf>
    <xf numFmtId="0" fontId="8" fillId="5" borderId="0" xfId="0" applyFont="1" applyFill="1" applyAlignment="1" applyProtection="1">
      <alignment horizontal="center"/>
    </xf>
    <xf numFmtId="9" fontId="8" fillId="5" borderId="4" xfId="3" applyNumberFormat="1" applyFont="1" applyFill="1" applyBorder="1" applyAlignment="1" applyProtection="1">
      <alignment horizontal="center"/>
    </xf>
    <xf numFmtId="0" fontId="14" fillId="5" borderId="5" xfId="0" applyFont="1" applyFill="1" applyBorder="1" applyAlignment="1" applyProtection="1">
      <alignment horizontal="center"/>
    </xf>
    <xf numFmtId="9" fontId="0" fillId="5" borderId="5" xfId="0" applyNumberFormat="1" applyFill="1" applyBorder="1" applyAlignment="1" applyProtection="1">
      <alignment horizontal="center"/>
    </xf>
    <xf numFmtId="168" fontId="8" fillId="5" borderId="4" xfId="3" applyNumberFormat="1" applyFont="1" applyFill="1" applyBorder="1" applyAlignment="1" applyProtection="1">
      <alignment horizontal="center"/>
    </xf>
    <xf numFmtId="168" fontId="0" fillId="5" borderId="5" xfId="0" applyNumberFormat="1" applyFill="1" applyBorder="1" applyAlignment="1" applyProtection="1">
      <alignment horizontal="center"/>
    </xf>
    <xf numFmtId="0" fontId="15" fillId="5" borderId="0" xfId="0" applyFont="1" applyFill="1" applyAlignment="1" applyProtection="1">
      <alignment wrapText="1"/>
    </xf>
    <xf numFmtId="0" fontId="5" fillId="5" borderId="0" xfId="0" applyFont="1" applyFill="1" applyAlignment="1">
      <alignment horizontal="center"/>
    </xf>
    <xf numFmtId="0" fontId="0" fillId="5" borderId="0" xfId="0" applyFill="1" applyBorder="1" applyAlignment="1">
      <alignment horizontal="center" wrapText="1"/>
    </xf>
    <xf numFmtId="42" fontId="0" fillId="5" borderId="0" xfId="0" applyNumberFormat="1" applyFill="1" applyProtection="1"/>
    <xf numFmtId="42" fontId="8" fillId="5" borderId="1" xfId="0" applyNumberFormat="1" applyFont="1" applyFill="1" applyBorder="1" applyProtection="1"/>
    <xf numFmtId="168" fontId="3" fillId="5" borderId="0" xfId="3" applyNumberFormat="1" applyFont="1" applyFill="1" applyProtection="1"/>
    <xf numFmtId="168" fontId="10" fillId="5" borderId="0" xfId="3" applyNumberFormat="1" applyFont="1" applyFill="1" applyProtection="1"/>
    <xf numFmtId="42" fontId="10" fillId="5" borderId="5" xfId="0" applyNumberFormat="1" applyFont="1" applyFill="1" applyBorder="1" applyProtection="1"/>
    <xf numFmtId="42" fontId="10" fillId="5" borderId="6" xfId="0" applyNumberFormat="1" applyFont="1" applyFill="1" applyBorder="1" applyProtection="1"/>
    <xf numFmtId="42" fontId="8" fillId="5" borderId="4" xfId="0" applyNumberFormat="1" applyFont="1" applyFill="1" applyBorder="1" applyProtection="1"/>
    <xf numFmtId="168" fontId="9" fillId="5" borderId="0" xfId="3" applyNumberFormat="1" applyFont="1" applyFill="1" applyAlignment="1" applyProtection="1">
      <alignment horizontal="center"/>
    </xf>
    <xf numFmtId="164" fontId="9" fillId="5" borderId="0" xfId="0" applyNumberFormat="1" applyFont="1" applyFill="1" applyAlignment="1" applyProtection="1">
      <alignment horizontal="right"/>
    </xf>
    <xf numFmtId="168" fontId="9" fillId="5" borderId="0" xfId="3" applyNumberFormat="1" applyFont="1" applyFill="1" applyAlignment="1" applyProtection="1">
      <alignment horizontal="right"/>
    </xf>
    <xf numFmtId="42" fontId="9" fillId="5" borderId="0" xfId="0" applyNumberFormat="1" applyFont="1" applyFill="1" applyAlignment="1" applyProtection="1">
      <alignment horizontal="right"/>
    </xf>
    <xf numFmtId="164" fontId="9" fillId="5" borderId="4" xfId="3" applyNumberFormat="1" applyFont="1" applyFill="1" applyBorder="1" applyAlignment="1" applyProtection="1">
      <alignment horizontal="right"/>
    </xf>
    <xf numFmtId="0" fontId="0" fillId="6" borderId="0" xfId="0" applyFill="1" applyProtection="1"/>
    <xf numFmtId="0" fontId="15" fillId="6" borderId="0" xfId="0" applyFont="1" applyFill="1" applyAlignment="1" applyProtection="1">
      <alignment wrapText="1"/>
    </xf>
    <xf numFmtId="42" fontId="0" fillId="5" borderId="2" xfId="0" applyNumberFormat="1" applyFill="1" applyBorder="1" applyProtection="1"/>
    <xf numFmtId="9" fontId="6" fillId="0" borderId="0" xfId="3" applyFont="1" applyFill="1" applyAlignment="1" applyProtection="1">
      <alignment horizontal="center"/>
    </xf>
    <xf numFmtId="0" fontId="0" fillId="5" borderId="0" xfId="0" applyFill="1" applyBorder="1" applyAlignment="1">
      <alignment horizontal="center"/>
    </xf>
    <xf numFmtId="0" fontId="5" fillId="5" borderId="0" xfId="0" applyFont="1" applyFill="1" applyBorder="1" applyAlignment="1">
      <alignment horizontal="center"/>
    </xf>
    <xf numFmtId="0" fontId="6" fillId="7" borderId="5" xfId="2" applyFont="1" applyFill="1" applyBorder="1" applyAlignment="1" applyProtection="1">
      <alignment horizontal="center"/>
      <protection locked="0"/>
    </xf>
    <xf numFmtId="0" fontId="6" fillId="7" borderId="0" xfId="2" applyFont="1" applyFill="1" applyAlignment="1" applyProtection="1">
      <alignment horizontal="center"/>
      <protection locked="0"/>
    </xf>
    <xf numFmtId="9" fontId="6" fillId="7" borderId="0" xfId="2" applyNumberFormat="1" applyFont="1" applyFill="1" applyAlignment="1" applyProtection="1">
      <alignment horizontal="center"/>
      <protection locked="0"/>
    </xf>
    <xf numFmtId="164" fontId="6" fillId="7" borderId="0" xfId="2" applyNumberFormat="1" applyFont="1" applyFill="1" applyAlignment="1" applyProtection="1">
      <alignment horizontal="left"/>
      <protection locked="0"/>
    </xf>
    <xf numFmtId="44" fontId="6" fillId="7" borderId="0" xfId="2" applyNumberFormat="1" applyFont="1" applyFill="1" applyProtection="1">
      <protection locked="0"/>
    </xf>
    <xf numFmtId="1" fontId="6" fillId="7" borderId="0" xfId="2" applyNumberFormat="1" applyFont="1" applyFill="1" applyAlignment="1" applyProtection="1">
      <alignment horizontal="center"/>
      <protection locked="0"/>
    </xf>
    <xf numFmtId="164" fontId="6" fillId="7" borderId="0" xfId="2" applyNumberFormat="1" applyFont="1" applyFill="1" applyAlignment="1" applyProtection="1">
      <alignment horizontal="center"/>
      <protection locked="0"/>
    </xf>
    <xf numFmtId="9" fontId="6" fillId="7" borderId="0" xfId="3" applyFont="1" applyFill="1" applyAlignment="1" applyProtection="1">
      <alignment horizontal="center"/>
      <protection locked="0"/>
    </xf>
    <xf numFmtId="168" fontId="6" fillId="7" borderId="0" xfId="3" applyNumberFormat="1" applyFont="1" applyFill="1" applyAlignment="1" applyProtection="1">
      <alignment horizontal="center"/>
      <protection locked="0"/>
    </xf>
    <xf numFmtId="0" fontId="6" fillId="7" borderId="0" xfId="2" applyFont="1" applyFill="1" applyProtection="1">
      <protection locked="0"/>
    </xf>
    <xf numFmtId="169" fontId="6" fillId="7" borderId="0" xfId="2" applyNumberFormat="1" applyFont="1" applyFill="1" applyProtection="1">
      <protection locked="0"/>
    </xf>
    <xf numFmtId="164" fontId="6" fillId="7" borderId="0" xfId="2" applyNumberFormat="1" applyFont="1" applyFill="1" applyProtection="1">
      <protection locked="0"/>
    </xf>
    <xf numFmtId="9" fontId="6" fillId="7" borderId="0" xfId="3" applyFont="1" applyFill="1" applyProtection="1">
      <protection locked="0"/>
    </xf>
    <xf numFmtId="0" fontId="6" fillId="0" borderId="0" xfId="2" applyFont="1" applyFill="1" applyProtection="1"/>
    <xf numFmtId="165" fontId="6" fillId="7" borderId="0" xfId="2" applyNumberFormat="1" applyFont="1" applyFill="1" applyAlignment="1" applyProtection="1">
      <alignment horizontal="center"/>
      <protection locked="0"/>
    </xf>
    <xf numFmtId="44" fontId="10" fillId="5" borderId="5" xfId="0" applyNumberFormat="1" applyFont="1" applyFill="1" applyBorder="1" applyProtection="1"/>
    <xf numFmtId="164" fontId="10" fillId="5" borderId="5" xfId="0" applyNumberFormat="1" applyFont="1" applyFill="1" applyBorder="1" applyProtection="1"/>
    <xf numFmtId="42" fontId="15" fillId="5" borderId="0" xfId="0" applyNumberFormat="1" applyFont="1" applyFill="1" applyAlignment="1" applyProtection="1">
      <alignment wrapText="1"/>
    </xf>
    <xf numFmtId="0" fontId="0" fillId="5" borderId="0" xfId="0" applyFill="1" applyBorder="1" applyProtection="1"/>
    <xf numFmtId="42" fontId="0" fillId="5" borderId="0" xfId="0" applyNumberFormat="1" applyFill="1" applyBorder="1" applyProtection="1"/>
    <xf numFmtId="42" fontId="9" fillId="5" borderId="0" xfId="0" applyNumberFormat="1" applyFont="1" applyFill="1" applyBorder="1" applyProtection="1"/>
    <xf numFmtId="42" fontId="10" fillId="5" borderId="0" xfId="0" applyNumberFormat="1" applyFont="1" applyFill="1" applyBorder="1" applyProtection="1"/>
    <xf numFmtId="42" fontId="8" fillId="5" borderId="0" xfId="0" applyNumberFormat="1" applyFont="1" applyFill="1" applyBorder="1" applyProtection="1"/>
    <xf numFmtId="168" fontId="9" fillId="5" borderId="0" xfId="3" applyNumberFormat="1" applyFont="1" applyFill="1" applyBorder="1" applyAlignment="1" applyProtection="1">
      <alignment horizontal="center"/>
    </xf>
    <xf numFmtId="168" fontId="10" fillId="5" borderId="0" xfId="3" applyNumberFormat="1" applyFont="1" applyFill="1" applyBorder="1" applyProtection="1"/>
    <xf numFmtId="164" fontId="9" fillId="5" borderId="0" xfId="3" applyNumberFormat="1" applyFont="1" applyFill="1" applyBorder="1" applyAlignment="1" applyProtection="1">
      <alignment horizontal="right"/>
    </xf>
    <xf numFmtId="168" fontId="9" fillId="5" borderId="0" xfId="3" applyNumberFormat="1" applyFont="1" applyFill="1" applyBorder="1" applyAlignment="1" applyProtection="1">
      <alignment horizontal="right"/>
    </xf>
    <xf numFmtId="168" fontId="3" fillId="5" borderId="0" xfId="3" applyNumberFormat="1" applyFont="1" applyFill="1" applyBorder="1" applyProtection="1"/>
    <xf numFmtId="0" fontId="15" fillId="5" borderId="0" xfId="0" applyFont="1" applyFill="1" applyBorder="1" applyAlignment="1" applyProtection="1">
      <alignment horizontal="center" wrapText="1"/>
    </xf>
    <xf numFmtId="0" fontId="0" fillId="6" borderId="0" xfId="0" applyFill="1" applyBorder="1" applyProtection="1"/>
    <xf numFmtId="0" fontId="5" fillId="5" borderId="0" xfId="0" applyFont="1" applyFill="1" applyProtection="1"/>
    <xf numFmtId="164" fontId="20" fillId="5" borderId="5" xfId="0" applyNumberFormat="1" applyFont="1" applyFill="1" applyBorder="1" applyProtection="1"/>
    <xf numFmtId="9" fontId="0" fillId="6" borderId="0" xfId="0" applyNumberFormat="1" applyFill="1" applyProtection="1"/>
    <xf numFmtId="164" fontId="0" fillId="6" borderId="0" xfId="0" applyNumberFormat="1" applyFill="1" applyProtection="1"/>
    <xf numFmtId="42" fontId="0" fillId="6" borderId="0" xfId="0" applyNumberFormat="1" applyFill="1" applyProtection="1"/>
    <xf numFmtId="164" fontId="21" fillId="6" borderId="0" xfId="0" applyNumberFormat="1" applyFont="1" applyFill="1" applyAlignment="1" applyProtection="1">
      <alignment wrapText="1"/>
    </xf>
    <xf numFmtId="42" fontId="21" fillId="6" borderId="0" xfId="0" applyNumberFormat="1" applyFont="1" applyFill="1" applyAlignment="1" applyProtection="1">
      <alignment wrapText="1"/>
    </xf>
    <xf numFmtId="0" fontId="21" fillId="6" borderId="0" xfId="0" applyFont="1" applyFill="1" applyAlignment="1" applyProtection="1">
      <alignment wrapText="1"/>
    </xf>
    <xf numFmtId="0" fontId="22" fillId="6" borderId="0" xfId="0" applyFont="1" applyFill="1" applyProtection="1"/>
    <xf numFmtId="0" fontId="22" fillId="6" borderId="0" xfId="0" applyFont="1" applyFill="1" applyBorder="1" applyProtection="1"/>
    <xf numFmtId="9" fontId="22" fillId="6" borderId="0" xfId="0" applyNumberFormat="1" applyFont="1" applyFill="1" applyProtection="1"/>
    <xf numFmtId="44" fontId="22" fillId="6" borderId="0" xfId="0" applyNumberFormat="1" applyFont="1" applyFill="1" applyProtection="1"/>
    <xf numFmtId="168" fontId="8" fillId="5" borderId="0" xfId="3" applyNumberFormat="1" applyFont="1" applyFill="1" applyBorder="1" applyAlignment="1" applyProtection="1">
      <alignment horizontal="center"/>
    </xf>
    <xf numFmtId="166" fontId="0" fillId="5" borderId="0" xfId="0" applyNumberFormat="1" applyFill="1" applyBorder="1" applyAlignment="1" applyProtection="1">
      <alignment horizontal="center"/>
    </xf>
    <xf numFmtId="0" fontId="14" fillId="5" borderId="0" xfId="0" applyFont="1" applyFill="1" applyBorder="1" applyAlignment="1" applyProtection="1">
      <alignment horizontal="center"/>
    </xf>
    <xf numFmtId="0" fontId="0" fillId="5" borderId="0" xfId="0" applyFill="1" applyBorder="1" applyAlignment="1" applyProtection="1">
      <alignment horizontal="center"/>
    </xf>
    <xf numFmtId="168" fontId="0" fillId="5" borderId="0" xfId="0" applyNumberFormat="1" applyFill="1" applyBorder="1" applyAlignment="1" applyProtection="1">
      <alignment horizontal="center"/>
    </xf>
    <xf numFmtId="170" fontId="0" fillId="5" borderId="5" xfId="0" applyNumberFormat="1" applyFill="1" applyBorder="1" applyAlignment="1" applyProtection="1">
      <alignment horizontal="center"/>
    </xf>
    <xf numFmtId="170" fontId="8" fillId="5" borderId="4" xfId="3" applyNumberFormat="1" applyFont="1" applyFill="1" applyBorder="1" applyAlignment="1" applyProtection="1">
      <alignment horizontal="center"/>
    </xf>
    <xf numFmtId="0" fontId="0" fillId="5" borderId="0" xfId="0" applyFill="1" applyBorder="1" applyAlignment="1">
      <alignment horizontal="center" wrapText="1"/>
    </xf>
    <xf numFmtId="166" fontId="0" fillId="5" borderId="0" xfId="0" quotePrefix="1" applyNumberFormat="1" applyFont="1" applyFill="1" applyBorder="1" applyAlignment="1" applyProtection="1">
      <alignment horizontal="center"/>
    </xf>
    <xf numFmtId="49" fontId="6" fillId="7" borderId="0" xfId="2" applyNumberFormat="1" applyFont="1" applyFill="1" applyAlignment="1" applyProtection="1">
      <alignment horizontal="center"/>
      <protection locked="0"/>
    </xf>
    <xf numFmtId="0" fontId="0" fillId="5" borderId="0" xfId="0" applyFill="1" applyBorder="1" applyAlignment="1">
      <alignment horizontal="center" wrapText="1"/>
    </xf>
    <xf numFmtId="0" fontId="18" fillId="5" borderId="0" xfId="0" applyFont="1" applyFill="1" applyBorder="1" applyAlignment="1">
      <alignment horizontal="center"/>
    </xf>
    <xf numFmtId="0" fontId="19" fillId="5" borderId="0" xfId="0" applyFont="1" applyFill="1" applyBorder="1" applyAlignment="1">
      <alignment horizontal="center"/>
    </xf>
    <xf numFmtId="0" fontId="0" fillId="5" borderId="0" xfId="0" applyFill="1" applyBorder="1" applyAlignment="1">
      <alignment horizontal="left" wrapText="1"/>
    </xf>
    <xf numFmtId="0" fontId="5" fillId="5" borderId="0" xfId="0" applyFont="1" applyFill="1" applyAlignment="1">
      <alignment horizontal="center"/>
    </xf>
    <xf numFmtId="0" fontId="16" fillId="5" borderId="0" xfId="0" applyNumberFormat="1" applyFont="1" applyFill="1" applyAlignment="1">
      <alignment horizontal="center" vertical="center" wrapText="1"/>
    </xf>
    <xf numFmtId="0" fontId="0" fillId="5" borderId="0" xfId="0" applyFill="1" applyBorder="1" applyAlignment="1">
      <alignment horizontal="left"/>
    </xf>
    <xf numFmtId="0" fontId="17" fillId="5" borderId="0" xfId="0" applyFont="1" applyFill="1" applyAlignment="1">
      <alignment horizontal="center" vertical="center" wrapText="1"/>
    </xf>
    <xf numFmtId="0" fontId="16" fillId="5" borderId="0" xfId="0" applyFont="1" applyFill="1" applyAlignment="1">
      <alignment horizontal="center" vertical="center" wrapText="1"/>
    </xf>
    <xf numFmtId="43" fontId="10" fillId="5" borderId="7" xfId="0" applyNumberFormat="1" applyFont="1" applyFill="1" applyBorder="1" applyAlignment="1" applyProtection="1">
      <alignment horizontal="center"/>
    </xf>
    <xf numFmtId="166" fontId="0" fillId="5" borderId="5" xfId="0" quotePrefix="1" applyNumberFormat="1" applyFont="1" applyFill="1" applyBorder="1" applyAlignment="1" applyProtection="1">
      <alignment horizontal="center"/>
    </xf>
    <xf numFmtId="0" fontId="15" fillId="5" borderId="0" xfId="0" applyFont="1" applyFill="1" applyAlignment="1" applyProtection="1">
      <alignment horizontal="center" wrapText="1"/>
    </xf>
    <xf numFmtId="43" fontId="10" fillId="5" borderId="5" xfId="0" applyNumberFormat="1" applyFont="1" applyFill="1" applyBorder="1" applyAlignment="1" applyProtection="1">
      <alignment horizontal="center"/>
    </xf>
    <xf numFmtId="0" fontId="15" fillId="5" borderId="0" xfId="0" applyFont="1" applyFill="1" applyAlignment="1">
      <alignment horizontal="center" wrapText="1"/>
    </xf>
    <xf numFmtId="0" fontId="9" fillId="5" borderId="0" xfId="0" applyFont="1" applyFill="1" applyAlignment="1">
      <alignment horizontal="center" vertical="center"/>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5" borderId="8" xfId="0" applyFill="1" applyBorder="1" applyAlignment="1">
      <alignment horizontal="center" wrapText="1"/>
    </xf>
    <xf numFmtId="0" fontId="0" fillId="5" borderId="9" xfId="0" applyFill="1" applyBorder="1" applyAlignment="1">
      <alignment horizontal="center" wrapText="1"/>
    </xf>
  </cellXfs>
  <cellStyles count="4">
    <cellStyle name="Currency" xfId="1" builtinId="4"/>
    <cellStyle name="Neutral" xfId="2" builtinId="2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63</xdr:row>
      <xdr:rowOff>30987</xdr:rowOff>
    </xdr:from>
    <xdr:to>
      <xdr:col>4</xdr:col>
      <xdr:colOff>638041</xdr:colOff>
      <xdr:row>67</xdr:row>
      <xdr:rowOff>175767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11781027"/>
          <a:ext cx="4798561" cy="876300"/>
        </a:xfrm>
        <a:prstGeom prst="rect">
          <a:avLst/>
        </a:prstGeom>
      </xdr:spPr>
    </xdr:pic>
    <xdr:clientData/>
  </xdr:twoCellAnchor>
  <xdr:twoCellAnchor editAs="oneCell">
    <xdr:from>
      <xdr:col>5</xdr:col>
      <xdr:colOff>167640</xdr:colOff>
      <xdr:row>63</xdr:row>
      <xdr:rowOff>27685</xdr:rowOff>
    </xdr:from>
    <xdr:to>
      <xdr:col>8</xdr:col>
      <xdr:colOff>83820</xdr:colOff>
      <xdr:row>67</xdr:row>
      <xdr:rowOff>179069</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02580" y="11777725"/>
          <a:ext cx="2682240" cy="8829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419101</xdr:colOff>
      <xdr:row>3</xdr:row>
      <xdr:rowOff>79502</xdr:rowOff>
    </xdr:from>
    <xdr:to>
      <xdr:col>10</xdr:col>
      <xdr:colOff>198121</xdr:colOff>
      <xdr:row>6</xdr:row>
      <xdr:rowOff>100271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06241" y="689102"/>
          <a:ext cx="3451860" cy="630369"/>
        </a:xfrm>
        <a:prstGeom prst="rect">
          <a:avLst/>
        </a:prstGeom>
      </xdr:spPr>
    </xdr:pic>
    <xdr:clientData/>
  </xdr:twoCellAnchor>
  <xdr:twoCellAnchor editAs="oneCell">
    <xdr:from>
      <xdr:col>4</xdr:col>
      <xdr:colOff>247651</xdr:colOff>
      <xdr:row>6</xdr:row>
      <xdr:rowOff>38100</xdr:rowOff>
    </xdr:from>
    <xdr:to>
      <xdr:col>9</xdr:col>
      <xdr:colOff>316231</xdr:colOff>
      <xdr:row>10</xdr:row>
      <xdr:rowOff>113284</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91051" y="1257300"/>
          <a:ext cx="2682240" cy="8829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365760</xdr:colOff>
      <xdr:row>1</xdr:row>
      <xdr:rowOff>186182</xdr:rowOff>
    </xdr:from>
    <xdr:to>
      <xdr:col>16</xdr:col>
      <xdr:colOff>706621</xdr:colOff>
      <xdr:row>6</xdr:row>
      <xdr:rowOff>56642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58200" y="414782"/>
          <a:ext cx="4798561" cy="876300"/>
        </a:xfrm>
        <a:prstGeom prst="rect">
          <a:avLst/>
        </a:prstGeom>
      </xdr:spPr>
    </xdr:pic>
    <xdr:clientData/>
  </xdr:twoCellAnchor>
  <xdr:twoCellAnchor editAs="oneCell">
    <xdr:from>
      <xdr:col>16</xdr:col>
      <xdr:colOff>1013460</xdr:colOff>
      <xdr:row>1</xdr:row>
      <xdr:rowOff>182880</xdr:rowOff>
    </xdr:from>
    <xdr:to>
      <xdr:col>20</xdr:col>
      <xdr:colOff>723900</xdr:colOff>
      <xdr:row>6</xdr:row>
      <xdr:rowOff>59944</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63600" y="411480"/>
          <a:ext cx="2682240" cy="8829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304800</xdr:colOff>
      <xdr:row>1</xdr:row>
      <xdr:rowOff>170942</xdr:rowOff>
    </xdr:from>
    <xdr:to>
      <xdr:col>16</xdr:col>
      <xdr:colOff>645661</xdr:colOff>
      <xdr:row>6</xdr:row>
      <xdr:rowOff>41402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97240" y="399542"/>
          <a:ext cx="4798561" cy="876300"/>
        </a:xfrm>
        <a:prstGeom prst="rect">
          <a:avLst/>
        </a:prstGeom>
      </xdr:spPr>
    </xdr:pic>
    <xdr:clientData/>
  </xdr:twoCellAnchor>
  <xdr:twoCellAnchor editAs="oneCell">
    <xdr:from>
      <xdr:col>16</xdr:col>
      <xdr:colOff>952500</xdr:colOff>
      <xdr:row>1</xdr:row>
      <xdr:rowOff>167640</xdr:rowOff>
    </xdr:from>
    <xdr:to>
      <xdr:col>20</xdr:col>
      <xdr:colOff>662940</xdr:colOff>
      <xdr:row>6</xdr:row>
      <xdr:rowOff>44704</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02640" y="396240"/>
          <a:ext cx="2682240" cy="8829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472440</xdr:colOff>
      <xdr:row>1</xdr:row>
      <xdr:rowOff>102362</xdr:rowOff>
    </xdr:from>
    <xdr:to>
      <xdr:col>16</xdr:col>
      <xdr:colOff>813301</xdr:colOff>
      <xdr:row>5</xdr:row>
      <xdr:rowOff>178562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4880" y="330962"/>
          <a:ext cx="4798561" cy="876300"/>
        </a:xfrm>
        <a:prstGeom prst="rect">
          <a:avLst/>
        </a:prstGeom>
      </xdr:spPr>
    </xdr:pic>
    <xdr:clientData/>
  </xdr:twoCellAnchor>
  <xdr:twoCellAnchor editAs="oneCell">
    <xdr:from>
      <xdr:col>17</xdr:col>
      <xdr:colOff>45720</xdr:colOff>
      <xdr:row>1</xdr:row>
      <xdr:rowOff>99060</xdr:rowOff>
    </xdr:from>
    <xdr:to>
      <xdr:col>20</xdr:col>
      <xdr:colOff>830580</xdr:colOff>
      <xdr:row>5</xdr:row>
      <xdr:rowOff>181864</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70280" y="327660"/>
          <a:ext cx="2682240" cy="8829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60960</xdr:colOff>
      <xdr:row>0</xdr:row>
      <xdr:rowOff>201422</xdr:rowOff>
    </xdr:from>
    <xdr:to>
      <xdr:col>13</xdr:col>
      <xdr:colOff>592321</xdr:colOff>
      <xdr:row>2</xdr:row>
      <xdr:rowOff>115191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2860" y="201422"/>
          <a:ext cx="1781041" cy="325249"/>
        </a:xfrm>
        <a:prstGeom prst="rect">
          <a:avLst/>
        </a:prstGeom>
      </xdr:spPr>
    </xdr:pic>
    <xdr:clientData/>
  </xdr:twoCellAnchor>
  <xdr:twoCellAnchor editAs="oneCell">
    <xdr:from>
      <xdr:col>11</xdr:col>
      <xdr:colOff>76200</xdr:colOff>
      <xdr:row>2</xdr:row>
      <xdr:rowOff>83820</xdr:rowOff>
    </xdr:from>
    <xdr:to>
      <xdr:col>13</xdr:col>
      <xdr:colOff>472440</xdr:colOff>
      <xdr:row>4</xdr:row>
      <xdr:rowOff>76962</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68100" y="495300"/>
          <a:ext cx="1645920" cy="5417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W73"/>
  <sheetViews>
    <sheetView tabSelected="1" zoomScaleNormal="100" workbookViewId="0">
      <selection activeCell="B11" sqref="B11"/>
    </sheetView>
  </sheetViews>
  <sheetFormatPr defaultColWidth="9.109375" defaultRowHeight="14.4" x14ac:dyDescent="0.3"/>
  <cols>
    <col min="1" max="1" width="26.88671875" style="1" customWidth="1"/>
    <col min="2" max="2" width="22.109375" style="1" customWidth="1"/>
    <col min="3" max="3" width="11" style="1" customWidth="1"/>
    <col min="4" max="4" width="5" style="1" customWidth="1"/>
    <col min="5" max="5" width="11.33203125" style="1" customWidth="1"/>
    <col min="6" max="6" width="16.5546875" style="1" customWidth="1"/>
    <col min="7" max="7" width="11.44140625" style="1" customWidth="1"/>
    <col min="8" max="8" width="12.33203125" style="1" customWidth="1"/>
    <col min="9" max="9" width="10.6640625" style="1" customWidth="1"/>
    <col min="10" max="10" width="9.109375" style="1"/>
    <col min="11" max="11" width="7.33203125" style="1" customWidth="1"/>
    <col min="12" max="12" width="2.33203125" style="1" customWidth="1"/>
    <col min="13" max="13" width="6.33203125" style="1" customWidth="1"/>
    <col min="14" max="14" width="2.33203125" style="1" customWidth="1"/>
    <col min="15" max="15" width="7.109375" style="1" customWidth="1"/>
    <col min="16" max="16" width="2.44140625" style="1" customWidth="1"/>
    <col min="17" max="17" width="6.6640625" style="1" customWidth="1"/>
    <col min="18" max="18" width="2.6640625" style="1" customWidth="1"/>
    <col min="19" max="19" width="8" style="1" customWidth="1"/>
    <col min="20" max="16384" width="9.109375" style="1"/>
  </cols>
  <sheetData>
    <row r="1" spans="1:23" ht="25.8" x14ac:dyDescent="0.5">
      <c r="A1" s="145" t="s">
        <v>0</v>
      </c>
      <c r="B1" s="145"/>
      <c r="C1" s="145"/>
      <c r="D1" s="145"/>
      <c r="E1" s="145"/>
      <c r="F1" s="145"/>
      <c r="G1" s="145"/>
      <c r="H1" s="145"/>
      <c r="I1" s="145"/>
      <c r="K1" s="6">
        <v>1</v>
      </c>
    </row>
    <row r="2" spans="1:23" ht="18" x14ac:dyDescent="0.35">
      <c r="A2" s="146" t="s">
        <v>124</v>
      </c>
      <c r="B2" s="146"/>
      <c r="C2" s="146"/>
      <c r="D2" s="146"/>
      <c r="E2" s="146"/>
      <c r="F2" s="146"/>
      <c r="G2" s="146"/>
      <c r="H2" s="146"/>
      <c r="I2" s="146"/>
      <c r="K2" s="6">
        <v>2</v>
      </c>
    </row>
    <row r="3" spans="1:23" ht="18" customHeight="1" x14ac:dyDescent="0.3">
      <c r="A3" s="33"/>
      <c r="B3" s="9"/>
      <c r="C3" s="9"/>
      <c r="D3" s="91" t="s">
        <v>125</v>
      </c>
      <c r="E3" s="33"/>
      <c r="F3" s="33"/>
      <c r="G3" s="33"/>
      <c r="H3" s="33"/>
      <c r="I3" s="33"/>
      <c r="K3" s="6">
        <v>3</v>
      </c>
    </row>
    <row r="4" spans="1:23" ht="18" customHeight="1" x14ac:dyDescent="0.3">
      <c r="A4" s="141"/>
      <c r="B4" s="9"/>
      <c r="C4" s="9"/>
      <c r="D4" s="91" t="s">
        <v>128</v>
      </c>
      <c r="E4" s="141"/>
      <c r="F4" s="141"/>
      <c r="G4" s="141"/>
      <c r="H4" s="141"/>
      <c r="I4" s="141"/>
      <c r="K4" s="6">
        <v>3</v>
      </c>
    </row>
    <row r="5" spans="1:23" ht="6.75" customHeight="1" x14ac:dyDescent="0.3">
      <c r="A5" s="73"/>
      <c r="B5" s="9"/>
      <c r="C5" s="9"/>
      <c r="D5" s="90"/>
      <c r="E5" s="73"/>
      <c r="F5" s="73"/>
      <c r="G5" s="73"/>
      <c r="H5" s="73"/>
      <c r="I5" s="73"/>
      <c r="K5" s="6">
        <v>4</v>
      </c>
    </row>
    <row r="6" spans="1:23" ht="15.75" customHeight="1" x14ac:dyDescent="0.3">
      <c r="A6" s="34" t="s">
        <v>31</v>
      </c>
      <c r="B6" s="147" t="s">
        <v>32</v>
      </c>
      <c r="C6" s="147"/>
      <c r="D6" s="147"/>
      <c r="E6" s="147"/>
      <c r="F6" s="147"/>
      <c r="G6" s="147"/>
      <c r="H6" s="147"/>
      <c r="I6" s="147"/>
      <c r="K6" s="6"/>
    </row>
    <row r="7" spans="1:23" ht="15.75" customHeight="1" x14ac:dyDescent="0.3">
      <c r="A7" s="34"/>
      <c r="B7" s="147" t="s">
        <v>35</v>
      </c>
      <c r="C7" s="147"/>
      <c r="D7" s="147"/>
      <c r="E7" s="147"/>
      <c r="F7" s="147"/>
      <c r="G7" s="147"/>
      <c r="H7" s="147"/>
      <c r="I7" s="147"/>
      <c r="K7" s="5"/>
    </row>
    <row r="8" spans="1:23" ht="15.75" customHeight="1" x14ac:dyDescent="0.3">
      <c r="A8" s="34" t="s">
        <v>122</v>
      </c>
      <c r="B8" s="150" t="s">
        <v>33</v>
      </c>
      <c r="C8" s="150"/>
      <c r="D8" s="150"/>
      <c r="E8" s="150"/>
      <c r="F8" s="150"/>
      <c r="G8" s="150"/>
      <c r="H8" s="150"/>
      <c r="I8" s="150"/>
      <c r="K8" s="5"/>
    </row>
    <row r="9" spans="1:23" ht="15.75" customHeight="1" x14ac:dyDescent="0.3">
      <c r="A9" s="34" t="s">
        <v>123</v>
      </c>
      <c r="B9" s="147" t="s">
        <v>34</v>
      </c>
      <c r="C9" s="147"/>
      <c r="D9" s="147"/>
      <c r="E9" s="147"/>
      <c r="F9" s="147"/>
      <c r="G9" s="147"/>
      <c r="H9" s="147"/>
      <c r="I9" s="147"/>
    </row>
    <row r="10" spans="1:23" x14ac:dyDescent="0.3">
      <c r="A10" s="35"/>
      <c r="B10" s="35"/>
      <c r="C10" s="35"/>
      <c r="D10" s="35"/>
      <c r="E10" s="35"/>
      <c r="F10" s="35"/>
      <c r="G10" s="35"/>
      <c r="H10" s="35"/>
      <c r="I10" s="35"/>
    </row>
    <row r="11" spans="1:23" x14ac:dyDescent="0.3">
      <c r="A11" s="36" t="s">
        <v>1</v>
      </c>
      <c r="B11" s="92" t="s">
        <v>94</v>
      </c>
      <c r="C11" s="9"/>
      <c r="D11" s="9"/>
      <c r="E11" s="9"/>
      <c r="F11" s="9"/>
      <c r="G11" s="9"/>
      <c r="H11" s="9"/>
      <c r="I11" s="9"/>
    </row>
    <row r="12" spans="1:23" x14ac:dyDescent="0.3">
      <c r="A12" s="36" t="s">
        <v>2</v>
      </c>
      <c r="B12" s="93">
        <v>1</v>
      </c>
      <c r="C12" s="9"/>
      <c r="D12" s="9"/>
      <c r="E12" s="9"/>
      <c r="F12" s="9"/>
      <c r="G12" s="9"/>
      <c r="H12" s="9"/>
      <c r="I12" s="9"/>
    </row>
    <row r="13" spans="1:23" ht="15" customHeight="1" x14ac:dyDescent="0.3">
      <c r="A13" s="9"/>
      <c r="B13" s="9"/>
      <c r="C13" s="152" t="str">
        <f>IF(AND(B12=1,B14&lt;0.15),"WARNING - Borrower needs more down payment!                              Minimum Down Payment on SFR is 15%", IF(AND(B12&gt;=2,B14&lt;0.25),"WARNING - Borrower needs more down payment!                              Minimum Down Payment on Multi-Unit is 25%.", " "))</f>
        <v xml:space="preserve"> </v>
      </c>
      <c r="D13" s="152"/>
      <c r="E13" s="152"/>
      <c r="F13" s="152"/>
      <c r="G13" s="152"/>
      <c r="H13" s="152"/>
      <c r="I13" s="152"/>
      <c r="O13" s="2"/>
      <c r="P13" s="2"/>
      <c r="Q13" s="2"/>
      <c r="R13" s="2"/>
      <c r="S13" s="2"/>
      <c r="T13" s="2"/>
      <c r="U13" s="2"/>
      <c r="V13" s="2"/>
      <c r="W13" s="2"/>
    </row>
    <row r="14" spans="1:23" ht="15" customHeight="1" x14ac:dyDescent="0.3">
      <c r="A14" s="36" t="s">
        <v>7</v>
      </c>
      <c r="B14" s="94">
        <v>0.2</v>
      </c>
      <c r="C14" s="152"/>
      <c r="D14" s="152"/>
      <c r="E14" s="152"/>
      <c r="F14" s="152"/>
      <c r="G14" s="152"/>
      <c r="H14" s="152"/>
      <c r="I14" s="152"/>
      <c r="O14" s="2"/>
      <c r="P14" s="2"/>
      <c r="Q14" s="2"/>
      <c r="R14" s="2"/>
      <c r="S14" s="2"/>
      <c r="T14" s="2"/>
      <c r="U14" s="2"/>
      <c r="V14" s="2"/>
      <c r="W14" s="2"/>
    </row>
    <row r="15" spans="1:23" ht="15" customHeight="1" x14ac:dyDescent="0.3">
      <c r="A15" s="9"/>
      <c r="B15" s="9"/>
      <c r="C15" s="152"/>
      <c r="D15" s="152"/>
      <c r="E15" s="152"/>
      <c r="F15" s="152"/>
      <c r="G15" s="152"/>
      <c r="H15" s="152"/>
      <c r="I15" s="152"/>
      <c r="O15" s="2"/>
      <c r="P15" s="2"/>
      <c r="Q15" s="2"/>
      <c r="R15" s="2"/>
      <c r="S15" s="2"/>
      <c r="T15" s="2"/>
      <c r="U15" s="2"/>
      <c r="V15" s="2"/>
      <c r="W15" s="2"/>
    </row>
    <row r="16" spans="1:23" ht="18" customHeight="1" x14ac:dyDescent="0.3">
      <c r="A16" s="36" t="s">
        <v>3</v>
      </c>
      <c r="B16" s="95">
        <v>165000</v>
      </c>
      <c r="C16" s="152" t="str">
        <f>IF(B20&lt;65000, "WARNING - Your borrower will need to pay cash for this property.  Minimum loan amount of $65,000", " ")</f>
        <v xml:space="preserve"> </v>
      </c>
      <c r="D16" s="152"/>
      <c r="E16" s="152"/>
      <c r="F16" s="152"/>
      <c r="G16" s="152"/>
      <c r="H16" s="152"/>
      <c r="I16" s="152"/>
      <c r="O16" s="2"/>
      <c r="P16" s="2"/>
      <c r="Q16" s="2"/>
      <c r="R16" s="2"/>
      <c r="S16" s="2"/>
      <c r="T16" s="2"/>
      <c r="U16" s="2"/>
      <c r="V16" s="2"/>
      <c r="W16" s="2"/>
    </row>
    <row r="17" spans="1:23" ht="19.5" customHeight="1" x14ac:dyDescent="0.3">
      <c r="A17" s="36" t="s">
        <v>4</v>
      </c>
      <c r="B17" s="95">
        <v>972</v>
      </c>
      <c r="C17" s="152"/>
      <c r="D17" s="152"/>
      <c r="E17" s="152"/>
      <c r="F17" s="152"/>
      <c r="G17" s="152"/>
      <c r="H17" s="152"/>
      <c r="I17" s="152"/>
      <c r="O17" s="2"/>
      <c r="P17" s="2"/>
      <c r="Q17" s="2"/>
      <c r="R17" s="2"/>
      <c r="S17" s="2"/>
      <c r="T17" s="2"/>
      <c r="U17" s="2"/>
      <c r="V17" s="2"/>
      <c r="W17" s="2"/>
    </row>
    <row r="18" spans="1:23" x14ac:dyDescent="0.3">
      <c r="A18" s="36" t="s">
        <v>5</v>
      </c>
      <c r="B18" s="37">
        <f>1490+(IF(B14&lt;0.1999,(B16*(1-B14)*0.03),(IF(B14&lt;0.2499,(B16*(1-B14)*0.01),(B16*(1-B14)*0)))))</f>
        <v>2810</v>
      </c>
      <c r="C18" s="149" t="str">
        <f>IF(AND(B12=1,B20&gt;417000),"WARNING - Borrower needs more down payment! Maximum Loan Amount on SFR is $417,000", IF(AND(B12=2,B20&gt;533850),"WARNING - Borrower needs more down payment! Maximum Loan Amount on Duplex is $533,850", IF(AND(B12=3,B20&gt;645300),"WARNING - Borrower needs more down payment! Maximum Loan Amount on Tri-Plex is $645,300", IF(AND(B12=4,B20&gt;801950),"WARNING - Borrower needs more down payment! Maximum Loan Amount on Four-Plex is $801,950", " "))))</f>
        <v xml:space="preserve"> </v>
      </c>
      <c r="D18" s="149"/>
      <c r="E18" s="149"/>
      <c r="F18" s="149"/>
      <c r="G18" s="149"/>
      <c r="H18" s="149"/>
      <c r="I18" s="9"/>
    </row>
    <row r="19" spans="1:23" ht="15.75" customHeight="1" x14ac:dyDescent="0.3">
      <c r="A19" s="36" t="s">
        <v>6</v>
      </c>
      <c r="B19" s="37">
        <f>B14*B16</f>
        <v>33000</v>
      </c>
      <c r="C19" s="149"/>
      <c r="D19" s="149"/>
      <c r="E19" s="149"/>
      <c r="F19" s="149"/>
      <c r="G19" s="149"/>
      <c r="H19" s="149"/>
      <c r="I19" s="9"/>
    </row>
    <row r="20" spans="1:23" ht="15" customHeight="1" x14ac:dyDescent="0.3">
      <c r="A20" s="36" t="s">
        <v>8</v>
      </c>
      <c r="B20" s="16">
        <f>B16-B19</f>
        <v>132000</v>
      </c>
      <c r="C20" s="149"/>
      <c r="D20" s="149"/>
      <c r="E20" s="149"/>
      <c r="F20" s="149"/>
      <c r="G20" s="149"/>
      <c r="H20" s="149"/>
      <c r="I20" s="9"/>
    </row>
    <row r="21" spans="1:23" hidden="1" x14ac:dyDescent="0.3">
      <c r="A21" s="36" t="s">
        <v>11</v>
      </c>
      <c r="B21" s="16">
        <f>SUM(B17:B19)</f>
        <v>36782</v>
      </c>
      <c r="C21" s="9"/>
      <c r="D21" s="9"/>
      <c r="E21" s="9"/>
      <c r="F21" s="9"/>
      <c r="G21" s="9"/>
      <c r="H21" s="9"/>
      <c r="I21" s="9"/>
    </row>
    <row r="22" spans="1:23" x14ac:dyDescent="0.3">
      <c r="A22" s="36" t="s">
        <v>10</v>
      </c>
      <c r="B22" s="96">
        <v>5000</v>
      </c>
      <c r="C22" s="9"/>
      <c r="D22" s="9"/>
      <c r="E22" s="9"/>
      <c r="F22" s="9"/>
      <c r="G22" s="9"/>
      <c r="H22" s="9"/>
      <c r="I22" s="9"/>
    </row>
    <row r="23" spans="1:23" x14ac:dyDescent="0.3">
      <c r="A23" s="36" t="s">
        <v>9</v>
      </c>
      <c r="B23" s="16">
        <f>B21+B22</f>
        <v>41782</v>
      </c>
      <c r="C23" s="9"/>
      <c r="D23" s="9"/>
      <c r="E23" s="9"/>
      <c r="F23" s="9"/>
      <c r="G23" s="9"/>
      <c r="H23" s="9"/>
      <c r="I23" s="9"/>
    </row>
    <row r="24" spans="1:23" x14ac:dyDescent="0.3">
      <c r="A24" s="9"/>
      <c r="B24" s="9"/>
      <c r="C24" s="9"/>
      <c r="D24" s="9"/>
      <c r="E24" s="9"/>
      <c r="F24" s="9"/>
      <c r="G24" s="9"/>
      <c r="H24" s="9"/>
      <c r="I24" s="9"/>
    </row>
    <row r="25" spans="1:23" x14ac:dyDescent="0.3">
      <c r="A25" s="36" t="s">
        <v>17</v>
      </c>
      <c r="B25" s="106">
        <v>4.3749999999999997E-2</v>
      </c>
      <c r="C25" s="9"/>
      <c r="D25" s="9"/>
      <c r="E25" s="9"/>
      <c r="F25" s="9"/>
      <c r="G25" s="9"/>
      <c r="H25" s="9"/>
      <c r="I25" s="9"/>
    </row>
    <row r="26" spans="1:23" x14ac:dyDescent="0.3">
      <c r="A26" s="36" t="s">
        <v>95</v>
      </c>
      <c r="B26" s="97">
        <v>30</v>
      </c>
      <c r="C26" s="9"/>
      <c r="D26" s="9"/>
      <c r="E26" s="9"/>
      <c r="F26" s="9"/>
      <c r="G26" s="9"/>
      <c r="H26" s="9"/>
      <c r="I26" s="9"/>
    </row>
    <row r="27" spans="1:23" x14ac:dyDescent="0.3">
      <c r="A27" s="36" t="s">
        <v>112</v>
      </c>
      <c r="B27" s="97">
        <v>0</v>
      </c>
      <c r="C27" s="9"/>
      <c r="D27" s="9"/>
      <c r="E27" s="9"/>
      <c r="F27" s="9"/>
      <c r="G27" s="9"/>
      <c r="H27" s="9"/>
      <c r="I27" s="9"/>
    </row>
    <row r="28" spans="1:23" x14ac:dyDescent="0.3">
      <c r="A28" s="9"/>
      <c r="B28" s="9"/>
      <c r="C28" s="9"/>
      <c r="D28" s="9"/>
      <c r="E28" s="9"/>
      <c r="F28" s="9"/>
      <c r="G28" s="9"/>
      <c r="H28" s="9"/>
      <c r="I28" s="9"/>
    </row>
    <row r="29" spans="1:23" x14ac:dyDescent="0.3">
      <c r="A29" s="148" t="s">
        <v>22</v>
      </c>
      <c r="B29" s="148"/>
      <c r="C29" s="9"/>
      <c r="D29" s="9"/>
      <c r="E29" s="9"/>
      <c r="F29" s="9"/>
      <c r="G29" s="9"/>
      <c r="H29" s="9"/>
      <c r="I29" s="9"/>
    </row>
    <row r="30" spans="1:23" x14ac:dyDescent="0.3">
      <c r="A30" s="15" t="s">
        <v>12</v>
      </c>
      <c r="B30" s="98">
        <v>1726</v>
      </c>
      <c r="C30" s="9"/>
      <c r="D30" s="9"/>
      <c r="E30" s="9"/>
      <c r="F30" s="9"/>
      <c r="G30" s="9"/>
      <c r="H30" s="9"/>
      <c r="I30" s="9"/>
      <c r="K30" s="4"/>
      <c r="L30" s="4"/>
      <c r="M30" s="4"/>
      <c r="N30" s="4"/>
      <c r="O30" s="4"/>
      <c r="P30" s="4"/>
      <c r="Q30" s="4"/>
      <c r="S30" s="4"/>
    </row>
    <row r="31" spans="1:23" x14ac:dyDescent="0.3">
      <c r="A31" s="15" t="s">
        <v>13</v>
      </c>
      <c r="B31" s="98"/>
      <c r="C31" s="38" t="str">
        <f>IF(AND(B31&gt;0,B12&lt;2),"This rent is not included in total because you do not have 2-unit selected above.", " ")</f>
        <v xml:space="preserve"> </v>
      </c>
      <c r="D31" s="9"/>
      <c r="E31" s="9"/>
      <c r="F31" s="9"/>
      <c r="G31" s="9"/>
      <c r="H31" s="9"/>
      <c r="I31" s="9"/>
      <c r="K31" s="3"/>
    </row>
    <row r="32" spans="1:23" x14ac:dyDescent="0.3">
      <c r="A32" s="15" t="s">
        <v>14</v>
      </c>
      <c r="B32" s="98"/>
      <c r="C32" s="38" t="str">
        <f>IF(AND(B32&gt;0,B12&lt;3),"This rent is not included in total because you do not have 3-unit selected above.", " ")</f>
        <v xml:space="preserve"> </v>
      </c>
      <c r="D32" s="9"/>
      <c r="E32" s="9"/>
      <c r="F32" s="9"/>
      <c r="G32" s="9"/>
      <c r="H32" s="9"/>
      <c r="I32" s="9"/>
    </row>
    <row r="33" spans="1:9" x14ac:dyDescent="0.3">
      <c r="A33" s="15" t="s">
        <v>15</v>
      </c>
      <c r="B33" s="98"/>
      <c r="C33" s="38" t="str">
        <f>IF(AND(B33&gt;0,B12&lt;4),"This rent is not included in total because you do not have 4-unit selected above.", " ")</f>
        <v xml:space="preserve"> </v>
      </c>
      <c r="D33" s="9"/>
      <c r="E33" s="9"/>
      <c r="F33" s="9"/>
      <c r="G33" s="9"/>
      <c r="H33" s="9"/>
      <c r="I33" s="9"/>
    </row>
    <row r="34" spans="1:9" x14ac:dyDescent="0.3">
      <c r="A34" s="14" t="s">
        <v>16</v>
      </c>
      <c r="B34" s="39">
        <f>IF(B12=1, SUM(B30), IF(B12=2, SUM(B30:B31), IF(B12=3, SUM(B30:B32), IF(B12=4, SUM(B30:B33)," "))))</f>
        <v>1726</v>
      </c>
      <c r="C34" s="9"/>
      <c r="D34" s="9"/>
      <c r="E34" s="9"/>
      <c r="F34" s="9"/>
      <c r="G34" s="9"/>
      <c r="H34" s="9"/>
      <c r="I34" s="9"/>
    </row>
    <row r="35" spans="1:9" x14ac:dyDescent="0.3">
      <c r="A35" s="14"/>
      <c r="B35" s="39"/>
      <c r="C35" s="9"/>
      <c r="D35" s="9"/>
      <c r="E35" s="9"/>
      <c r="F35" s="9"/>
      <c r="G35" s="9"/>
      <c r="H35" s="9"/>
      <c r="I35" s="9"/>
    </row>
    <row r="36" spans="1:9" x14ac:dyDescent="0.3">
      <c r="A36" s="14" t="s">
        <v>28</v>
      </c>
      <c r="B36" s="99">
        <v>0.03</v>
      </c>
      <c r="C36" s="9"/>
      <c r="D36" s="9"/>
      <c r="E36" s="9"/>
      <c r="F36" s="9"/>
      <c r="G36" s="9"/>
      <c r="H36" s="9"/>
      <c r="I36" s="9"/>
    </row>
    <row r="37" spans="1:9" x14ac:dyDescent="0.3">
      <c r="A37" s="72"/>
      <c r="B37" s="89"/>
      <c r="C37" s="9"/>
      <c r="D37" s="9"/>
      <c r="E37" s="9"/>
      <c r="F37" s="9"/>
      <c r="G37" s="9"/>
      <c r="H37" s="9"/>
      <c r="I37" s="9"/>
    </row>
    <row r="38" spans="1:9" x14ac:dyDescent="0.3">
      <c r="A38" s="72" t="s">
        <v>93</v>
      </c>
      <c r="B38" s="99">
        <v>0.05</v>
      </c>
      <c r="C38" s="9"/>
      <c r="D38" s="9"/>
      <c r="E38" s="9"/>
      <c r="F38" s="9"/>
      <c r="G38" s="9"/>
      <c r="H38" s="9"/>
      <c r="I38" s="9"/>
    </row>
    <row r="39" spans="1:9" ht="15" customHeight="1" x14ac:dyDescent="0.3">
      <c r="A39" s="14"/>
      <c r="B39" s="9"/>
      <c r="C39" s="151" t="str">
        <f>IF(B40&gt;0.06,"REMINDER - The national average appreciation for the last 40 years is 6%", " ")</f>
        <v xml:space="preserve"> </v>
      </c>
      <c r="D39" s="151"/>
      <c r="E39" s="151"/>
      <c r="F39" s="151"/>
      <c r="G39" s="151"/>
      <c r="H39" s="151"/>
      <c r="I39" s="151"/>
    </row>
    <row r="40" spans="1:9" ht="15" customHeight="1" x14ac:dyDescent="0.3">
      <c r="A40" s="14" t="s">
        <v>41</v>
      </c>
      <c r="B40" s="100">
        <v>0.06</v>
      </c>
      <c r="C40" s="151"/>
      <c r="D40" s="151"/>
      <c r="E40" s="151"/>
      <c r="F40" s="151"/>
      <c r="G40" s="151"/>
      <c r="H40" s="151"/>
      <c r="I40" s="151"/>
    </row>
    <row r="41" spans="1:9" x14ac:dyDescent="0.3">
      <c r="A41" s="9"/>
      <c r="B41" s="9"/>
      <c r="C41" s="9"/>
      <c r="D41" s="9"/>
      <c r="E41" s="9"/>
      <c r="F41" s="9"/>
      <c r="G41" s="9"/>
      <c r="H41" s="9"/>
      <c r="I41" s="9"/>
    </row>
    <row r="42" spans="1:9" x14ac:dyDescent="0.3">
      <c r="A42" s="148" t="s">
        <v>23</v>
      </c>
      <c r="B42" s="148"/>
      <c r="C42" s="9"/>
      <c r="D42" s="148" t="s">
        <v>36</v>
      </c>
      <c r="E42" s="148"/>
      <c r="F42" s="148"/>
      <c r="G42" s="148"/>
      <c r="H42" s="148"/>
      <c r="I42" s="9"/>
    </row>
    <row r="43" spans="1:9" x14ac:dyDescent="0.3">
      <c r="A43" s="9" t="s">
        <v>18</v>
      </c>
      <c r="B43" s="101">
        <v>1116.3399999999999</v>
      </c>
      <c r="C43" s="9"/>
      <c r="D43" s="143"/>
      <c r="E43" s="143"/>
      <c r="F43" s="143"/>
      <c r="G43" s="143"/>
      <c r="H43" s="143"/>
      <c r="I43" s="9"/>
    </row>
    <row r="44" spans="1:9" x14ac:dyDescent="0.3">
      <c r="A44" s="9" t="s">
        <v>19</v>
      </c>
      <c r="B44" s="101">
        <v>216</v>
      </c>
      <c r="C44" s="9"/>
      <c r="D44" s="143"/>
      <c r="E44" s="143"/>
      <c r="F44" s="143"/>
      <c r="G44" s="143"/>
      <c r="H44" s="143"/>
      <c r="I44" s="9"/>
    </row>
    <row r="45" spans="1:9" x14ac:dyDescent="0.3">
      <c r="A45" s="9" t="s">
        <v>20</v>
      </c>
      <c r="B45" s="102">
        <f>B34*0.07*12</f>
        <v>1449.8400000000001</v>
      </c>
      <c r="C45" s="9"/>
      <c r="D45" s="143" t="s">
        <v>98</v>
      </c>
      <c r="E45" s="143"/>
      <c r="F45" s="143"/>
      <c r="G45" s="143"/>
      <c r="H45" s="143"/>
      <c r="I45" s="9"/>
    </row>
    <row r="46" spans="1:9" x14ac:dyDescent="0.3">
      <c r="A46" s="9" t="s">
        <v>21</v>
      </c>
      <c r="B46" s="103">
        <f>B34*0.05*12</f>
        <v>1035.6000000000001</v>
      </c>
      <c r="C46" s="9"/>
      <c r="D46" s="143" t="s">
        <v>97</v>
      </c>
      <c r="E46" s="143"/>
      <c r="F46" s="143"/>
      <c r="G46" s="143"/>
      <c r="H46" s="143"/>
      <c r="I46" s="9"/>
    </row>
    <row r="47" spans="1:9" x14ac:dyDescent="0.3">
      <c r="A47" s="9" t="s">
        <v>26</v>
      </c>
      <c r="B47" s="101"/>
      <c r="C47" s="9"/>
      <c r="D47" s="143"/>
      <c r="E47" s="143"/>
      <c r="F47" s="143"/>
      <c r="G47" s="143"/>
      <c r="H47" s="143"/>
      <c r="I47" s="9"/>
    </row>
    <row r="48" spans="1:9" x14ac:dyDescent="0.3">
      <c r="A48" s="9" t="s">
        <v>24</v>
      </c>
      <c r="B48" s="101"/>
      <c r="C48" s="9"/>
      <c r="D48" s="143"/>
      <c r="E48" s="143"/>
      <c r="F48" s="143"/>
      <c r="G48" s="143"/>
      <c r="H48" s="143"/>
      <c r="I48" s="9"/>
    </row>
    <row r="49" spans="1:9" x14ac:dyDescent="0.3">
      <c r="A49" s="9" t="s">
        <v>25</v>
      </c>
      <c r="B49" s="101"/>
      <c r="C49" s="9"/>
      <c r="D49" s="143"/>
      <c r="E49" s="143"/>
      <c r="F49" s="143"/>
      <c r="G49" s="143"/>
      <c r="H49" s="143"/>
      <c r="I49" s="9"/>
    </row>
    <row r="50" spans="1:9" x14ac:dyDescent="0.3">
      <c r="A50" s="9" t="s">
        <v>27</v>
      </c>
      <c r="B50" s="101"/>
      <c r="C50" s="9"/>
      <c r="D50" s="143"/>
      <c r="E50" s="143"/>
      <c r="F50" s="143"/>
      <c r="G50" s="143"/>
      <c r="H50" s="143"/>
      <c r="I50" s="9"/>
    </row>
    <row r="51" spans="1:9" x14ac:dyDescent="0.3">
      <c r="A51" s="9" t="s">
        <v>29</v>
      </c>
      <c r="B51" s="101"/>
      <c r="C51" s="9"/>
      <c r="D51" s="143"/>
      <c r="E51" s="143"/>
      <c r="F51" s="143"/>
      <c r="G51" s="143"/>
      <c r="H51" s="143"/>
      <c r="I51" s="9"/>
    </row>
    <row r="52" spans="1:9" x14ac:dyDescent="0.3">
      <c r="A52" s="105" t="s">
        <v>96</v>
      </c>
      <c r="B52" s="101">
        <v>2160</v>
      </c>
      <c r="C52" s="9"/>
      <c r="D52" s="143"/>
      <c r="E52" s="143"/>
      <c r="F52" s="143"/>
      <c r="G52" s="143"/>
      <c r="H52" s="143"/>
      <c r="I52" s="9"/>
    </row>
    <row r="53" spans="1:9" x14ac:dyDescent="0.3">
      <c r="A53" s="101" t="s">
        <v>30</v>
      </c>
      <c r="B53" s="101"/>
      <c r="C53" s="9"/>
      <c r="D53" s="143"/>
      <c r="E53" s="143"/>
      <c r="F53" s="143"/>
      <c r="G53" s="143"/>
      <c r="H53" s="143"/>
      <c r="I53" s="9"/>
    </row>
    <row r="54" spans="1:9" x14ac:dyDescent="0.3">
      <c r="A54" s="101" t="s">
        <v>30</v>
      </c>
      <c r="B54" s="101"/>
      <c r="C54" s="9"/>
      <c r="D54" s="143"/>
      <c r="E54" s="143"/>
      <c r="F54" s="143"/>
      <c r="G54" s="143"/>
      <c r="H54" s="143"/>
      <c r="I54" s="9"/>
    </row>
    <row r="55" spans="1:9" x14ac:dyDescent="0.3">
      <c r="A55" s="101" t="s">
        <v>30</v>
      </c>
      <c r="B55" s="101"/>
      <c r="C55" s="9"/>
      <c r="D55" s="143"/>
      <c r="E55" s="143"/>
      <c r="F55" s="143"/>
      <c r="G55" s="143"/>
      <c r="H55" s="143"/>
      <c r="I55" s="9"/>
    </row>
    <row r="56" spans="1:9" x14ac:dyDescent="0.3">
      <c r="A56" s="101" t="s">
        <v>30</v>
      </c>
      <c r="B56" s="101"/>
      <c r="C56" s="9"/>
      <c r="D56" s="143"/>
      <c r="E56" s="143"/>
      <c r="F56" s="143"/>
      <c r="G56" s="143"/>
      <c r="H56" s="143"/>
      <c r="I56" s="9"/>
    </row>
    <row r="57" spans="1:9" x14ac:dyDescent="0.3">
      <c r="A57" s="101" t="s">
        <v>30</v>
      </c>
      <c r="B57" s="101"/>
      <c r="C57" s="9"/>
      <c r="D57" s="143"/>
      <c r="E57" s="143"/>
      <c r="F57" s="143"/>
      <c r="G57" s="143"/>
      <c r="H57" s="143"/>
      <c r="I57" s="9"/>
    </row>
    <row r="58" spans="1:9" x14ac:dyDescent="0.3">
      <c r="A58" s="9"/>
      <c r="B58" s="9"/>
      <c r="C58" s="9"/>
      <c r="D58" s="9"/>
      <c r="E58" s="9"/>
      <c r="F58" s="9"/>
      <c r="G58" s="9"/>
      <c r="H58" s="9"/>
      <c r="I58" s="9"/>
    </row>
    <row r="59" spans="1:9" x14ac:dyDescent="0.3">
      <c r="A59" s="9"/>
      <c r="B59" s="9"/>
      <c r="C59" s="9"/>
      <c r="D59" s="9"/>
      <c r="E59" s="9"/>
      <c r="F59" s="9"/>
      <c r="G59" s="9"/>
      <c r="H59" s="9"/>
      <c r="I59" s="9"/>
    </row>
    <row r="60" spans="1:9" x14ac:dyDescent="0.3">
      <c r="A60" s="36" t="s">
        <v>37</v>
      </c>
      <c r="B60" s="9"/>
      <c r="C60" s="9"/>
      <c r="D60" s="9"/>
      <c r="E60" s="9"/>
      <c r="F60" s="9"/>
      <c r="G60" s="9"/>
      <c r="H60" s="9"/>
      <c r="I60" s="9"/>
    </row>
    <row r="61" spans="1:9" x14ac:dyDescent="0.3">
      <c r="A61" s="9" t="s">
        <v>38</v>
      </c>
      <c r="B61" s="9"/>
      <c r="C61" s="9"/>
      <c r="D61" s="9"/>
      <c r="E61" s="104">
        <v>0.05</v>
      </c>
      <c r="F61" s="9"/>
      <c r="G61" s="9"/>
      <c r="H61" s="9"/>
      <c r="I61" s="9"/>
    </row>
    <row r="62" spans="1:9" x14ac:dyDescent="0.3">
      <c r="A62" s="9" t="s">
        <v>39</v>
      </c>
      <c r="B62" s="9"/>
      <c r="C62" s="9"/>
      <c r="D62" s="9"/>
      <c r="E62" s="104">
        <v>0.05</v>
      </c>
      <c r="F62" s="9"/>
      <c r="G62" s="9"/>
      <c r="H62" s="9"/>
      <c r="I62" s="9"/>
    </row>
    <row r="63" spans="1:9" x14ac:dyDescent="0.3">
      <c r="A63" s="9" t="s">
        <v>40</v>
      </c>
      <c r="B63" s="9"/>
      <c r="C63" s="9"/>
      <c r="D63" s="9"/>
      <c r="E63" s="104">
        <v>0.05</v>
      </c>
      <c r="F63" s="9"/>
      <c r="G63" s="9"/>
      <c r="H63" s="9"/>
      <c r="I63" s="9"/>
    </row>
    <row r="64" spans="1:9" x14ac:dyDescent="0.3">
      <c r="A64" s="9"/>
      <c r="B64" s="9"/>
      <c r="C64" s="9"/>
      <c r="D64" s="9"/>
      <c r="E64" s="9"/>
      <c r="F64" s="9"/>
      <c r="G64" s="9"/>
      <c r="H64" s="9"/>
      <c r="I64" s="9"/>
    </row>
    <row r="65" spans="1:9" x14ac:dyDescent="0.3">
      <c r="A65" s="40"/>
      <c r="B65" s="40"/>
      <c r="C65" s="40"/>
      <c r="D65" s="40"/>
      <c r="E65" s="40"/>
      <c r="F65" s="40"/>
      <c r="G65" s="40"/>
      <c r="H65" s="40"/>
      <c r="I65" s="40"/>
    </row>
    <row r="66" spans="1:9" x14ac:dyDescent="0.3">
      <c r="A66" s="40"/>
      <c r="B66" s="40"/>
      <c r="C66" s="40"/>
      <c r="D66" s="40"/>
      <c r="E66" s="40"/>
      <c r="F66" s="40"/>
      <c r="G66" s="40"/>
      <c r="H66" s="40"/>
      <c r="I66" s="40"/>
    </row>
    <row r="67" spans="1:9" x14ac:dyDescent="0.3">
      <c r="A67" s="40"/>
      <c r="B67" s="40"/>
      <c r="C67" s="40"/>
      <c r="D67" s="40"/>
      <c r="E67" s="40"/>
      <c r="F67" s="40"/>
      <c r="G67" s="40"/>
      <c r="H67" s="40"/>
      <c r="I67" s="40"/>
    </row>
    <row r="68" spans="1:9" ht="14.4" customHeight="1" x14ac:dyDescent="0.3">
      <c r="A68" s="144" t="s">
        <v>126</v>
      </c>
      <c r="B68" s="144"/>
      <c r="C68" s="144"/>
      <c r="D68" s="144"/>
      <c r="E68" s="144"/>
      <c r="F68" s="144"/>
      <c r="G68" s="144"/>
      <c r="H68" s="144"/>
      <c r="I68" s="144"/>
    </row>
    <row r="69" spans="1:9" x14ac:dyDescent="0.3">
      <c r="A69" s="144"/>
      <c r="B69" s="144"/>
      <c r="C69" s="144"/>
      <c r="D69" s="144"/>
      <c r="E69" s="144"/>
      <c r="F69" s="144"/>
      <c r="G69" s="144"/>
      <c r="H69" s="144"/>
      <c r="I69" s="144"/>
    </row>
    <row r="70" spans="1:9" x14ac:dyDescent="0.3">
      <c r="A70" s="144"/>
      <c r="B70" s="144"/>
      <c r="C70" s="144"/>
      <c r="D70" s="144"/>
      <c r="E70" s="144"/>
      <c r="F70" s="144"/>
      <c r="G70" s="144"/>
      <c r="H70" s="144"/>
      <c r="I70" s="144"/>
    </row>
    <row r="71" spans="1:9" x14ac:dyDescent="0.3">
      <c r="A71" s="144"/>
      <c r="B71" s="144"/>
      <c r="C71" s="144"/>
      <c r="D71" s="144"/>
      <c r="E71" s="144"/>
      <c r="F71" s="144"/>
      <c r="G71" s="144"/>
      <c r="H71" s="144"/>
      <c r="I71" s="144"/>
    </row>
    <row r="72" spans="1:9" x14ac:dyDescent="0.3">
      <c r="A72" s="144"/>
      <c r="B72" s="144"/>
      <c r="C72" s="144"/>
      <c r="D72" s="144"/>
      <c r="E72" s="144"/>
      <c r="F72" s="144"/>
      <c r="G72" s="144"/>
      <c r="H72" s="144"/>
      <c r="I72" s="144"/>
    </row>
    <row r="73" spans="1:9" x14ac:dyDescent="0.3">
      <c r="A73" s="144"/>
      <c r="B73" s="144"/>
      <c r="C73" s="144"/>
      <c r="D73" s="144"/>
      <c r="E73" s="144"/>
      <c r="F73" s="144"/>
      <c r="G73" s="144"/>
      <c r="H73" s="144"/>
      <c r="I73" s="144"/>
    </row>
  </sheetData>
  <sheetProtection algorithmName="SHA-512" hashValue="6v535QpZa1FYvVbH5wYrLnIC+MT3ss8MZBOCpdON3B0VRLTWEKhco+JfOPwP64OIIKA5a2Wyh4Zr7ihMs4QHZw==" saltValue="CkZcyU1waeRY0urU3Z/iHg==" spinCount="100000" sheet="1" objects="1" scenarios="1" selectLockedCells="1"/>
  <dataConsolidate/>
  <mergeCells count="29">
    <mergeCell ref="C39:I40"/>
    <mergeCell ref="A42:B42"/>
    <mergeCell ref="D44:H44"/>
    <mergeCell ref="C16:I17"/>
    <mergeCell ref="C13:I15"/>
    <mergeCell ref="D42:H42"/>
    <mergeCell ref="D43:H43"/>
    <mergeCell ref="A1:I1"/>
    <mergeCell ref="A2:I2"/>
    <mergeCell ref="B6:I6"/>
    <mergeCell ref="A29:B29"/>
    <mergeCell ref="C18:H20"/>
    <mergeCell ref="B7:I7"/>
    <mergeCell ref="B8:I8"/>
    <mergeCell ref="B9:I9"/>
    <mergeCell ref="D54:H54"/>
    <mergeCell ref="D55:H55"/>
    <mergeCell ref="D56:H56"/>
    <mergeCell ref="D57:H57"/>
    <mergeCell ref="A68:I73"/>
    <mergeCell ref="D53:H53"/>
    <mergeCell ref="D52:H52"/>
    <mergeCell ref="D45:H45"/>
    <mergeCell ref="D46:H46"/>
    <mergeCell ref="D47:H47"/>
    <mergeCell ref="D50:H50"/>
    <mergeCell ref="D51:H51"/>
    <mergeCell ref="D48:H48"/>
    <mergeCell ref="D49:H49"/>
  </mergeCells>
  <dataValidations count="1">
    <dataValidation type="list" allowBlank="1" showInputMessage="1" showErrorMessage="1" errorTitle="Please Select Number of Units" error="This analysis is for 1-4 unit properties only.  Please select the number of units from the drop down list.  " sqref="B12">
      <formula1>$K$1:$K$5</formula1>
    </dataValidation>
  </dataValidations>
  <pageMargins left="0.7" right="0.7" top="0.75" bottom="0.75" header="0.3" footer="0.3"/>
  <pageSetup scale="67"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56"/>
  <sheetViews>
    <sheetView zoomScaleNormal="100" workbookViewId="0"/>
  </sheetViews>
  <sheetFormatPr defaultColWidth="9.109375" defaultRowHeight="14.4" x14ac:dyDescent="0.3"/>
  <cols>
    <col min="1" max="1" width="18" style="43" customWidth="1"/>
    <col min="2" max="2" width="19.88671875" style="43" customWidth="1"/>
    <col min="3" max="3" width="17.33203125" style="43" customWidth="1"/>
    <col min="4" max="4" width="8.109375" style="43" customWidth="1"/>
    <col min="5" max="5" width="10.88671875" style="43" customWidth="1"/>
    <col min="6" max="6" width="4" style="43" customWidth="1"/>
    <col min="7" max="7" width="10.88671875" style="43" customWidth="1"/>
    <col min="8" max="8" width="1.88671875" style="43" customWidth="1"/>
    <col min="9" max="9" width="10.44140625" style="43" customWidth="1"/>
    <col min="10" max="10" width="7.33203125" style="43" customWidth="1"/>
    <col min="11" max="11" width="3.5546875" style="43" customWidth="1"/>
    <col min="12" max="16384" width="9.109375" style="43"/>
  </cols>
  <sheetData>
    <row r="1" spans="1:11" ht="18" x14ac:dyDescent="0.35">
      <c r="A1" s="41" t="s">
        <v>42</v>
      </c>
      <c r="B1" s="42"/>
      <c r="C1" s="41" t="str">
        <f>Inputs!B11</f>
        <v>123 Main St</v>
      </c>
      <c r="D1" s="42"/>
      <c r="E1" s="42"/>
      <c r="F1" s="42"/>
      <c r="G1" s="42"/>
      <c r="H1" s="42"/>
      <c r="I1" s="42"/>
      <c r="J1" s="42"/>
      <c r="K1" s="42"/>
    </row>
    <row r="2" spans="1:11" x14ac:dyDescent="0.3">
      <c r="A2" s="42"/>
      <c r="B2" s="42"/>
      <c r="C2" s="42"/>
      <c r="D2" s="42"/>
      <c r="E2" s="42"/>
      <c r="F2" s="42"/>
      <c r="G2" s="42"/>
      <c r="H2" s="42"/>
      <c r="I2" s="42"/>
      <c r="J2" s="42"/>
      <c r="K2" s="42"/>
    </row>
    <row r="3" spans="1:11" ht="15.6" x14ac:dyDescent="0.3">
      <c r="A3" s="44" t="s">
        <v>43</v>
      </c>
      <c r="B3" s="42"/>
      <c r="C3" s="45">
        <f>Inputs!B12</f>
        <v>1</v>
      </c>
      <c r="D3" s="42"/>
      <c r="E3" s="42"/>
      <c r="F3" s="42"/>
      <c r="G3" s="42"/>
      <c r="H3" s="42"/>
      <c r="I3" s="42"/>
      <c r="J3" s="42"/>
      <c r="K3" s="42"/>
    </row>
    <row r="4" spans="1:11" x14ac:dyDescent="0.3">
      <c r="A4" s="42"/>
      <c r="B4" s="42"/>
      <c r="C4" s="42"/>
      <c r="D4" s="42"/>
      <c r="E4" s="42"/>
      <c r="F4" s="42"/>
      <c r="G4" s="42"/>
      <c r="H4" s="42"/>
      <c r="I4" s="42"/>
      <c r="J4" s="42"/>
      <c r="K4" s="42"/>
    </row>
    <row r="5" spans="1:11" ht="18" x14ac:dyDescent="0.35">
      <c r="A5" s="41" t="s">
        <v>44</v>
      </c>
      <c r="B5" s="42"/>
      <c r="C5" s="42"/>
      <c r="D5" s="42"/>
      <c r="E5" s="42"/>
      <c r="F5" s="42"/>
      <c r="G5" s="42"/>
      <c r="H5" s="42"/>
      <c r="I5" s="42"/>
      <c r="J5" s="42"/>
      <c r="K5" s="42"/>
    </row>
    <row r="6" spans="1:11" ht="15.6" x14ac:dyDescent="0.3">
      <c r="A6" s="46" t="s">
        <v>3</v>
      </c>
      <c r="B6" s="46"/>
      <c r="C6" s="47">
        <f>Inputs!B16</f>
        <v>165000</v>
      </c>
      <c r="D6" s="42"/>
      <c r="E6" s="42"/>
      <c r="F6" s="42"/>
      <c r="G6" s="42"/>
      <c r="H6" s="42"/>
      <c r="I6" s="42"/>
      <c r="J6" s="42"/>
      <c r="K6" s="42"/>
    </row>
    <row r="7" spans="1:11" ht="16.2" thickBot="1" x14ac:dyDescent="0.35">
      <c r="A7" s="46" t="s">
        <v>45</v>
      </c>
      <c r="B7" s="46"/>
      <c r="C7" s="48">
        <f>Inputs!B20</f>
        <v>132000</v>
      </c>
      <c r="D7" s="42"/>
      <c r="E7" s="42"/>
      <c r="F7" s="42"/>
      <c r="G7" s="42"/>
      <c r="H7" s="42"/>
      <c r="I7" s="42"/>
      <c r="J7" s="42"/>
      <c r="K7" s="42"/>
    </row>
    <row r="8" spans="1:11" ht="15.6" x14ac:dyDescent="0.3">
      <c r="A8" s="46" t="s">
        <v>46</v>
      </c>
      <c r="B8" s="46"/>
      <c r="C8" s="47">
        <f>Inputs!B19</f>
        <v>33000</v>
      </c>
      <c r="D8" s="42"/>
      <c r="E8" s="42"/>
      <c r="F8" s="42"/>
      <c r="G8" s="42"/>
      <c r="H8" s="42"/>
      <c r="I8" s="42"/>
      <c r="J8" s="42"/>
      <c r="K8" s="42"/>
    </row>
    <row r="9" spans="1:11" ht="15.6" x14ac:dyDescent="0.3">
      <c r="A9" s="46" t="s">
        <v>79</v>
      </c>
      <c r="B9" s="46"/>
      <c r="C9" s="47">
        <f>Inputs!B17+Inputs!B18</f>
        <v>3782</v>
      </c>
      <c r="D9" s="42"/>
      <c r="E9" s="42"/>
      <c r="F9" s="42"/>
      <c r="G9" s="42"/>
      <c r="H9" s="42"/>
      <c r="I9" s="42"/>
      <c r="J9" s="42"/>
      <c r="K9" s="42"/>
    </row>
    <row r="10" spans="1:11" ht="16.2" thickBot="1" x14ac:dyDescent="0.35">
      <c r="A10" s="46" t="s">
        <v>47</v>
      </c>
      <c r="B10" s="46"/>
      <c r="C10" s="48">
        <f>Inputs!B22</f>
        <v>5000</v>
      </c>
      <c r="D10" s="42"/>
      <c r="E10" s="42"/>
      <c r="F10" s="42"/>
      <c r="G10" s="42"/>
      <c r="H10" s="42"/>
      <c r="I10" s="42"/>
      <c r="J10" s="42"/>
      <c r="K10" s="42"/>
    </row>
    <row r="11" spans="1:11" ht="18.600000000000001" thickBot="1" x14ac:dyDescent="0.4">
      <c r="A11" s="41" t="s">
        <v>48</v>
      </c>
      <c r="B11" s="41"/>
      <c r="C11" s="49">
        <f>Inputs!B23</f>
        <v>41782</v>
      </c>
      <c r="D11" s="42"/>
      <c r="E11" s="42"/>
      <c r="F11" s="42"/>
      <c r="G11" s="42"/>
      <c r="H11" s="42"/>
      <c r="I11" s="42"/>
      <c r="J11" s="42"/>
      <c r="K11" s="42"/>
    </row>
    <row r="12" spans="1:11" ht="15" thickTop="1" x14ac:dyDescent="0.3">
      <c r="A12" s="42"/>
      <c r="B12" s="42"/>
      <c r="C12" s="42"/>
      <c r="D12" s="42"/>
      <c r="E12" s="42"/>
      <c r="F12" s="42"/>
      <c r="G12" s="42"/>
      <c r="H12" s="42"/>
      <c r="I12" s="42"/>
      <c r="J12" s="42"/>
      <c r="K12" s="42"/>
    </row>
    <row r="13" spans="1:11" x14ac:dyDescent="0.3">
      <c r="A13" s="42"/>
      <c r="B13" s="42"/>
      <c r="C13" s="42"/>
      <c r="D13" s="42"/>
      <c r="E13" s="42"/>
      <c r="F13" s="42"/>
      <c r="G13" s="42"/>
      <c r="H13" s="42"/>
      <c r="I13" s="42"/>
      <c r="J13" s="42"/>
      <c r="K13" s="42"/>
    </row>
    <row r="14" spans="1:11" ht="18" x14ac:dyDescent="0.35">
      <c r="A14" s="41" t="s">
        <v>49</v>
      </c>
      <c r="B14" s="42"/>
      <c r="C14" s="42"/>
      <c r="D14" s="42"/>
      <c r="E14" s="42"/>
      <c r="F14" s="42"/>
      <c r="G14" s="42"/>
      <c r="H14" s="42"/>
      <c r="I14" s="42"/>
      <c r="J14" s="42"/>
      <c r="K14" s="42"/>
    </row>
    <row r="15" spans="1:11" x14ac:dyDescent="0.3">
      <c r="A15" s="42"/>
      <c r="B15" s="42"/>
      <c r="C15" s="42"/>
      <c r="D15" s="42"/>
      <c r="E15" s="42"/>
      <c r="F15" s="42"/>
      <c r="G15" s="42"/>
      <c r="H15" s="42"/>
      <c r="I15" s="42"/>
      <c r="J15" s="42"/>
      <c r="K15" s="42"/>
    </row>
    <row r="16" spans="1:11" ht="15.6" x14ac:dyDescent="0.3">
      <c r="A16" s="50" t="s">
        <v>52</v>
      </c>
      <c r="B16" s="46"/>
      <c r="C16" s="46"/>
      <c r="D16" s="46"/>
      <c r="E16" s="46"/>
      <c r="F16" s="46"/>
      <c r="G16" s="46"/>
      <c r="H16" s="46"/>
      <c r="I16" s="46"/>
      <c r="J16" s="42"/>
      <c r="K16" s="42"/>
    </row>
    <row r="17" spans="1:11" ht="15.6" x14ac:dyDescent="0.3">
      <c r="A17" s="46" t="s">
        <v>51</v>
      </c>
      <c r="B17" s="46"/>
      <c r="C17" s="51">
        <f>Inputs!B34*12</f>
        <v>20712</v>
      </c>
      <c r="D17" s="46"/>
      <c r="E17" s="52">
        <f>Inputs!B34</f>
        <v>1726</v>
      </c>
      <c r="F17" s="53" t="s">
        <v>66</v>
      </c>
      <c r="G17" s="53"/>
      <c r="H17" s="53"/>
      <c r="I17" s="53"/>
      <c r="J17" s="42"/>
      <c r="K17" s="42"/>
    </row>
    <row r="18" spans="1:11" ht="16.2" thickBot="1" x14ac:dyDescent="0.35">
      <c r="A18" s="46" t="s">
        <v>50</v>
      </c>
      <c r="B18" s="54">
        <f>Inputs!B36</f>
        <v>0.03</v>
      </c>
      <c r="C18" s="55">
        <f>-C17*Inputs!B36</f>
        <v>-621.36</v>
      </c>
      <c r="D18" s="46"/>
      <c r="E18" s="46"/>
      <c r="F18" s="46"/>
      <c r="G18" s="46"/>
      <c r="H18" s="46"/>
      <c r="I18" s="46"/>
      <c r="J18" s="42"/>
      <c r="K18" s="42"/>
    </row>
    <row r="19" spans="1:11" ht="15.6" x14ac:dyDescent="0.3">
      <c r="A19" s="44" t="s">
        <v>59</v>
      </c>
      <c r="B19" s="44"/>
      <c r="C19" s="56">
        <f>SUM(C17:C18)</f>
        <v>20090.64</v>
      </c>
      <c r="D19" s="46"/>
      <c r="E19" s="46"/>
      <c r="F19" s="46"/>
      <c r="G19" s="46"/>
      <c r="H19" s="46"/>
      <c r="I19" s="46"/>
      <c r="J19" s="42"/>
      <c r="K19" s="42"/>
    </row>
    <row r="20" spans="1:11" ht="15.6" x14ac:dyDescent="0.3">
      <c r="A20" s="46"/>
      <c r="B20" s="46"/>
      <c r="C20" s="51"/>
      <c r="D20" s="46"/>
      <c r="E20" s="46"/>
      <c r="F20" s="46"/>
      <c r="G20" s="46"/>
      <c r="H20" s="46"/>
      <c r="I20" s="46"/>
      <c r="J20" s="42"/>
      <c r="K20" s="42"/>
    </row>
    <row r="21" spans="1:11" ht="15.6" x14ac:dyDescent="0.3">
      <c r="A21" s="50" t="s">
        <v>53</v>
      </c>
      <c r="B21" s="46"/>
      <c r="C21" s="51"/>
      <c r="D21" s="46"/>
      <c r="E21" s="46" t="s">
        <v>57</v>
      </c>
      <c r="F21" s="46"/>
      <c r="G21" s="46"/>
      <c r="H21" s="46"/>
      <c r="I21" s="46"/>
      <c r="J21" s="42"/>
      <c r="K21" s="42"/>
    </row>
    <row r="22" spans="1:11" ht="15.6" x14ac:dyDescent="0.3">
      <c r="A22" s="46" t="s">
        <v>18</v>
      </c>
      <c r="B22" s="46"/>
      <c r="C22" s="51">
        <f>Inputs!B43</f>
        <v>1116.3399999999999</v>
      </c>
      <c r="D22" s="46"/>
      <c r="E22" s="156">
        <f>Inputs!D43</f>
        <v>0</v>
      </c>
      <c r="F22" s="156"/>
      <c r="G22" s="156"/>
      <c r="H22" s="156"/>
      <c r="I22" s="156"/>
      <c r="J22" s="156"/>
      <c r="K22" s="42"/>
    </row>
    <row r="23" spans="1:11" ht="15.6" x14ac:dyDescent="0.3">
      <c r="A23" s="46" t="s">
        <v>19</v>
      </c>
      <c r="B23" s="46"/>
      <c r="C23" s="51">
        <f>Inputs!B44</f>
        <v>216</v>
      </c>
      <c r="D23" s="46"/>
      <c r="E23" s="153">
        <f>Inputs!D44</f>
        <v>0</v>
      </c>
      <c r="F23" s="153"/>
      <c r="G23" s="153"/>
      <c r="H23" s="153"/>
      <c r="I23" s="153"/>
      <c r="J23" s="153"/>
      <c r="K23" s="42"/>
    </row>
    <row r="24" spans="1:11" ht="15.6" x14ac:dyDescent="0.3">
      <c r="A24" s="46" t="s">
        <v>20</v>
      </c>
      <c r="B24" s="46"/>
      <c r="C24" s="51">
        <f>Inputs!B45</f>
        <v>1449.8400000000001</v>
      </c>
      <c r="D24" s="46"/>
      <c r="E24" s="153" t="str">
        <f>Inputs!D45</f>
        <v>Standard 10% of gross rents for Property Management</v>
      </c>
      <c r="F24" s="153"/>
      <c r="G24" s="153"/>
      <c r="H24" s="153"/>
      <c r="I24" s="153"/>
      <c r="J24" s="153"/>
      <c r="K24" s="42"/>
    </row>
    <row r="25" spans="1:11" ht="15.6" x14ac:dyDescent="0.3">
      <c r="A25" s="46" t="s">
        <v>21</v>
      </c>
      <c r="B25" s="46"/>
      <c r="C25" s="51">
        <f>Inputs!B46</f>
        <v>1035.6000000000001</v>
      </c>
      <c r="D25" s="46"/>
      <c r="E25" s="153" t="str">
        <f>Inputs!D46</f>
        <v>Generally a minimum of 5% for repairs/maintenance</v>
      </c>
      <c r="F25" s="153"/>
      <c r="G25" s="153"/>
      <c r="H25" s="153"/>
      <c r="I25" s="153"/>
      <c r="J25" s="153"/>
      <c r="K25" s="42"/>
    </row>
    <row r="26" spans="1:11" ht="15.6" x14ac:dyDescent="0.3">
      <c r="A26" s="46" t="s">
        <v>26</v>
      </c>
      <c r="B26" s="46"/>
      <c r="C26" s="51">
        <f>Inputs!B47</f>
        <v>0</v>
      </c>
      <c r="D26" s="46"/>
      <c r="E26" s="153">
        <f>Inputs!D47</f>
        <v>0</v>
      </c>
      <c r="F26" s="153"/>
      <c r="G26" s="153"/>
      <c r="H26" s="153"/>
      <c r="I26" s="153"/>
      <c r="J26" s="153"/>
      <c r="K26" s="42"/>
    </row>
    <row r="27" spans="1:11" ht="15.6" x14ac:dyDescent="0.3">
      <c r="A27" s="46" t="s">
        <v>54</v>
      </c>
      <c r="B27" s="46"/>
      <c r="C27" s="51">
        <f>Inputs!B48</f>
        <v>0</v>
      </c>
      <c r="D27" s="46"/>
      <c r="E27" s="153">
        <f>Inputs!D48</f>
        <v>0</v>
      </c>
      <c r="F27" s="153"/>
      <c r="G27" s="153"/>
      <c r="H27" s="153"/>
      <c r="I27" s="153"/>
      <c r="J27" s="153"/>
      <c r="K27" s="42"/>
    </row>
    <row r="28" spans="1:11" ht="15.6" x14ac:dyDescent="0.3">
      <c r="A28" s="46" t="s">
        <v>55</v>
      </c>
      <c r="B28" s="46"/>
      <c r="C28" s="51">
        <f>Inputs!B49</f>
        <v>0</v>
      </c>
      <c r="D28" s="46"/>
      <c r="E28" s="153">
        <f>Inputs!D49</f>
        <v>0</v>
      </c>
      <c r="F28" s="153"/>
      <c r="G28" s="153"/>
      <c r="H28" s="153"/>
      <c r="I28" s="153"/>
      <c r="J28" s="153"/>
      <c r="K28" s="42"/>
    </row>
    <row r="29" spans="1:11" ht="15.6" x14ac:dyDescent="0.3">
      <c r="A29" s="46" t="s">
        <v>56</v>
      </c>
      <c r="B29" s="46"/>
      <c r="C29" s="51">
        <f>Inputs!B50</f>
        <v>0</v>
      </c>
      <c r="D29" s="46"/>
      <c r="E29" s="153">
        <f>Inputs!D50</f>
        <v>0</v>
      </c>
      <c r="F29" s="153"/>
      <c r="G29" s="153"/>
      <c r="H29" s="153"/>
      <c r="I29" s="153"/>
      <c r="J29" s="153"/>
      <c r="K29" s="42"/>
    </row>
    <row r="30" spans="1:11" ht="15.6" x14ac:dyDescent="0.3">
      <c r="A30" s="46" t="s">
        <v>29</v>
      </c>
      <c r="B30" s="46"/>
      <c r="C30" s="51">
        <f>Inputs!B51</f>
        <v>0</v>
      </c>
      <c r="D30" s="46"/>
      <c r="E30" s="153">
        <f>Inputs!D51</f>
        <v>0</v>
      </c>
      <c r="F30" s="153"/>
      <c r="G30" s="153"/>
      <c r="H30" s="153"/>
      <c r="I30" s="153"/>
      <c r="J30" s="153"/>
      <c r="K30" s="42"/>
    </row>
    <row r="31" spans="1:11" ht="15.6" x14ac:dyDescent="0.3">
      <c r="A31" s="46" t="str">
        <f>Inputs!A52</f>
        <v>HOA Dues</v>
      </c>
      <c r="B31" s="46"/>
      <c r="C31" s="51">
        <f>Inputs!B52</f>
        <v>2160</v>
      </c>
      <c r="D31" s="46"/>
      <c r="E31" s="153">
        <f>Inputs!D52</f>
        <v>0</v>
      </c>
      <c r="F31" s="153"/>
      <c r="G31" s="153"/>
      <c r="H31" s="153"/>
      <c r="I31" s="153"/>
      <c r="J31" s="153"/>
      <c r="K31" s="42"/>
    </row>
    <row r="32" spans="1:11" ht="15.6" x14ac:dyDescent="0.3">
      <c r="A32" s="46" t="str">
        <f>Inputs!A53</f>
        <v>Other</v>
      </c>
      <c r="B32" s="46"/>
      <c r="C32" s="51">
        <f>Inputs!B53</f>
        <v>0</v>
      </c>
      <c r="D32" s="46"/>
      <c r="E32" s="153">
        <f>Inputs!D53</f>
        <v>0</v>
      </c>
      <c r="F32" s="153"/>
      <c r="G32" s="153"/>
      <c r="H32" s="153"/>
      <c r="I32" s="153"/>
      <c r="J32" s="153"/>
      <c r="K32" s="42"/>
    </row>
    <row r="33" spans="1:11" ht="15.6" x14ac:dyDescent="0.3">
      <c r="A33" s="46" t="str">
        <f>Inputs!A54</f>
        <v>Other</v>
      </c>
      <c r="B33" s="46"/>
      <c r="C33" s="51">
        <f>Inputs!B54</f>
        <v>0</v>
      </c>
      <c r="D33" s="46"/>
      <c r="E33" s="153">
        <f>Inputs!D54</f>
        <v>0</v>
      </c>
      <c r="F33" s="153"/>
      <c r="G33" s="153"/>
      <c r="H33" s="153"/>
      <c r="I33" s="153"/>
      <c r="J33" s="153"/>
      <c r="K33" s="42"/>
    </row>
    <row r="34" spans="1:11" ht="15.6" x14ac:dyDescent="0.3">
      <c r="A34" s="46" t="str">
        <f>Inputs!A55</f>
        <v>Other</v>
      </c>
      <c r="B34" s="46"/>
      <c r="C34" s="51">
        <f>Inputs!B55</f>
        <v>0</v>
      </c>
      <c r="D34" s="46"/>
      <c r="E34" s="153">
        <f>Inputs!D55</f>
        <v>0</v>
      </c>
      <c r="F34" s="153"/>
      <c r="G34" s="153"/>
      <c r="H34" s="153"/>
      <c r="I34" s="153"/>
      <c r="J34" s="153"/>
      <c r="K34" s="42"/>
    </row>
    <row r="35" spans="1:11" ht="15.6" x14ac:dyDescent="0.3">
      <c r="A35" s="46" t="str">
        <f>Inputs!A56</f>
        <v>Other</v>
      </c>
      <c r="B35" s="46"/>
      <c r="C35" s="51">
        <f>Inputs!B56</f>
        <v>0</v>
      </c>
      <c r="D35" s="46"/>
      <c r="E35" s="153">
        <f>Inputs!D56</f>
        <v>0</v>
      </c>
      <c r="F35" s="153"/>
      <c r="G35" s="153"/>
      <c r="H35" s="153"/>
      <c r="I35" s="153"/>
      <c r="J35" s="153"/>
      <c r="K35" s="42"/>
    </row>
    <row r="36" spans="1:11" ht="16.2" thickBot="1" x14ac:dyDescent="0.35">
      <c r="A36" s="46" t="str">
        <f>Inputs!A57</f>
        <v>Other</v>
      </c>
      <c r="B36" s="46"/>
      <c r="C36" s="55">
        <f>Inputs!B57</f>
        <v>0</v>
      </c>
      <c r="D36" s="46"/>
      <c r="E36" s="153">
        <f>Inputs!D57</f>
        <v>0</v>
      </c>
      <c r="F36" s="153"/>
      <c r="G36" s="153"/>
      <c r="H36" s="153"/>
      <c r="I36" s="153"/>
      <c r="J36" s="153"/>
      <c r="K36" s="42"/>
    </row>
    <row r="37" spans="1:11" ht="15.6" x14ac:dyDescent="0.3">
      <c r="A37" s="44" t="s">
        <v>58</v>
      </c>
      <c r="B37" s="46"/>
      <c r="C37" s="56">
        <f>SUM(C22:C36)</f>
        <v>5977.7800000000007</v>
      </c>
      <c r="D37" s="46"/>
      <c r="E37" s="46"/>
      <c r="F37" s="46"/>
      <c r="G37" s="46"/>
      <c r="H37" s="46"/>
      <c r="I37" s="46"/>
      <c r="J37" s="42"/>
      <c r="K37" s="42"/>
    </row>
    <row r="38" spans="1:11" ht="15.6" x14ac:dyDescent="0.3">
      <c r="A38" s="46"/>
      <c r="B38" s="46"/>
      <c r="C38" s="51"/>
      <c r="D38" s="46"/>
      <c r="E38" s="46"/>
      <c r="F38" s="46"/>
      <c r="G38" s="46"/>
      <c r="H38" s="46"/>
      <c r="I38" s="46"/>
      <c r="J38" s="42"/>
      <c r="K38" s="42"/>
    </row>
    <row r="39" spans="1:11" ht="15.6" x14ac:dyDescent="0.3">
      <c r="A39" s="44" t="s">
        <v>60</v>
      </c>
      <c r="B39" s="46"/>
      <c r="C39" s="56">
        <f>C19-C37</f>
        <v>14112.859999999999</v>
      </c>
      <c r="D39" s="46"/>
      <c r="E39" s="46"/>
      <c r="F39" s="46"/>
      <c r="G39" s="46"/>
      <c r="H39" s="46"/>
      <c r="I39" s="46"/>
      <c r="J39" s="42"/>
      <c r="K39" s="42"/>
    </row>
    <row r="40" spans="1:11" x14ac:dyDescent="0.3">
      <c r="A40" s="42"/>
      <c r="B40" s="42"/>
      <c r="C40" s="42"/>
      <c r="D40" s="42"/>
      <c r="E40" s="42"/>
      <c r="F40" s="42"/>
      <c r="G40" s="42"/>
      <c r="H40" s="42"/>
      <c r="I40" s="42"/>
      <c r="J40" s="42"/>
      <c r="K40" s="42"/>
    </row>
    <row r="41" spans="1:11" ht="15.6" x14ac:dyDescent="0.3">
      <c r="A41" s="46" t="s">
        <v>61</v>
      </c>
      <c r="B41" s="42"/>
      <c r="C41" s="47">
        <f>PMT(Inputs!B25/12,Inputs!B26*12,Inputs!B20,0)*12</f>
        <v>-7908.678482525278</v>
      </c>
      <c r="D41" s="42"/>
      <c r="E41" s="57">
        <f>Inputs!B20</f>
        <v>132000</v>
      </c>
      <c r="F41" s="58" t="s">
        <v>62</v>
      </c>
      <c r="G41" s="59">
        <f>Inputs!B25</f>
        <v>4.3749999999999997E-2</v>
      </c>
      <c r="H41" s="58" t="s">
        <v>63</v>
      </c>
      <c r="I41" s="60">
        <f>-C41/12</f>
        <v>659.05654021043983</v>
      </c>
      <c r="J41" s="61" t="s">
        <v>64</v>
      </c>
      <c r="K41" s="61"/>
    </row>
    <row r="42" spans="1:11" ht="15" thickBot="1" x14ac:dyDescent="0.35">
      <c r="A42" s="42"/>
      <c r="B42" s="42"/>
      <c r="C42" s="42"/>
      <c r="D42" s="42"/>
      <c r="E42" s="42"/>
      <c r="F42" s="42"/>
      <c r="G42" s="42"/>
      <c r="H42" s="42"/>
      <c r="I42" s="42"/>
      <c r="J42" s="42"/>
      <c r="K42" s="42"/>
    </row>
    <row r="43" spans="1:11" ht="18.600000000000001" thickBot="1" x14ac:dyDescent="0.4">
      <c r="A43" s="41" t="s">
        <v>69</v>
      </c>
      <c r="B43" s="62"/>
      <c r="C43" s="63">
        <f>C39+C41</f>
        <v>6204.1815174747207</v>
      </c>
      <c r="D43" s="42"/>
      <c r="E43" s="42"/>
      <c r="F43" s="42"/>
      <c r="G43" s="42"/>
      <c r="H43" s="42"/>
      <c r="I43" s="42"/>
      <c r="J43" s="42"/>
      <c r="K43" s="42"/>
    </row>
    <row r="44" spans="1:11" ht="15" thickTop="1" x14ac:dyDescent="0.3">
      <c r="A44" s="42"/>
      <c r="B44" s="42"/>
      <c r="C44" s="42"/>
      <c r="D44" s="42"/>
      <c r="E44" s="42"/>
      <c r="F44" s="42"/>
      <c r="G44" s="42"/>
      <c r="H44" s="42"/>
      <c r="I44" s="42"/>
      <c r="J44" s="42"/>
      <c r="K44" s="42"/>
    </row>
    <row r="45" spans="1:11" ht="18.600000000000001" thickBot="1" x14ac:dyDescent="0.4">
      <c r="A45" s="64" t="s">
        <v>65</v>
      </c>
      <c r="B45" s="65"/>
      <c r="C45" s="66">
        <f>C43/C11</f>
        <v>0.14848933793199753</v>
      </c>
      <c r="D45" s="42"/>
      <c r="E45" s="57">
        <f>C43</f>
        <v>6204.1815174747207</v>
      </c>
      <c r="F45" s="67" t="s">
        <v>68</v>
      </c>
      <c r="G45" s="57">
        <f>C11</f>
        <v>41782</v>
      </c>
      <c r="H45" s="61" t="s">
        <v>63</v>
      </c>
      <c r="I45" s="68">
        <f>C45</f>
        <v>0.14848933793199753</v>
      </c>
      <c r="J45" s="42"/>
      <c r="K45" s="42"/>
    </row>
    <row r="46" spans="1:11" ht="15" thickTop="1" x14ac:dyDescent="0.3">
      <c r="A46" s="42"/>
      <c r="B46" s="42"/>
      <c r="C46" s="42"/>
      <c r="D46" s="42"/>
      <c r="E46" s="42"/>
      <c r="F46" s="42"/>
      <c r="G46" s="42"/>
      <c r="H46" s="42"/>
      <c r="I46" s="42"/>
      <c r="J46" s="42"/>
      <c r="K46" s="42"/>
    </row>
    <row r="47" spans="1:11" ht="18.600000000000001" thickBot="1" x14ac:dyDescent="0.4">
      <c r="A47" s="41" t="s">
        <v>67</v>
      </c>
      <c r="B47" s="42"/>
      <c r="C47" s="69">
        <f>C39/(C6+C10)</f>
        <v>8.3016823529411754E-2</v>
      </c>
      <c r="D47" s="42"/>
      <c r="E47" s="57">
        <f>C39</f>
        <v>14112.859999999999</v>
      </c>
      <c r="F47" s="67" t="s">
        <v>68</v>
      </c>
      <c r="G47" s="57">
        <f>C6+C10</f>
        <v>170000</v>
      </c>
      <c r="H47" s="58" t="s">
        <v>63</v>
      </c>
      <c r="I47" s="70">
        <f>C47</f>
        <v>8.3016823529411754E-2</v>
      </c>
      <c r="J47" s="42"/>
      <c r="K47" s="42"/>
    </row>
    <row r="48" spans="1:11" ht="18.600000000000001" thickTop="1" x14ac:dyDescent="0.35">
      <c r="A48" s="41"/>
      <c r="B48" s="42"/>
      <c r="C48" s="134"/>
      <c r="D48" s="42"/>
      <c r="E48" s="135"/>
      <c r="F48" s="136"/>
      <c r="G48" s="135"/>
      <c r="H48" s="137"/>
      <c r="I48" s="138"/>
      <c r="J48" s="42"/>
      <c r="K48" s="42"/>
    </row>
    <row r="49" spans="1:11" ht="18.600000000000001" thickBot="1" x14ac:dyDescent="0.4">
      <c r="A49" s="41" t="s">
        <v>121</v>
      </c>
      <c r="B49" s="42"/>
      <c r="C49" s="140">
        <f>I49</f>
        <v>98.493626882966396</v>
      </c>
      <c r="D49" s="42"/>
      <c r="E49" s="57">
        <f>C6+C10</f>
        <v>170000</v>
      </c>
      <c r="F49" s="67" t="s">
        <v>68</v>
      </c>
      <c r="G49" s="57">
        <f>E17</f>
        <v>1726</v>
      </c>
      <c r="H49" s="58" t="s">
        <v>63</v>
      </c>
      <c r="I49" s="139">
        <f>E49/G49</f>
        <v>98.493626882966396</v>
      </c>
      <c r="J49" s="42"/>
      <c r="K49" s="42"/>
    </row>
    <row r="50" spans="1:11" ht="15" thickTop="1" x14ac:dyDescent="0.3">
      <c r="A50" s="42"/>
      <c r="B50" s="42"/>
      <c r="C50" s="42"/>
      <c r="D50" s="42"/>
      <c r="E50" s="42"/>
      <c r="F50" s="42"/>
      <c r="G50" s="42"/>
      <c r="H50" s="42"/>
      <c r="I50" s="42"/>
      <c r="J50" s="42"/>
      <c r="K50" s="42"/>
    </row>
    <row r="51" spans="1:11" ht="18.600000000000001" thickBot="1" x14ac:dyDescent="0.4">
      <c r="A51" s="41" t="s">
        <v>120</v>
      </c>
      <c r="B51" s="42"/>
      <c r="C51" s="69">
        <f>'15 Year Analysis'!M56</f>
        <v>0.22894784785464584</v>
      </c>
      <c r="D51" s="42"/>
      <c r="E51" s="154" t="s">
        <v>118</v>
      </c>
      <c r="F51" s="154"/>
      <c r="G51" s="154"/>
      <c r="H51" s="154"/>
      <c r="I51" s="154"/>
      <c r="J51" s="154"/>
      <c r="K51" s="154"/>
    </row>
    <row r="52" spans="1:11" ht="10.8" customHeight="1" thickTop="1" x14ac:dyDescent="0.35">
      <c r="A52" s="41"/>
      <c r="B52" s="42"/>
      <c r="C52" s="134"/>
      <c r="D52" s="42"/>
      <c r="E52" s="142"/>
      <c r="F52" s="142"/>
      <c r="G52" s="142"/>
      <c r="H52" s="142"/>
      <c r="I52" s="142"/>
      <c r="J52" s="142"/>
      <c r="K52" s="142"/>
    </row>
    <row r="53" spans="1:11" x14ac:dyDescent="0.3">
      <c r="A53" s="155" t="str">
        <f>Inputs!A68</f>
        <v xml:space="preserve">This sheet is for informational purposes only.  This is not a commitment, approval or guarantee to lend.  The figures included in this worksheet are entirely dependent on the information that you input.  These figures and calculations are considered accurate, but not guaranteed.  Joe Massey and Castle &amp; Cooke Mortgage do not represent, warrant or guarantee these numbers.  Matt Pillmore and VIP Financial Education do not represent, warrant or guarantee these numbers.  All information is for preliminary analysis and calculations only.  Please contact your tax advisor, CPA, financial planner, attorney, insurance agent, real estate agent or other properly licensed professional for additional information as needed.  </v>
      </c>
      <c r="B53" s="155"/>
      <c r="C53" s="155"/>
      <c r="D53" s="155"/>
      <c r="E53" s="155"/>
      <c r="F53" s="155"/>
      <c r="G53" s="155"/>
      <c r="H53" s="155"/>
      <c r="I53" s="155"/>
      <c r="J53" s="155"/>
      <c r="K53" s="155"/>
    </row>
    <row r="54" spans="1:11" x14ac:dyDescent="0.3">
      <c r="A54" s="155"/>
      <c r="B54" s="155"/>
      <c r="C54" s="155"/>
      <c r="D54" s="155"/>
      <c r="E54" s="155"/>
      <c r="F54" s="155"/>
      <c r="G54" s="155"/>
      <c r="H54" s="155"/>
      <c r="I54" s="155"/>
      <c r="J54" s="155"/>
      <c r="K54" s="155"/>
    </row>
    <row r="55" spans="1:11" x14ac:dyDescent="0.3">
      <c r="A55" s="155"/>
      <c r="B55" s="155"/>
      <c r="C55" s="155"/>
      <c r="D55" s="155"/>
      <c r="E55" s="155"/>
      <c r="F55" s="155"/>
      <c r="G55" s="155"/>
      <c r="H55" s="155"/>
      <c r="I55" s="155"/>
      <c r="J55" s="155"/>
      <c r="K55" s="155"/>
    </row>
    <row r="56" spans="1:11" x14ac:dyDescent="0.3">
      <c r="A56" s="155"/>
      <c r="B56" s="155"/>
      <c r="C56" s="155"/>
      <c r="D56" s="155"/>
      <c r="E56" s="155"/>
      <c r="F56" s="155"/>
      <c r="G56" s="155"/>
      <c r="H56" s="155"/>
      <c r="I56" s="155"/>
      <c r="J56" s="155"/>
      <c r="K56" s="155"/>
    </row>
  </sheetData>
  <sheetProtection algorithmName="SHA-512" hashValue="3XEtU0AcnedHL4vP1MieLsoHxBI4KWBQXC90Yhs4Cc7e1Ph0aYXoKq3E3I8Pq6jt9HRCChc/TdCC8MRboo8XkA==" saltValue="LOlElxOJwPYZBeHSKaXkxQ==" spinCount="100000" sheet="1" objects="1" scenarios="1" selectLockedCells="1" selectUnlockedCells="1"/>
  <mergeCells count="17">
    <mergeCell ref="E32:J32"/>
    <mergeCell ref="E33:J33"/>
    <mergeCell ref="E27:J27"/>
    <mergeCell ref="E28:J28"/>
    <mergeCell ref="E29:J29"/>
    <mergeCell ref="E30:J30"/>
    <mergeCell ref="E31:J31"/>
    <mergeCell ref="E22:J22"/>
    <mergeCell ref="E23:J23"/>
    <mergeCell ref="E24:J24"/>
    <mergeCell ref="E25:J25"/>
    <mergeCell ref="E26:J26"/>
    <mergeCell ref="E34:J34"/>
    <mergeCell ref="E51:K51"/>
    <mergeCell ref="A53:K56"/>
    <mergeCell ref="E35:J35"/>
    <mergeCell ref="E36:J36"/>
  </mergeCells>
  <pageMargins left="0.7" right="0.7" top="0.75" bottom="0.75" header="0.3" footer="0.3"/>
  <pageSetup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G65"/>
  <sheetViews>
    <sheetView zoomScaleNormal="100" workbookViewId="0"/>
  </sheetViews>
  <sheetFormatPr defaultColWidth="9.109375" defaultRowHeight="14.4" x14ac:dyDescent="0.3"/>
  <cols>
    <col min="1" max="1" width="18" style="86" customWidth="1"/>
    <col min="2" max="2" width="19.88671875" style="86" customWidth="1"/>
    <col min="3" max="3" width="16.109375" style="86" customWidth="1"/>
    <col min="4" max="4" width="6" style="86" customWidth="1"/>
    <col min="5" max="5" width="12.88671875" style="86" customWidth="1"/>
    <col min="6" max="6" width="6" style="86" customWidth="1"/>
    <col min="7" max="7" width="13.44140625" style="86" customWidth="1"/>
    <col min="8" max="8" width="6" style="86" customWidth="1"/>
    <col min="9" max="9" width="13.6640625" style="86" customWidth="1"/>
    <col min="10" max="10" width="6" style="86" customWidth="1"/>
    <col min="11" max="11" width="15.6640625" style="86" customWidth="1"/>
    <col min="12" max="12" width="6" style="121" customWidth="1"/>
    <col min="13" max="13" width="15.6640625" style="86" customWidth="1"/>
    <col min="14" max="14" width="6" style="121" customWidth="1"/>
    <col min="15" max="15" width="15.6640625" style="86" customWidth="1"/>
    <col min="16" max="16" width="6" style="86" customWidth="1"/>
    <col min="17" max="17" width="15.6640625" style="86" customWidth="1"/>
    <col min="18" max="18" width="6" style="86" customWidth="1"/>
    <col min="19" max="19" width="15.6640625" style="86" customWidth="1"/>
    <col min="20" max="20" width="6" style="86" customWidth="1"/>
    <col min="21" max="21" width="15.6640625" style="86" customWidth="1"/>
    <col min="22" max="22" width="6" style="86" customWidth="1"/>
    <col min="23" max="23" width="15.6640625" style="86" customWidth="1"/>
    <col min="24" max="24" width="6" style="86" customWidth="1"/>
    <col min="25" max="25" width="15.6640625" style="86" customWidth="1"/>
    <col min="26" max="26" width="6" style="86" customWidth="1"/>
    <col min="27" max="27" width="15.6640625" style="86" customWidth="1"/>
    <col min="28" max="28" width="6" style="86" customWidth="1"/>
    <col min="29" max="29" width="15.6640625" style="86" customWidth="1"/>
    <col min="30" max="30" width="6" style="86" customWidth="1"/>
    <col min="31" max="31" width="15.6640625" style="86" customWidth="1"/>
    <col min="32" max="32" width="6" style="86" customWidth="1"/>
    <col min="33" max="33" width="15.6640625" style="86" customWidth="1"/>
    <col min="34" max="16384" width="9.109375" style="86"/>
  </cols>
  <sheetData>
    <row r="1" spans="1:33" ht="18" x14ac:dyDescent="0.35">
      <c r="A1" s="41" t="s">
        <v>42</v>
      </c>
      <c r="B1" s="42"/>
      <c r="C1" s="41" t="str">
        <f>Inputs!B11</f>
        <v>123 Main St</v>
      </c>
      <c r="D1" s="42"/>
      <c r="E1" s="41" t="s">
        <v>44</v>
      </c>
      <c r="F1" s="42"/>
      <c r="G1" s="42"/>
      <c r="H1" s="42"/>
      <c r="I1" s="42"/>
      <c r="J1" s="42"/>
      <c r="K1" s="42"/>
      <c r="L1" s="110"/>
      <c r="M1" s="42"/>
      <c r="N1" s="110"/>
      <c r="O1" s="42"/>
      <c r="P1" s="42"/>
      <c r="Q1" s="42"/>
      <c r="R1" s="42"/>
      <c r="S1" s="42"/>
      <c r="T1" s="42"/>
      <c r="U1" s="42"/>
      <c r="V1" s="42"/>
      <c r="W1" s="42"/>
      <c r="X1" s="42"/>
      <c r="Y1" s="42"/>
      <c r="Z1" s="42"/>
      <c r="AA1" s="42"/>
      <c r="AB1" s="42"/>
      <c r="AC1" s="42"/>
      <c r="AD1" s="42"/>
      <c r="AE1" s="42"/>
      <c r="AF1" s="42"/>
      <c r="AG1" s="42"/>
    </row>
    <row r="2" spans="1:33" ht="15.6" x14ac:dyDescent="0.3">
      <c r="A2" s="42"/>
      <c r="B2" s="42"/>
      <c r="C2" s="42"/>
      <c r="D2" s="42"/>
      <c r="E2" s="46" t="s">
        <v>3</v>
      </c>
      <c r="F2" s="42"/>
      <c r="G2" s="46"/>
      <c r="H2" s="42"/>
      <c r="I2" s="47">
        <f>Inputs!B16</f>
        <v>165000</v>
      </c>
      <c r="J2" s="42"/>
      <c r="K2" s="42"/>
      <c r="L2" s="110"/>
      <c r="M2" s="42"/>
      <c r="N2" s="110"/>
      <c r="O2" s="42"/>
      <c r="P2" s="42"/>
      <c r="Q2" s="42"/>
      <c r="R2" s="42"/>
      <c r="S2" s="42"/>
      <c r="T2" s="42"/>
      <c r="U2" s="42"/>
      <c r="V2" s="42"/>
      <c r="W2" s="42"/>
      <c r="X2" s="42"/>
      <c r="Y2" s="42"/>
      <c r="Z2" s="42"/>
      <c r="AA2" s="42"/>
      <c r="AB2" s="42"/>
      <c r="AC2" s="42"/>
      <c r="AD2" s="42"/>
      <c r="AE2" s="42"/>
      <c r="AF2" s="42"/>
      <c r="AG2" s="42"/>
    </row>
    <row r="3" spans="1:33" ht="16.2" thickBot="1" x14ac:dyDescent="0.35">
      <c r="A3" s="44" t="s">
        <v>43</v>
      </c>
      <c r="B3" s="42"/>
      <c r="C3" s="45">
        <f>Inputs!B12</f>
        <v>1</v>
      </c>
      <c r="D3" s="42"/>
      <c r="E3" s="46" t="s">
        <v>45</v>
      </c>
      <c r="F3" s="42"/>
      <c r="G3" s="46"/>
      <c r="H3" s="42"/>
      <c r="I3" s="48">
        <f>Inputs!B20</f>
        <v>132000</v>
      </c>
      <c r="J3" s="42"/>
      <c r="K3" s="42"/>
      <c r="L3" s="110"/>
      <c r="M3" s="42"/>
      <c r="N3" s="110"/>
      <c r="O3" s="42"/>
      <c r="P3" s="42"/>
      <c r="Q3" s="42"/>
      <c r="R3" s="42"/>
      <c r="S3" s="42"/>
      <c r="T3" s="42"/>
      <c r="U3" s="42"/>
      <c r="V3" s="42"/>
      <c r="W3" s="42"/>
      <c r="X3" s="42"/>
      <c r="Y3" s="42"/>
      <c r="Z3" s="42"/>
      <c r="AA3" s="42"/>
      <c r="AB3" s="42"/>
      <c r="AC3" s="42"/>
      <c r="AD3" s="42"/>
      <c r="AE3" s="42"/>
      <c r="AF3" s="42"/>
      <c r="AG3" s="42"/>
    </row>
    <row r="4" spans="1:33" ht="15.6" x14ac:dyDescent="0.3">
      <c r="A4" s="42"/>
      <c r="B4" s="42"/>
      <c r="C4" s="42"/>
      <c r="D4" s="42"/>
      <c r="E4" s="46" t="s">
        <v>46</v>
      </c>
      <c r="F4" s="42"/>
      <c r="G4" s="46"/>
      <c r="H4" s="42"/>
      <c r="I4" s="47">
        <f>Inputs!B19</f>
        <v>33000</v>
      </c>
      <c r="J4" s="42"/>
      <c r="K4" s="42"/>
      <c r="L4" s="110"/>
      <c r="M4" s="42"/>
      <c r="N4" s="110"/>
      <c r="O4" s="42"/>
      <c r="P4" s="42"/>
      <c r="Q4" s="42"/>
      <c r="R4" s="42"/>
      <c r="S4" s="42"/>
      <c r="T4" s="42"/>
      <c r="U4" s="42"/>
      <c r="V4" s="42"/>
      <c r="W4" s="42"/>
      <c r="X4" s="42"/>
      <c r="Y4" s="42"/>
      <c r="Z4" s="42"/>
      <c r="AA4" s="42"/>
      <c r="AB4" s="42"/>
      <c r="AC4" s="42"/>
      <c r="AD4" s="42"/>
      <c r="AE4" s="42"/>
      <c r="AF4" s="42"/>
      <c r="AG4" s="42"/>
    </row>
    <row r="5" spans="1:33" ht="15.6" x14ac:dyDescent="0.3">
      <c r="A5" s="42"/>
      <c r="B5" s="42"/>
      <c r="C5" s="42"/>
      <c r="D5" s="42"/>
      <c r="E5" s="46" t="s">
        <v>79</v>
      </c>
      <c r="F5" s="42"/>
      <c r="G5" s="46"/>
      <c r="H5" s="42"/>
      <c r="I5" s="47">
        <f>Inputs!B17+Inputs!B18</f>
        <v>3782</v>
      </c>
      <c r="J5" s="42"/>
      <c r="K5" s="42"/>
      <c r="L5" s="110"/>
      <c r="M5" s="42"/>
      <c r="N5" s="110"/>
      <c r="O5" s="42"/>
      <c r="P5" s="42"/>
      <c r="Q5" s="42"/>
      <c r="R5" s="42"/>
      <c r="S5" s="42"/>
      <c r="T5" s="42"/>
      <c r="U5" s="42"/>
      <c r="V5" s="42"/>
      <c r="W5" s="42"/>
      <c r="X5" s="42"/>
      <c r="Y5" s="42"/>
      <c r="Z5" s="42"/>
      <c r="AA5" s="42"/>
      <c r="AB5" s="42"/>
      <c r="AC5" s="42"/>
      <c r="AD5" s="42"/>
      <c r="AE5" s="42"/>
      <c r="AF5" s="42"/>
      <c r="AG5" s="42"/>
    </row>
    <row r="6" spans="1:33" ht="16.2" thickBot="1" x14ac:dyDescent="0.35">
      <c r="A6" s="42"/>
      <c r="B6" s="42"/>
      <c r="C6" s="42"/>
      <c r="D6" s="42"/>
      <c r="E6" s="46" t="s">
        <v>47</v>
      </c>
      <c r="F6" s="42"/>
      <c r="G6" s="46"/>
      <c r="H6" s="42"/>
      <c r="I6" s="48">
        <f>Inputs!B22</f>
        <v>5000</v>
      </c>
      <c r="J6" s="42"/>
      <c r="K6" s="42"/>
      <c r="L6" s="110"/>
      <c r="M6" s="42"/>
      <c r="N6" s="110"/>
      <c r="O6" s="42"/>
      <c r="P6" s="42"/>
      <c r="Q6" s="42"/>
      <c r="R6" s="42"/>
      <c r="S6" s="42"/>
      <c r="T6" s="42"/>
      <c r="U6" s="42"/>
      <c r="V6" s="42"/>
      <c r="W6" s="42"/>
      <c r="X6" s="42"/>
      <c r="Y6" s="42"/>
      <c r="Z6" s="42"/>
      <c r="AA6" s="42"/>
      <c r="AB6" s="42"/>
      <c r="AC6" s="42"/>
      <c r="AD6" s="42"/>
      <c r="AE6" s="42"/>
      <c r="AF6" s="42"/>
      <c r="AG6" s="42"/>
    </row>
    <row r="7" spans="1:33" ht="18.600000000000001" thickBot="1" x14ac:dyDescent="0.4">
      <c r="A7" s="42"/>
      <c r="B7" s="42"/>
      <c r="C7" s="42"/>
      <c r="D7" s="42"/>
      <c r="E7" s="41" t="s">
        <v>48</v>
      </c>
      <c r="F7" s="42"/>
      <c r="G7" s="41"/>
      <c r="H7" s="42"/>
      <c r="I7" s="49">
        <f>Inputs!B23</f>
        <v>41782</v>
      </c>
      <c r="J7" s="42"/>
      <c r="K7" s="42"/>
      <c r="L7" s="110"/>
      <c r="M7" s="42"/>
      <c r="N7" s="110"/>
      <c r="O7" s="42"/>
      <c r="P7" s="42"/>
      <c r="Q7" s="42"/>
      <c r="R7" s="42"/>
      <c r="S7" s="42"/>
      <c r="T7" s="42"/>
      <c r="U7" s="42"/>
      <c r="V7" s="42"/>
      <c r="W7" s="42"/>
      <c r="X7" s="42"/>
      <c r="Y7" s="42"/>
      <c r="Z7" s="42"/>
      <c r="AA7" s="42"/>
      <c r="AB7" s="42"/>
      <c r="AC7" s="42"/>
      <c r="AD7" s="42"/>
      <c r="AE7" s="42"/>
      <c r="AF7" s="42"/>
      <c r="AG7" s="42"/>
    </row>
    <row r="8" spans="1:33" ht="18.600000000000001" thickTop="1" x14ac:dyDescent="0.35">
      <c r="A8" s="41" t="s">
        <v>49</v>
      </c>
      <c r="B8" s="42"/>
      <c r="C8" s="42"/>
      <c r="D8" s="42"/>
      <c r="E8" s="42"/>
      <c r="F8" s="42"/>
      <c r="G8" s="42"/>
      <c r="H8" s="42"/>
      <c r="I8" s="42"/>
      <c r="J8" s="42"/>
      <c r="K8" s="42"/>
      <c r="L8" s="110"/>
      <c r="M8" s="42"/>
      <c r="N8" s="110"/>
      <c r="O8" s="42"/>
      <c r="P8" s="42"/>
      <c r="Q8" s="42"/>
      <c r="R8" s="42"/>
      <c r="S8" s="42"/>
      <c r="T8" s="42"/>
      <c r="U8" s="42"/>
      <c r="V8" s="42"/>
      <c r="W8" s="42"/>
      <c r="X8" s="42"/>
      <c r="Y8" s="42"/>
      <c r="Z8" s="42"/>
      <c r="AA8" s="42"/>
      <c r="AB8" s="42"/>
      <c r="AC8" s="42"/>
      <c r="AD8" s="42"/>
      <c r="AE8" s="42"/>
      <c r="AF8" s="42"/>
      <c r="AG8" s="42"/>
    </row>
    <row r="9" spans="1:33" x14ac:dyDescent="0.3">
      <c r="A9" s="42"/>
      <c r="B9" s="42"/>
      <c r="C9" s="42"/>
      <c r="D9" s="42"/>
      <c r="E9" s="42"/>
      <c r="F9" s="42"/>
      <c r="G9" s="42"/>
      <c r="H9" s="42"/>
      <c r="I9" s="42"/>
      <c r="J9" s="42"/>
      <c r="K9" s="42"/>
      <c r="L9" s="110"/>
      <c r="M9" s="42"/>
      <c r="N9" s="110"/>
      <c r="O9" s="42"/>
      <c r="P9" s="42"/>
      <c r="Q9" s="42"/>
      <c r="R9" s="42"/>
      <c r="S9" s="42"/>
      <c r="T9" s="42"/>
      <c r="U9" s="42"/>
      <c r="V9" s="42"/>
      <c r="W9" s="42"/>
      <c r="X9" s="42"/>
      <c r="Y9" s="42"/>
      <c r="Z9" s="42"/>
      <c r="AA9" s="42"/>
      <c r="AB9" s="42"/>
      <c r="AC9" s="42"/>
      <c r="AD9" s="42"/>
      <c r="AE9" s="42"/>
      <c r="AF9" s="42"/>
      <c r="AG9" s="42"/>
    </row>
    <row r="10" spans="1:33" ht="15.6" x14ac:dyDescent="0.3">
      <c r="A10" s="50" t="s">
        <v>52</v>
      </c>
      <c r="B10" s="46"/>
      <c r="C10" s="46" t="s">
        <v>80</v>
      </c>
      <c r="D10" s="46"/>
      <c r="E10" s="42" t="s">
        <v>85</v>
      </c>
      <c r="F10" s="42"/>
      <c r="G10" s="42" t="s">
        <v>86</v>
      </c>
      <c r="H10" s="42"/>
      <c r="I10" s="42" t="s">
        <v>87</v>
      </c>
      <c r="J10" s="42"/>
      <c r="K10" s="42" t="s">
        <v>88</v>
      </c>
      <c r="L10" s="110"/>
      <c r="M10" s="42" t="s">
        <v>99</v>
      </c>
      <c r="N10" s="110"/>
      <c r="O10" s="42" t="s">
        <v>100</v>
      </c>
      <c r="P10" s="42"/>
      <c r="Q10" s="42" t="s">
        <v>101</v>
      </c>
      <c r="R10" s="42"/>
      <c r="S10" s="42" t="s">
        <v>102</v>
      </c>
      <c r="T10" s="42"/>
      <c r="U10" s="42" t="s">
        <v>103</v>
      </c>
      <c r="V10" s="42"/>
      <c r="W10" s="42" t="s">
        <v>104</v>
      </c>
      <c r="X10" s="42"/>
      <c r="Y10" s="42" t="s">
        <v>105</v>
      </c>
      <c r="Z10" s="42"/>
      <c r="AA10" s="42" t="s">
        <v>106</v>
      </c>
      <c r="AB10" s="42"/>
      <c r="AC10" s="42" t="s">
        <v>107</v>
      </c>
      <c r="AD10" s="42"/>
      <c r="AE10" s="42" t="s">
        <v>108</v>
      </c>
      <c r="AF10" s="42"/>
      <c r="AG10" s="42" t="s">
        <v>109</v>
      </c>
    </row>
    <row r="11" spans="1:33" ht="15.6" x14ac:dyDescent="0.3">
      <c r="A11" s="46" t="s">
        <v>51</v>
      </c>
      <c r="B11" s="46"/>
      <c r="C11" s="51">
        <f>Inputs!B34*12</f>
        <v>20712</v>
      </c>
      <c r="D11" s="51"/>
      <c r="E11" s="74">
        <f>C11*(1+Inputs!$B$38)</f>
        <v>21747.600000000002</v>
      </c>
      <c r="F11" s="74"/>
      <c r="G11" s="74">
        <f>E11*(1+Inputs!$B$38)</f>
        <v>22834.980000000003</v>
      </c>
      <c r="H11" s="74"/>
      <c r="I11" s="74">
        <f>G11*(1+Inputs!$B$38)</f>
        <v>23976.729000000003</v>
      </c>
      <c r="J11" s="74"/>
      <c r="K11" s="74">
        <f>I11*(1+Inputs!$B$38)</f>
        <v>25175.565450000006</v>
      </c>
      <c r="L11" s="111"/>
      <c r="M11" s="74">
        <f>K11*(1+Inputs!$B$38)</f>
        <v>26434.343722500005</v>
      </c>
      <c r="N11" s="111"/>
      <c r="O11" s="74">
        <f>M11*(1+Inputs!$B$38)</f>
        <v>27756.060908625008</v>
      </c>
      <c r="P11" s="42"/>
      <c r="Q11" s="74">
        <f>O11*(1+Inputs!$B$38)</f>
        <v>29143.863954056258</v>
      </c>
      <c r="R11" s="42"/>
      <c r="S11" s="74">
        <f>Q11*(1+Inputs!$B$38)</f>
        <v>30601.057151759072</v>
      </c>
      <c r="T11" s="42"/>
      <c r="U11" s="74">
        <f>S11*(1+Inputs!$B$38)</f>
        <v>32131.110009347027</v>
      </c>
      <c r="V11" s="42"/>
      <c r="W11" s="74">
        <f>U11*(1+Inputs!$B$38)</f>
        <v>33737.665509814382</v>
      </c>
      <c r="X11" s="42"/>
      <c r="Y11" s="74">
        <f>W11*(1+Inputs!$B$38)</f>
        <v>35424.548785305102</v>
      </c>
      <c r="Z11" s="42"/>
      <c r="AA11" s="74">
        <f>Y11*(1+Inputs!$B$38)</f>
        <v>37195.776224570356</v>
      </c>
      <c r="AB11" s="42"/>
      <c r="AC11" s="74">
        <f>AA11*(1+Inputs!$B$38)</f>
        <v>39055.565035798878</v>
      </c>
      <c r="AD11" s="42"/>
      <c r="AE11" s="74">
        <f>AC11*(1+Inputs!$B$38)</f>
        <v>41008.343287588825</v>
      </c>
      <c r="AF11" s="42"/>
      <c r="AG11" s="74">
        <f>AE11*(1+Inputs!$B$38)</f>
        <v>43058.760451968265</v>
      </c>
    </row>
    <row r="12" spans="1:33" ht="16.2" thickBot="1" x14ac:dyDescent="0.35">
      <c r="A12" s="46" t="s">
        <v>50</v>
      </c>
      <c r="B12" s="54">
        <f>Inputs!B36</f>
        <v>0.03</v>
      </c>
      <c r="C12" s="55">
        <f>-C11*Inputs!B36</f>
        <v>-621.36</v>
      </c>
      <c r="D12" s="51"/>
      <c r="E12" s="88">
        <f>-E11*Inputs!$B$36</f>
        <v>-652.428</v>
      </c>
      <c r="F12" s="74"/>
      <c r="G12" s="88">
        <f>-G11*Inputs!$B$36</f>
        <v>-685.04940000000011</v>
      </c>
      <c r="H12" s="74"/>
      <c r="I12" s="88">
        <f>-I11*Inputs!$B$36</f>
        <v>-719.30187000000001</v>
      </c>
      <c r="J12" s="74"/>
      <c r="K12" s="88">
        <f>-K11*Inputs!$B$36</f>
        <v>-755.26696350000009</v>
      </c>
      <c r="L12" s="111"/>
      <c r="M12" s="88">
        <f>-M11*Inputs!$B$36</f>
        <v>-793.03031167500012</v>
      </c>
      <c r="N12" s="111"/>
      <c r="O12" s="88">
        <f>-O11*Inputs!$B$36</f>
        <v>-832.68182725875022</v>
      </c>
      <c r="P12" s="42"/>
      <c r="Q12" s="88">
        <f>-Q11*Inputs!$B$36</f>
        <v>-874.31591862168773</v>
      </c>
      <c r="R12" s="42"/>
      <c r="S12" s="88">
        <f>-S11*Inputs!$B$36</f>
        <v>-918.03171455277209</v>
      </c>
      <c r="T12" s="42"/>
      <c r="U12" s="88">
        <f>-U11*Inputs!$B$36</f>
        <v>-963.93330028041078</v>
      </c>
      <c r="V12" s="42"/>
      <c r="W12" s="88">
        <f>-W11*Inputs!$B$36</f>
        <v>-1012.1299652944314</v>
      </c>
      <c r="X12" s="42"/>
      <c r="Y12" s="88">
        <f>-Y11*Inputs!$B$36</f>
        <v>-1062.736463559153</v>
      </c>
      <c r="Z12" s="42"/>
      <c r="AA12" s="88">
        <f>-AA11*Inputs!$B$36</f>
        <v>-1115.8732867371107</v>
      </c>
      <c r="AB12" s="42"/>
      <c r="AC12" s="88">
        <f>-AC11*Inputs!$B$36</f>
        <v>-1171.6669510739664</v>
      </c>
      <c r="AD12" s="42"/>
      <c r="AE12" s="88">
        <f>-AE11*Inputs!$B$36</f>
        <v>-1230.2502986276647</v>
      </c>
      <c r="AF12" s="42"/>
      <c r="AG12" s="88">
        <f>-AG11*Inputs!$B$36</f>
        <v>-1291.7628135590478</v>
      </c>
    </row>
    <row r="13" spans="1:33" ht="15.6" x14ac:dyDescent="0.3">
      <c r="A13" s="44" t="s">
        <v>59</v>
      </c>
      <c r="B13" s="44"/>
      <c r="C13" s="56">
        <f>SUM(C11:C12)</f>
        <v>20090.64</v>
      </c>
      <c r="D13" s="51"/>
      <c r="E13" s="56">
        <f>SUM(E11:E12)</f>
        <v>21095.172000000002</v>
      </c>
      <c r="F13" s="74"/>
      <c r="G13" s="56">
        <f>SUM(G11:G12)</f>
        <v>22149.930600000003</v>
      </c>
      <c r="H13" s="74"/>
      <c r="I13" s="56">
        <f>SUM(I11:I12)</f>
        <v>23257.427130000004</v>
      </c>
      <c r="J13" s="74"/>
      <c r="K13" s="56">
        <f>SUM(K11:K12)</f>
        <v>24420.298486500007</v>
      </c>
      <c r="L13" s="112"/>
      <c r="M13" s="56">
        <f>SUM(M11:M12)</f>
        <v>25641.313410825005</v>
      </c>
      <c r="N13" s="112"/>
      <c r="O13" s="56">
        <f>SUM(O11:O12)</f>
        <v>26923.379081366256</v>
      </c>
      <c r="P13" s="42"/>
      <c r="Q13" s="56">
        <f>SUM(Q11:Q12)</f>
        <v>28269.548035434571</v>
      </c>
      <c r="R13" s="42"/>
      <c r="S13" s="56">
        <f>SUM(S11:S12)</f>
        <v>29683.025437206299</v>
      </c>
      <c r="T13" s="42"/>
      <c r="U13" s="56">
        <f>SUM(U11:U12)</f>
        <v>31167.176709066614</v>
      </c>
      <c r="V13" s="42"/>
      <c r="W13" s="56">
        <f>SUM(W11:W12)</f>
        <v>32725.535544519949</v>
      </c>
      <c r="X13" s="42"/>
      <c r="Y13" s="56">
        <f>SUM(Y11:Y12)</f>
        <v>34361.812321745951</v>
      </c>
      <c r="Z13" s="42"/>
      <c r="AA13" s="56">
        <f>SUM(AA11:AA12)</f>
        <v>36079.902937833249</v>
      </c>
      <c r="AB13" s="42"/>
      <c r="AC13" s="56">
        <f>SUM(AC11:AC12)</f>
        <v>37883.898084724911</v>
      </c>
      <c r="AD13" s="42"/>
      <c r="AE13" s="56">
        <f>SUM(AE11:AE12)</f>
        <v>39778.092988961158</v>
      </c>
      <c r="AF13" s="42"/>
      <c r="AG13" s="56">
        <f>SUM(AG11:AG12)</f>
        <v>41766.997638409215</v>
      </c>
    </row>
    <row r="14" spans="1:33" ht="15.6" x14ac:dyDescent="0.3">
      <c r="A14" s="46"/>
      <c r="B14" s="46"/>
      <c r="C14" s="51"/>
      <c r="D14" s="46"/>
      <c r="E14" s="42"/>
      <c r="F14" s="42"/>
      <c r="G14" s="42"/>
      <c r="H14" s="42"/>
      <c r="I14" s="42"/>
      <c r="J14" s="42"/>
      <c r="K14" s="42"/>
      <c r="L14" s="110"/>
      <c r="M14" s="42"/>
      <c r="N14" s="110"/>
      <c r="O14" s="42"/>
      <c r="P14" s="42"/>
      <c r="Q14" s="42"/>
      <c r="R14" s="42"/>
      <c r="S14" s="42"/>
      <c r="T14" s="42"/>
      <c r="U14" s="42"/>
      <c r="V14" s="42"/>
      <c r="W14" s="42"/>
      <c r="X14" s="42"/>
      <c r="Y14" s="42"/>
      <c r="Z14" s="42"/>
      <c r="AA14" s="42"/>
      <c r="AB14" s="42"/>
      <c r="AC14" s="42"/>
      <c r="AD14" s="42"/>
      <c r="AE14" s="42"/>
      <c r="AF14" s="42"/>
      <c r="AG14" s="42"/>
    </row>
    <row r="15" spans="1:33" ht="15.6" x14ac:dyDescent="0.3">
      <c r="A15" s="50" t="s">
        <v>53</v>
      </c>
      <c r="B15" s="46"/>
      <c r="C15" s="51"/>
      <c r="D15" s="46"/>
      <c r="E15" s="42"/>
      <c r="F15" s="42"/>
      <c r="G15" s="42"/>
      <c r="H15" s="42"/>
      <c r="I15" s="42"/>
      <c r="J15" s="42"/>
      <c r="K15" s="42"/>
      <c r="L15" s="110"/>
      <c r="M15" s="42"/>
      <c r="N15" s="110"/>
      <c r="O15" s="42"/>
      <c r="P15" s="42"/>
      <c r="Q15" s="42"/>
      <c r="R15" s="42"/>
      <c r="S15" s="42"/>
      <c r="T15" s="42"/>
      <c r="U15" s="42"/>
      <c r="V15" s="42"/>
      <c r="W15" s="42"/>
      <c r="X15" s="42"/>
      <c r="Y15" s="42"/>
      <c r="Z15" s="42"/>
      <c r="AA15" s="42"/>
      <c r="AB15" s="42"/>
      <c r="AC15" s="42"/>
      <c r="AD15" s="42"/>
      <c r="AE15" s="42"/>
      <c r="AF15" s="42"/>
      <c r="AG15" s="42"/>
    </row>
    <row r="16" spans="1:33" ht="15.6" x14ac:dyDescent="0.3">
      <c r="A16" s="46" t="s">
        <v>18</v>
      </c>
      <c r="B16" s="46"/>
      <c r="C16" s="51">
        <f>Inputs!B43</f>
        <v>1116.3399999999999</v>
      </c>
      <c r="D16" s="51"/>
      <c r="E16" s="74">
        <f>C16*(1+Inputs!$B$40)</f>
        <v>1183.3204000000001</v>
      </c>
      <c r="F16" s="74"/>
      <c r="G16" s="74">
        <f>E16*(1+Inputs!$B$40)</f>
        <v>1254.3196240000002</v>
      </c>
      <c r="H16" s="74"/>
      <c r="I16" s="74">
        <f>G16*(1+Inputs!$B$40)</f>
        <v>1329.5788014400002</v>
      </c>
      <c r="J16" s="74"/>
      <c r="K16" s="74">
        <f>I16*(1+Inputs!$B$40)</f>
        <v>1409.3535295264003</v>
      </c>
      <c r="L16" s="111"/>
      <c r="M16" s="74">
        <f>K16*(1+Inputs!$B$40)</f>
        <v>1493.9147412979844</v>
      </c>
      <c r="N16" s="111"/>
      <c r="O16" s="74">
        <f>M16*(1+Inputs!$B$40)</f>
        <v>1583.5496257758634</v>
      </c>
      <c r="P16" s="42"/>
      <c r="Q16" s="74">
        <f>O16*(1+Inputs!$B$40)</f>
        <v>1678.5626033224153</v>
      </c>
      <c r="R16" s="42"/>
      <c r="S16" s="74">
        <f>Q16*(1+Inputs!$B$40)</f>
        <v>1779.2763595217602</v>
      </c>
      <c r="T16" s="42"/>
      <c r="U16" s="74">
        <f>S16*(1+Inputs!$B$40)</f>
        <v>1886.032941093066</v>
      </c>
      <c r="V16" s="42"/>
      <c r="W16" s="74">
        <f>U16*(1+Inputs!$B$40)</f>
        <v>1999.1949175586501</v>
      </c>
      <c r="X16" s="42"/>
      <c r="Y16" s="74">
        <f>W16*(1+Inputs!$B$40)</f>
        <v>2119.1466126121691</v>
      </c>
      <c r="Z16" s="42"/>
      <c r="AA16" s="74">
        <f>Y16*(1+Inputs!$B$40)</f>
        <v>2246.2954093688995</v>
      </c>
      <c r="AB16" s="42"/>
      <c r="AC16" s="74">
        <f>AA16*(1+Inputs!$B$40)</f>
        <v>2381.0731339310337</v>
      </c>
      <c r="AD16" s="42"/>
      <c r="AE16" s="74">
        <f>AC16*(1+Inputs!$B$40)</f>
        <v>2523.9375219668959</v>
      </c>
      <c r="AF16" s="42"/>
      <c r="AG16" s="74">
        <f>AE16*(1+Inputs!$B$40)</f>
        <v>2675.3737732849099</v>
      </c>
    </row>
    <row r="17" spans="1:33" ht="15.6" x14ac:dyDescent="0.3">
      <c r="A17" s="46" t="s">
        <v>19</v>
      </c>
      <c r="B17" s="46"/>
      <c r="C17" s="51">
        <f>Inputs!B44</f>
        <v>216</v>
      </c>
      <c r="D17" s="51"/>
      <c r="E17" s="74">
        <f>C17*(1.03)</f>
        <v>222.48000000000002</v>
      </c>
      <c r="F17" s="74"/>
      <c r="G17" s="74">
        <f>E17*(1.03)</f>
        <v>229.15440000000004</v>
      </c>
      <c r="H17" s="74"/>
      <c r="I17" s="74">
        <f>G17*(1.03)</f>
        <v>236.02903200000006</v>
      </c>
      <c r="J17" s="74"/>
      <c r="K17" s="74">
        <f>I17*(1.03)</f>
        <v>243.10990296000006</v>
      </c>
      <c r="L17" s="111"/>
      <c r="M17" s="74">
        <f>K17*(1.03)</f>
        <v>250.40320004880007</v>
      </c>
      <c r="N17" s="111"/>
      <c r="O17" s="74">
        <f>M17*(1.03)</f>
        <v>257.91529605026409</v>
      </c>
      <c r="P17" s="42"/>
      <c r="Q17" s="74">
        <f>O17*(1.03)</f>
        <v>265.65275493177199</v>
      </c>
      <c r="R17" s="42"/>
      <c r="S17" s="74">
        <f>Q17*(1.03)</f>
        <v>273.62233757972518</v>
      </c>
      <c r="T17" s="42"/>
      <c r="U17" s="74">
        <f>S17*(1.03)</f>
        <v>281.83100770711695</v>
      </c>
      <c r="V17" s="42"/>
      <c r="W17" s="74">
        <f>U17*(1.03)</f>
        <v>290.28593793833045</v>
      </c>
      <c r="X17" s="42"/>
      <c r="Y17" s="74">
        <f>W17*(1.03)</f>
        <v>298.99451607648035</v>
      </c>
      <c r="Z17" s="42"/>
      <c r="AA17" s="74">
        <f>Y17*(1.03)</f>
        <v>307.96435155877475</v>
      </c>
      <c r="AB17" s="42"/>
      <c r="AC17" s="74">
        <f>AA17*(1.03)</f>
        <v>317.20328210553799</v>
      </c>
      <c r="AD17" s="42"/>
      <c r="AE17" s="74">
        <f>AC17*(1.03)</f>
        <v>326.71938056870414</v>
      </c>
      <c r="AF17" s="42"/>
      <c r="AG17" s="74">
        <f>AE17*(1.03)</f>
        <v>336.52096198576527</v>
      </c>
    </row>
    <row r="18" spans="1:33" ht="15.6" x14ac:dyDescent="0.3">
      <c r="A18" s="46" t="s">
        <v>20</v>
      </c>
      <c r="B18" s="46"/>
      <c r="C18" s="51">
        <f>Inputs!B45</f>
        <v>1449.8400000000001</v>
      </c>
      <c r="D18" s="51"/>
      <c r="E18" s="74">
        <f>C18*(1.03)</f>
        <v>1493.3352000000002</v>
      </c>
      <c r="F18" s="74"/>
      <c r="G18" s="74">
        <f>E18*(1.03)</f>
        <v>1538.1352560000003</v>
      </c>
      <c r="H18" s="74"/>
      <c r="I18" s="74">
        <f>G18*(1.03)</f>
        <v>1584.2793136800003</v>
      </c>
      <c r="J18" s="74"/>
      <c r="K18" s="74">
        <f>I18*(1.03)</f>
        <v>1631.8076930904003</v>
      </c>
      <c r="L18" s="111"/>
      <c r="M18" s="74">
        <f>K18*(1.03)</f>
        <v>1680.7619238831123</v>
      </c>
      <c r="N18" s="111"/>
      <c r="O18" s="74">
        <f>M18*(1.03)</f>
        <v>1731.1847815996057</v>
      </c>
      <c r="P18" s="42"/>
      <c r="Q18" s="74">
        <f>O18*(1.03)</f>
        <v>1783.120325047594</v>
      </c>
      <c r="R18" s="42"/>
      <c r="S18" s="74">
        <f>Q18*(1.03)</f>
        <v>1836.6139347990218</v>
      </c>
      <c r="T18" s="42"/>
      <c r="U18" s="74">
        <f>S18*(1.03)</f>
        <v>1891.7123528429925</v>
      </c>
      <c r="V18" s="42"/>
      <c r="W18" s="74">
        <f>U18*(1.03)</f>
        <v>1948.4637234282823</v>
      </c>
      <c r="X18" s="42"/>
      <c r="Y18" s="74">
        <f>W18*(1.03)</f>
        <v>2006.9176351311307</v>
      </c>
      <c r="Z18" s="42"/>
      <c r="AA18" s="74">
        <f>Y18*(1.03)</f>
        <v>2067.1251641850649</v>
      </c>
      <c r="AB18" s="42"/>
      <c r="AC18" s="74">
        <f>AA18*(1.03)</f>
        <v>2129.1389191106168</v>
      </c>
      <c r="AD18" s="42"/>
      <c r="AE18" s="74">
        <f>AC18*(1.03)</f>
        <v>2193.0130866839354</v>
      </c>
      <c r="AF18" s="42"/>
      <c r="AG18" s="74">
        <f>AE18*(1.03)</f>
        <v>2258.8034792844537</v>
      </c>
    </row>
    <row r="19" spans="1:33" ht="15.6" x14ac:dyDescent="0.3">
      <c r="A19" s="46" t="s">
        <v>21</v>
      </c>
      <c r="B19" s="46"/>
      <c r="C19" s="51">
        <f>Inputs!B46</f>
        <v>1035.6000000000001</v>
      </c>
      <c r="D19" s="51"/>
      <c r="E19" s="74">
        <f>C19*(1.03)</f>
        <v>1066.6680000000001</v>
      </c>
      <c r="F19" s="74"/>
      <c r="G19" s="74">
        <f>E19*(1.03)</f>
        <v>1098.6680400000002</v>
      </c>
      <c r="H19" s="74"/>
      <c r="I19" s="74">
        <f>G19*(1.03)</f>
        <v>1131.6280812000002</v>
      </c>
      <c r="J19" s="74"/>
      <c r="K19" s="74">
        <f>I19*(1.03)</f>
        <v>1165.5769236360002</v>
      </c>
      <c r="L19" s="111"/>
      <c r="M19" s="74">
        <f>K19*(1.03)</f>
        <v>1200.5442313450801</v>
      </c>
      <c r="N19" s="111"/>
      <c r="O19" s="74">
        <f>M19*(1.03)</f>
        <v>1236.5605582854325</v>
      </c>
      <c r="P19" s="42"/>
      <c r="Q19" s="74">
        <f>O19*(1.03)</f>
        <v>1273.6573750339955</v>
      </c>
      <c r="R19" s="42"/>
      <c r="S19" s="74">
        <f>Q19*(1.03)</f>
        <v>1311.8670962850154</v>
      </c>
      <c r="T19" s="42"/>
      <c r="U19" s="74">
        <f>S19*(1.03)</f>
        <v>1351.2231091735659</v>
      </c>
      <c r="V19" s="42"/>
      <c r="W19" s="74">
        <f>U19*(1.03)</f>
        <v>1391.7598024487729</v>
      </c>
      <c r="X19" s="42"/>
      <c r="Y19" s="74">
        <f>W19*(1.03)</f>
        <v>1433.5125965222362</v>
      </c>
      <c r="Z19" s="42"/>
      <c r="AA19" s="74">
        <f>Y19*(1.03)</f>
        <v>1476.5179744179034</v>
      </c>
      <c r="AB19" s="42"/>
      <c r="AC19" s="74">
        <f>AA19*(1.03)</f>
        <v>1520.8135136504404</v>
      </c>
      <c r="AD19" s="42"/>
      <c r="AE19" s="74">
        <f>AC19*(1.03)</f>
        <v>1566.4379190599536</v>
      </c>
      <c r="AF19" s="42"/>
      <c r="AG19" s="74">
        <f>AE19*(1.03)</f>
        <v>1613.4310566317522</v>
      </c>
    </row>
    <row r="20" spans="1:33" ht="15.6" x14ac:dyDescent="0.3">
      <c r="A20" s="46" t="s">
        <v>26</v>
      </c>
      <c r="B20" s="46"/>
      <c r="C20" s="51">
        <f>Inputs!B47</f>
        <v>0</v>
      </c>
      <c r="D20" s="51"/>
      <c r="E20" s="74">
        <f>C20*1.03</f>
        <v>0</v>
      </c>
      <c r="F20" s="74"/>
      <c r="G20" s="74">
        <f>E20*1.03</f>
        <v>0</v>
      </c>
      <c r="H20" s="74"/>
      <c r="I20" s="74">
        <f>G20*1.03</f>
        <v>0</v>
      </c>
      <c r="J20" s="74"/>
      <c r="K20" s="74">
        <f>I20*1.03</f>
        <v>0</v>
      </c>
      <c r="L20" s="111"/>
      <c r="M20" s="74">
        <f>K20*1.03</f>
        <v>0</v>
      </c>
      <c r="N20" s="111"/>
      <c r="O20" s="74">
        <f>M20*1.03</f>
        <v>0</v>
      </c>
      <c r="P20" s="42"/>
      <c r="Q20" s="74">
        <f>O20*1.03</f>
        <v>0</v>
      </c>
      <c r="R20" s="42"/>
      <c r="S20" s="74">
        <f>Q20*1.03</f>
        <v>0</v>
      </c>
      <c r="T20" s="42"/>
      <c r="U20" s="74">
        <f>S20*1.03</f>
        <v>0</v>
      </c>
      <c r="V20" s="42"/>
      <c r="W20" s="74">
        <f>U20*1.03</f>
        <v>0</v>
      </c>
      <c r="X20" s="42"/>
      <c r="Y20" s="74">
        <f>W20*1.03</f>
        <v>0</v>
      </c>
      <c r="Z20" s="42"/>
      <c r="AA20" s="74">
        <f>Y20*1.03</f>
        <v>0</v>
      </c>
      <c r="AB20" s="42"/>
      <c r="AC20" s="74">
        <f>AA20*1.03</f>
        <v>0</v>
      </c>
      <c r="AD20" s="42"/>
      <c r="AE20" s="74">
        <f>AC20*1.03</f>
        <v>0</v>
      </c>
      <c r="AF20" s="42"/>
      <c r="AG20" s="74">
        <f>AE20*1.03</f>
        <v>0</v>
      </c>
    </row>
    <row r="21" spans="1:33" ht="15.6" x14ac:dyDescent="0.3">
      <c r="A21" s="46" t="s">
        <v>54</v>
      </c>
      <c r="B21" s="46"/>
      <c r="C21" s="51">
        <f>Inputs!B48</f>
        <v>0</v>
      </c>
      <c r="D21" s="51"/>
      <c r="E21" s="74">
        <f>C21*1.03</f>
        <v>0</v>
      </c>
      <c r="F21" s="74"/>
      <c r="G21" s="74">
        <f>E21*1.03</f>
        <v>0</v>
      </c>
      <c r="H21" s="74"/>
      <c r="I21" s="74">
        <f>G21*1.03</f>
        <v>0</v>
      </c>
      <c r="J21" s="74"/>
      <c r="K21" s="74">
        <f>I21*1.03</f>
        <v>0</v>
      </c>
      <c r="L21" s="111"/>
      <c r="M21" s="74">
        <f>K21*1.03</f>
        <v>0</v>
      </c>
      <c r="N21" s="111"/>
      <c r="O21" s="74">
        <f>M21*1.03</f>
        <v>0</v>
      </c>
      <c r="P21" s="42"/>
      <c r="Q21" s="74">
        <f>O21*1.03</f>
        <v>0</v>
      </c>
      <c r="R21" s="42"/>
      <c r="S21" s="74">
        <f>Q21*1.03</f>
        <v>0</v>
      </c>
      <c r="T21" s="42"/>
      <c r="U21" s="74">
        <f>S21*1.03</f>
        <v>0</v>
      </c>
      <c r="V21" s="42"/>
      <c r="W21" s="74">
        <f>U21*1.03</f>
        <v>0</v>
      </c>
      <c r="X21" s="42"/>
      <c r="Y21" s="74">
        <f>W21*1.03</f>
        <v>0</v>
      </c>
      <c r="Z21" s="42"/>
      <c r="AA21" s="74">
        <f>Y21*1.03</f>
        <v>0</v>
      </c>
      <c r="AB21" s="42"/>
      <c r="AC21" s="74">
        <f>AA21*1.03</f>
        <v>0</v>
      </c>
      <c r="AD21" s="42"/>
      <c r="AE21" s="74">
        <f>AC21*1.03</f>
        <v>0</v>
      </c>
      <c r="AF21" s="42"/>
      <c r="AG21" s="74">
        <f>AE21*1.03</f>
        <v>0</v>
      </c>
    </row>
    <row r="22" spans="1:33" ht="15.6" x14ac:dyDescent="0.3">
      <c r="A22" s="46" t="s">
        <v>55</v>
      </c>
      <c r="B22" s="46"/>
      <c r="C22" s="51">
        <f>Inputs!B49</f>
        <v>0</v>
      </c>
      <c r="D22" s="51"/>
      <c r="E22" s="74">
        <f>C22*1.03</f>
        <v>0</v>
      </c>
      <c r="F22" s="74"/>
      <c r="G22" s="74">
        <f>E22*1.03</f>
        <v>0</v>
      </c>
      <c r="H22" s="74"/>
      <c r="I22" s="74">
        <f>G22*1.03</f>
        <v>0</v>
      </c>
      <c r="J22" s="74"/>
      <c r="K22" s="74">
        <f>I22*1.03</f>
        <v>0</v>
      </c>
      <c r="L22" s="111"/>
      <c r="M22" s="74">
        <f>K22*1.03</f>
        <v>0</v>
      </c>
      <c r="N22" s="111"/>
      <c r="O22" s="74">
        <f>M22*1.03</f>
        <v>0</v>
      </c>
      <c r="P22" s="42"/>
      <c r="Q22" s="74">
        <f>O22*1.03</f>
        <v>0</v>
      </c>
      <c r="R22" s="42"/>
      <c r="S22" s="74">
        <f>Q22*1.03</f>
        <v>0</v>
      </c>
      <c r="T22" s="42"/>
      <c r="U22" s="74">
        <f>S22*1.03</f>
        <v>0</v>
      </c>
      <c r="V22" s="42"/>
      <c r="W22" s="74">
        <f>U22*1.03</f>
        <v>0</v>
      </c>
      <c r="X22" s="42"/>
      <c r="Y22" s="74">
        <f>W22*1.03</f>
        <v>0</v>
      </c>
      <c r="Z22" s="42"/>
      <c r="AA22" s="74">
        <f>Y22*1.03</f>
        <v>0</v>
      </c>
      <c r="AB22" s="42"/>
      <c r="AC22" s="74">
        <f>AA22*1.03</f>
        <v>0</v>
      </c>
      <c r="AD22" s="42"/>
      <c r="AE22" s="74">
        <f>AC22*1.03</f>
        <v>0</v>
      </c>
      <c r="AF22" s="42"/>
      <c r="AG22" s="74">
        <f>AE22*1.03</f>
        <v>0</v>
      </c>
    </row>
    <row r="23" spans="1:33" ht="15.6" x14ac:dyDescent="0.3">
      <c r="A23" s="46" t="s">
        <v>56</v>
      </c>
      <c r="B23" s="46"/>
      <c r="C23" s="51">
        <f>Inputs!B50</f>
        <v>0</v>
      </c>
      <c r="D23" s="51"/>
      <c r="E23" s="74">
        <f>C23*1.03</f>
        <v>0</v>
      </c>
      <c r="F23" s="74"/>
      <c r="G23" s="74">
        <f>E23*1.03</f>
        <v>0</v>
      </c>
      <c r="H23" s="74"/>
      <c r="I23" s="74">
        <f>G23*1.03</f>
        <v>0</v>
      </c>
      <c r="J23" s="74"/>
      <c r="K23" s="74">
        <f>I23*1.03</f>
        <v>0</v>
      </c>
      <c r="L23" s="111"/>
      <c r="M23" s="74">
        <f>K23*1.03</f>
        <v>0</v>
      </c>
      <c r="N23" s="111"/>
      <c r="O23" s="74">
        <f>M23*1.03</f>
        <v>0</v>
      </c>
      <c r="P23" s="42"/>
      <c r="Q23" s="74">
        <f>O23*1.03</f>
        <v>0</v>
      </c>
      <c r="R23" s="42"/>
      <c r="S23" s="74">
        <f>Q23*1.03</f>
        <v>0</v>
      </c>
      <c r="T23" s="42"/>
      <c r="U23" s="74">
        <f>S23*1.03</f>
        <v>0</v>
      </c>
      <c r="V23" s="42"/>
      <c r="W23" s="74">
        <f>U23*1.03</f>
        <v>0</v>
      </c>
      <c r="X23" s="42"/>
      <c r="Y23" s="74">
        <f>W23*1.03</f>
        <v>0</v>
      </c>
      <c r="Z23" s="42"/>
      <c r="AA23" s="74">
        <f>Y23*1.03</f>
        <v>0</v>
      </c>
      <c r="AB23" s="42"/>
      <c r="AC23" s="74">
        <f>AA23*1.03</f>
        <v>0</v>
      </c>
      <c r="AD23" s="42"/>
      <c r="AE23" s="74">
        <f>AC23*1.03</f>
        <v>0</v>
      </c>
      <c r="AF23" s="42"/>
      <c r="AG23" s="74">
        <f>AE23*1.03</f>
        <v>0</v>
      </c>
    </row>
    <row r="24" spans="1:33" ht="15.6" x14ac:dyDescent="0.3">
      <c r="A24" s="46" t="s">
        <v>29</v>
      </c>
      <c r="B24" s="46"/>
      <c r="C24" s="51">
        <f>Inputs!B51</f>
        <v>0</v>
      </c>
      <c r="D24" s="51"/>
      <c r="E24" s="74">
        <f>C24*1.03</f>
        <v>0</v>
      </c>
      <c r="F24" s="74"/>
      <c r="G24" s="74">
        <f>E24*1.03</f>
        <v>0</v>
      </c>
      <c r="H24" s="74"/>
      <c r="I24" s="74">
        <f>G24*1.03</f>
        <v>0</v>
      </c>
      <c r="J24" s="74"/>
      <c r="K24" s="74">
        <f>I24*1.03</f>
        <v>0</v>
      </c>
      <c r="L24" s="111"/>
      <c r="M24" s="74">
        <f>K24*1.03</f>
        <v>0</v>
      </c>
      <c r="N24" s="111"/>
      <c r="O24" s="74">
        <f>M24*1.03</f>
        <v>0</v>
      </c>
      <c r="P24" s="42"/>
      <c r="Q24" s="74">
        <f>O24*1.03</f>
        <v>0</v>
      </c>
      <c r="R24" s="42"/>
      <c r="S24" s="74">
        <f>Q24*1.03</f>
        <v>0</v>
      </c>
      <c r="T24" s="42"/>
      <c r="U24" s="74">
        <f>S24*1.03</f>
        <v>0</v>
      </c>
      <c r="V24" s="42"/>
      <c r="W24" s="74">
        <f>U24*1.03</f>
        <v>0</v>
      </c>
      <c r="X24" s="42"/>
      <c r="Y24" s="74">
        <f>W24*1.03</f>
        <v>0</v>
      </c>
      <c r="Z24" s="42"/>
      <c r="AA24" s="74">
        <f>Y24*1.03</f>
        <v>0</v>
      </c>
      <c r="AB24" s="42"/>
      <c r="AC24" s="74">
        <f>AA24*1.03</f>
        <v>0</v>
      </c>
      <c r="AD24" s="42"/>
      <c r="AE24" s="74">
        <f>AC24*1.03</f>
        <v>0</v>
      </c>
      <c r="AF24" s="42"/>
      <c r="AG24" s="74">
        <f>AE24*1.03</f>
        <v>0</v>
      </c>
    </row>
    <row r="25" spans="1:33" ht="15.6" x14ac:dyDescent="0.3">
      <c r="A25" s="46" t="str">
        <f>Inputs!A52</f>
        <v>HOA Dues</v>
      </c>
      <c r="B25" s="46"/>
      <c r="C25" s="51">
        <f>Inputs!B52</f>
        <v>2160</v>
      </c>
      <c r="D25" s="51"/>
      <c r="E25" s="74">
        <f t="shared" ref="E25:E30" si="0">C25*1.03</f>
        <v>2224.8000000000002</v>
      </c>
      <c r="F25" s="74"/>
      <c r="G25" s="74">
        <f t="shared" ref="G25:G30" si="1">E25*1.03</f>
        <v>2291.5440000000003</v>
      </c>
      <c r="H25" s="74"/>
      <c r="I25" s="74">
        <f t="shared" ref="I25:I30" si="2">G25*1.03</f>
        <v>2360.2903200000005</v>
      </c>
      <c r="J25" s="74"/>
      <c r="K25" s="74">
        <f t="shared" ref="K25:AG30" si="3">I25*1.03</f>
        <v>2431.0990296000004</v>
      </c>
      <c r="L25" s="111"/>
      <c r="M25" s="74">
        <f t="shared" si="3"/>
        <v>2504.0320004880004</v>
      </c>
      <c r="N25" s="111"/>
      <c r="O25" s="74">
        <f t="shared" si="3"/>
        <v>2579.1529605026403</v>
      </c>
      <c r="P25" s="42"/>
      <c r="Q25" s="74">
        <f t="shared" si="3"/>
        <v>2656.5275493177196</v>
      </c>
      <c r="R25" s="42"/>
      <c r="S25" s="74">
        <f t="shared" si="3"/>
        <v>2736.2233757972513</v>
      </c>
      <c r="T25" s="42"/>
      <c r="U25" s="74">
        <f t="shared" si="3"/>
        <v>2818.310077071169</v>
      </c>
      <c r="V25" s="42"/>
      <c r="W25" s="74">
        <f t="shared" si="3"/>
        <v>2902.8593793833043</v>
      </c>
      <c r="X25" s="42"/>
      <c r="Y25" s="74">
        <f t="shared" si="3"/>
        <v>2989.9451607648034</v>
      </c>
      <c r="Z25" s="42"/>
      <c r="AA25" s="74">
        <f t="shared" si="3"/>
        <v>3079.6435155877475</v>
      </c>
      <c r="AB25" s="42"/>
      <c r="AC25" s="74">
        <f t="shared" si="3"/>
        <v>3172.0328210553798</v>
      </c>
      <c r="AD25" s="42"/>
      <c r="AE25" s="74">
        <f t="shared" si="3"/>
        <v>3267.1938056870413</v>
      </c>
      <c r="AF25" s="42"/>
      <c r="AG25" s="74">
        <f t="shared" si="3"/>
        <v>3365.2096198576528</v>
      </c>
    </row>
    <row r="26" spans="1:33" ht="15.6" x14ac:dyDescent="0.3">
      <c r="A26" s="46" t="str">
        <f>Inputs!A53</f>
        <v>Other</v>
      </c>
      <c r="B26" s="46"/>
      <c r="C26" s="51">
        <f>Inputs!B53</f>
        <v>0</v>
      </c>
      <c r="D26" s="51"/>
      <c r="E26" s="74">
        <f t="shared" si="0"/>
        <v>0</v>
      </c>
      <c r="F26" s="74"/>
      <c r="G26" s="74">
        <f t="shared" si="1"/>
        <v>0</v>
      </c>
      <c r="H26" s="74"/>
      <c r="I26" s="74">
        <f t="shared" si="2"/>
        <v>0</v>
      </c>
      <c r="J26" s="74"/>
      <c r="K26" s="74">
        <f t="shared" si="3"/>
        <v>0</v>
      </c>
      <c r="L26" s="111"/>
      <c r="M26" s="74">
        <f t="shared" si="3"/>
        <v>0</v>
      </c>
      <c r="N26" s="111"/>
      <c r="O26" s="74">
        <f t="shared" si="3"/>
        <v>0</v>
      </c>
      <c r="P26" s="42"/>
      <c r="Q26" s="74">
        <f t="shared" si="3"/>
        <v>0</v>
      </c>
      <c r="R26" s="42"/>
      <c r="S26" s="74">
        <f t="shared" si="3"/>
        <v>0</v>
      </c>
      <c r="T26" s="42"/>
      <c r="U26" s="74">
        <f t="shared" si="3"/>
        <v>0</v>
      </c>
      <c r="V26" s="42"/>
      <c r="W26" s="74">
        <f t="shared" si="3"/>
        <v>0</v>
      </c>
      <c r="X26" s="42"/>
      <c r="Y26" s="74">
        <f t="shared" si="3"/>
        <v>0</v>
      </c>
      <c r="Z26" s="42"/>
      <c r="AA26" s="74">
        <f t="shared" si="3"/>
        <v>0</v>
      </c>
      <c r="AB26" s="42"/>
      <c r="AC26" s="74">
        <f t="shared" si="3"/>
        <v>0</v>
      </c>
      <c r="AD26" s="42"/>
      <c r="AE26" s="74">
        <f t="shared" si="3"/>
        <v>0</v>
      </c>
      <c r="AF26" s="42"/>
      <c r="AG26" s="74">
        <f t="shared" si="3"/>
        <v>0</v>
      </c>
    </row>
    <row r="27" spans="1:33" ht="15.6" x14ac:dyDescent="0.3">
      <c r="A27" s="46" t="str">
        <f>Inputs!A54</f>
        <v>Other</v>
      </c>
      <c r="B27" s="46"/>
      <c r="C27" s="51">
        <f>Inputs!B54</f>
        <v>0</v>
      </c>
      <c r="D27" s="51"/>
      <c r="E27" s="74">
        <f t="shared" si="0"/>
        <v>0</v>
      </c>
      <c r="F27" s="74"/>
      <c r="G27" s="74">
        <f t="shared" si="1"/>
        <v>0</v>
      </c>
      <c r="H27" s="74"/>
      <c r="I27" s="74">
        <f t="shared" si="2"/>
        <v>0</v>
      </c>
      <c r="J27" s="74"/>
      <c r="K27" s="74">
        <f t="shared" si="3"/>
        <v>0</v>
      </c>
      <c r="L27" s="111"/>
      <c r="M27" s="74">
        <f t="shared" si="3"/>
        <v>0</v>
      </c>
      <c r="N27" s="111"/>
      <c r="O27" s="74">
        <f t="shared" si="3"/>
        <v>0</v>
      </c>
      <c r="P27" s="42"/>
      <c r="Q27" s="74">
        <f t="shared" si="3"/>
        <v>0</v>
      </c>
      <c r="R27" s="42"/>
      <c r="S27" s="74">
        <f t="shared" si="3"/>
        <v>0</v>
      </c>
      <c r="T27" s="42"/>
      <c r="U27" s="74">
        <f t="shared" si="3"/>
        <v>0</v>
      </c>
      <c r="V27" s="42"/>
      <c r="W27" s="74">
        <f t="shared" si="3"/>
        <v>0</v>
      </c>
      <c r="X27" s="42"/>
      <c r="Y27" s="74">
        <f t="shared" si="3"/>
        <v>0</v>
      </c>
      <c r="Z27" s="42"/>
      <c r="AA27" s="74">
        <f t="shared" si="3"/>
        <v>0</v>
      </c>
      <c r="AB27" s="42"/>
      <c r="AC27" s="74">
        <f t="shared" si="3"/>
        <v>0</v>
      </c>
      <c r="AD27" s="42"/>
      <c r="AE27" s="74">
        <f t="shared" si="3"/>
        <v>0</v>
      </c>
      <c r="AF27" s="42"/>
      <c r="AG27" s="74">
        <f t="shared" si="3"/>
        <v>0</v>
      </c>
    </row>
    <row r="28" spans="1:33" ht="15.6" x14ac:dyDescent="0.3">
      <c r="A28" s="46" t="str">
        <f>Inputs!A55</f>
        <v>Other</v>
      </c>
      <c r="B28" s="46"/>
      <c r="C28" s="51">
        <f>Inputs!B55</f>
        <v>0</v>
      </c>
      <c r="D28" s="51"/>
      <c r="E28" s="74">
        <f t="shared" si="0"/>
        <v>0</v>
      </c>
      <c r="F28" s="74"/>
      <c r="G28" s="74">
        <f t="shared" si="1"/>
        <v>0</v>
      </c>
      <c r="H28" s="74"/>
      <c r="I28" s="74">
        <f t="shared" si="2"/>
        <v>0</v>
      </c>
      <c r="J28" s="74"/>
      <c r="K28" s="74">
        <f t="shared" si="3"/>
        <v>0</v>
      </c>
      <c r="L28" s="111"/>
      <c r="M28" s="74">
        <f t="shared" si="3"/>
        <v>0</v>
      </c>
      <c r="N28" s="111"/>
      <c r="O28" s="74">
        <f t="shared" si="3"/>
        <v>0</v>
      </c>
      <c r="P28" s="42"/>
      <c r="Q28" s="74">
        <f t="shared" si="3"/>
        <v>0</v>
      </c>
      <c r="R28" s="42"/>
      <c r="S28" s="74">
        <f t="shared" si="3"/>
        <v>0</v>
      </c>
      <c r="T28" s="42"/>
      <c r="U28" s="74">
        <f t="shared" si="3"/>
        <v>0</v>
      </c>
      <c r="V28" s="42"/>
      <c r="W28" s="74">
        <f t="shared" si="3"/>
        <v>0</v>
      </c>
      <c r="X28" s="42"/>
      <c r="Y28" s="74">
        <f t="shared" si="3"/>
        <v>0</v>
      </c>
      <c r="Z28" s="42"/>
      <c r="AA28" s="74">
        <f t="shared" si="3"/>
        <v>0</v>
      </c>
      <c r="AB28" s="42"/>
      <c r="AC28" s="74">
        <f t="shared" si="3"/>
        <v>0</v>
      </c>
      <c r="AD28" s="42"/>
      <c r="AE28" s="74">
        <f t="shared" si="3"/>
        <v>0</v>
      </c>
      <c r="AF28" s="42"/>
      <c r="AG28" s="74">
        <f t="shared" si="3"/>
        <v>0</v>
      </c>
    </row>
    <row r="29" spans="1:33" ht="15.6" x14ac:dyDescent="0.3">
      <c r="A29" s="46" t="str">
        <f>Inputs!A56</f>
        <v>Other</v>
      </c>
      <c r="B29" s="46"/>
      <c r="C29" s="51">
        <f>Inputs!B56</f>
        <v>0</v>
      </c>
      <c r="D29" s="51"/>
      <c r="E29" s="74">
        <f t="shared" si="0"/>
        <v>0</v>
      </c>
      <c r="F29" s="74"/>
      <c r="G29" s="74">
        <f t="shared" si="1"/>
        <v>0</v>
      </c>
      <c r="H29" s="74"/>
      <c r="I29" s="74">
        <f t="shared" si="2"/>
        <v>0</v>
      </c>
      <c r="J29" s="74"/>
      <c r="K29" s="74">
        <f t="shared" si="3"/>
        <v>0</v>
      </c>
      <c r="L29" s="111"/>
      <c r="M29" s="74">
        <f t="shared" si="3"/>
        <v>0</v>
      </c>
      <c r="N29" s="111"/>
      <c r="O29" s="74">
        <f t="shared" si="3"/>
        <v>0</v>
      </c>
      <c r="P29" s="42"/>
      <c r="Q29" s="74">
        <f t="shared" si="3"/>
        <v>0</v>
      </c>
      <c r="R29" s="42"/>
      <c r="S29" s="74">
        <f t="shared" si="3"/>
        <v>0</v>
      </c>
      <c r="T29" s="42"/>
      <c r="U29" s="74">
        <f t="shared" si="3"/>
        <v>0</v>
      </c>
      <c r="V29" s="42"/>
      <c r="W29" s="74">
        <f t="shared" si="3"/>
        <v>0</v>
      </c>
      <c r="X29" s="42"/>
      <c r="Y29" s="74">
        <f t="shared" si="3"/>
        <v>0</v>
      </c>
      <c r="Z29" s="42"/>
      <c r="AA29" s="74">
        <f t="shared" si="3"/>
        <v>0</v>
      </c>
      <c r="AB29" s="42"/>
      <c r="AC29" s="74">
        <f t="shared" si="3"/>
        <v>0</v>
      </c>
      <c r="AD29" s="42"/>
      <c r="AE29" s="74">
        <f t="shared" si="3"/>
        <v>0</v>
      </c>
      <c r="AF29" s="42"/>
      <c r="AG29" s="74">
        <f t="shared" si="3"/>
        <v>0</v>
      </c>
    </row>
    <row r="30" spans="1:33" ht="16.2" thickBot="1" x14ac:dyDescent="0.35">
      <c r="A30" s="46" t="str">
        <f>Inputs!A57</f>
        <v>Other</v>
      </c>
      <c r="B30" s="46"/>
      <c r="C30" s="55">
        <f>Inputs!B57</f>
        <v>0</v>
      </c>
      <c r="D30" s="51"/>
      <c r="E30" s="88">
        <f t="shared" si="0"/>
        <v>0</v>
      </c>
      <c r="F30" s="74"/>
      <c r="G30" s="88">
        <f t="shared" si="1"/>
        <v>0</v>
      </c>
      <c r="H30" s="74"/>
      <c r="I30" s="88">
        <f t="shared" si="2"/>
        <v>0</v>
      </c>
      <c r="J30" s="74"/>
      <c r="K30" s="88">
        <f t="shared" si="3"/>
        <v>0</v>
      </c>
      <c r="L30" s="111"/>
      <c r="M30" s="88">
        <f t="shared" si="3"/>
        <v>0</v>
      </c>
      <c r="N30" s="111"/>
      <c r="O30" s="88">
        <f t="shared" si="3"/>
        <v>0</v>
      </c>
      <c r="P30" s="42"/>
      <c r="Q30" s="88">
        <f t="shared" si="3"/>
        <v>0</v>
      </c>
      <c r="R30" s="42"/>
      <c r="S30" s="88">
        <f t="shared" si="3"/>
        <v>0</v>
      </c>
      <c r="T30" s="42"/>
      <c r="U30" s="88">
        <f t="shared" si="3"/>
        <v>0</v>
      </c>
      <c r="V30" s="42"/>
      <c r="W30" s="88">
        <f t="shared" si="3"/>
        <v>0</v>
      </c>
      <c r="X30" s="42"/>
      <c r="Y30" s="88">
        <f t="shared" si="3"/>
        <v>0</v>
      </c>
      <c r="Z30" s="42"/>
      <c r="AA30" s="88">
        <f t="shared" si="3"/>
        <v>0</v>
      </c>
      <c r="AB30" s="42"/>
      <c r="AC30" s="88">
        <f t="shared" si="3"/>
        <v>0</v>
      </c>
      <c r="AD30" s="42"/>
      <c r="AE30" s="88">
        <f t="shared" si="3"/>
        <v>0</v>
      </c>
      <c r="AF30" s="42"/>
      <c r="AG30" s="88">
        <f t="shared" si="3"/>
        <v>0</v>
      </c>
    </row>
    <row r="31" spans="1:33" ht="15.6" x14ac:dyDescent="0.3">
      <c r="A31" s="44" t="s">
        <v>58</v>
      </c>
      <c r="B31" s="46"/>
      <c r="C31" s="56">
        <f>SUM(C16:C30)</f>
        <v>5977.7800000000007</v>
      </c>
      <c r="D31" s="51"/>
      <c r="E31" s="56">
        <f>SUM(E16:E30)</f>
        <v>6190.6036000000004</v>
      </c>
      <c r="F31" s="74"/>
      <c r="G31" s="56">
        <f>SUM(G16:G30)</f>
        <v>6411.8213200000009</v>
      </c>
      <c r="H31" s="74"/>
      <c r="I31" s="56">
        <f>SUM(I16:I30)</f>
        <v>6641.8055483200023</v>
      </c>
      <c r="J31" s="74"/>
      <c r="K31" s="56">
        <f>SUM(K16:K30)</f>
        <v>6880.9470788128019</v>
      </c>
      <c r="L31" s="112"/>
      <c r="M31" s="56">
        <f>SUM(M16:M30)</f>
        <v>7129.6560970629771</v>
      </c>
      <c r="N31" s="112"/>
      <c r="O31" s="56">
        <f>SUM(O16:O30)</f>
        <v>7388.3632222138058</v>
      </c>
      <c r="P31" s="42"/>
      <c r="Q31" s="56">
        <f>SUM(Q16:Q30)</f>
        <v>7657.5206076534969</v>
      </c>
      <c r="R31" s="42"/>
      <c r="S31" s="56">
        <f>SUM(S16:S30)</f>
        <v>7937.603103982774</v>
      </c>
      <c r="T31" s="42"/>
      <c r="U31" s="56">
        <f>SUM(U16:U30)</f>
        <v>8229.1094878879103</v>
      </c>
      <c r="V31" s="42"/>
      <c r="W31" s="56">
        <f>SUM(W16:W30)</f>
        <v>8532.563760757339</v>
      </c>
      <c r="X31" s="42"/>
      <c r="Y31" s="56">
        <f>SUM(Y16:Y30)</f>
        <v>8848.5165211068197</v>
      </c>
      <c r="Z31" s="42"/>
      <c r="AA31" s="56">
        <f>SUM(AA16:AA30)</f>
        <v>9177.5464151183896</v>
      </c>
      <c r="AB31" s="42"/>
      <c r="AC31" s="56">
        <f>SUM(AC16:AC30)</f>
        <v>9520.2616698530092</v>
      </c>
      <c r="AD31" s="42"/>
      <c r="AE31" s="56">
        <f>SUM(AE16:AE30)</f>
        <v>9877.3017139665317</v>
      </c>
      <c r="AF31" s="42"/>
      <c r="AG31" s="56">
        <f>SUM(AG16:AG30)</f>
        <v>10249.338891044534</v>
      </c>
    </row>
    <row r="32" spans="1:33" ht="15.6" x14ac:dyDescent="0.3">
      <c r="A32" s="46"/>
      <c r="B32" s="46"/>
      <c r="C32" s="51"/>
      <c r="D32" s="51"/>
      <c r="E32" s="74"/>
      <c r="F32" s="74"/>
      <c r="G32" s="74"/>
      <c r="H32" s="74"/>
      <c r="I32" s="74"/>
      <c r="J32" s="74"/>
      <c r="K32" s="74"/>
      <c r="L32" s="111"/>
      <c r="M32" s="74"/>
      <c r="N32" s="111"/>
      <c r="O32" s="74"/>
      <c r="P32" s="42"/>
      <c r="Q32" s="74"/>
      <c r="R32" s="42"/>
      <c r="S32" s="74"/>
      <c r="T32" s="42"/>
      <c r="U32" s="74"/>
      <c r="V32" s="42"/>
      <c r="W32" s="74"/>
      <c r="X32" s="42"/>
      <c r="Y32" s="74"/>
      <c r="Z32" s="42"/>
      <c r="AA32" s="74"/>
      <c r="AB32" s="42"/>
      <c r="AC32" s="74"/>
      <c r="AD32" s="42"/>
      <c r="AE32" s="74"/>
      <c r="AF32" s="42"/>
      <c r="AG32" s="74"/>
    </row>
    <row r="33" spans="1:33" ht="15.6" x14ac:dyDescent="0.3">
      <c r="A33" s="44" t="s">
        <v>60</v>
      </c>
      <c r="B33" s="46"/>
      <c r="C33" s="56">
        <f>C13-C31</f>
        <v>14112.859999999999</v>
      </c>
      <c r="D33" s="51"/>
      <c r="E33" s="56">
        <f>E13-E31</f>
        <v>14904.568400000002</v>
      </c>
      <c r="F33" s="74"/>
      <c r="G33" s="56">
        <f>G13-G31</f>
        <v>15738.109280000002</v>
      </c>
      <c r="H33" s="74"/>
      <c r="I33" s="56">
        <f>I13-I31</f>
        <v>16615.621581680003</v>
      </c>
      <c r="J33" s="74"/>
      <c r="K33" s="56">
        <f>K13-K31</f>
        <v>17539.351407687205</v>
      </c>
      <c r="L33" s="112"/>
      <c r="M33" s="56">
        <f>M13-M31</f>
        <v>18511.657313762029</v>
      </c>
      <c r="N33" s="112"/>
      <c r="O33" s="56">
        <f>O13-O31</f>
        <v>19535.015859152452</v>
      </c>
      <c r="P33" s="42"/>
      <c r="Q33" s="56">
        <f>Q13-Q31</f>
        <v>20612.027427781075</v>
      </c>
      <c r="R33" s="42"/>
      <c r="S33" s="56">
        <f>S13-S31</f>
        <v>21745.422333223527</v>
      </c>
      <c r="T33" s="42"/>
      <c r="U33" s="56">
        <f>U13-U31</f>
        <v>22938.067221178702</v>
      </c>
      <c r="V33" s="42"/>
      <c r="W33" s="56">
        <f>W13-W31</f>
        <v>24192.971783762609</v>
      </c>
      <c r="X33" s="42"/>
      <c r="Y33" s="56">
        <f>Y13-Y31</f>
        <v>25513.295800639131</v>
      </c>
      <c r="Z33" s="42"/>
      <c r="AA33" s="56">
        <f>AA13-AA31</f>
        <v>26902.356522714857</v>
      </c>
      <c r="AB33" s="42"/>
      <c r="AC33" s="56">
        <f>AC13-AC31</f>
        <v>28363.6364148719</v>
      </c>
      <c r="AD33" s="42"/>
      <c r="AE33" s="56">
        <f>AE13-AE31</f>
        <v>29900.791274994626</v>
      </c>
      <c r="AF33" s="42"/>
      <c r="AG33" s="56">
        <f>AG13-AG31</f>
        <v>31517.65874736468</v>
      </c>
    </row>
    <row r="34" spans="1:33" x14ac:dyDescent="0.3">
      <c r="A34" s="42"/>
      <c r="B34" s="42"/>
      <c r="C34" s="74"/>
      <c r="D34" s="74"/>
      <c r="E34" s="74"/>
      <c r="F34" s="74"/>
      <c r="G34" s="74"/>
      <c r="H34" s="74"/>
      <c r="I34" s="74"/>
      <c r="J34" s="74"/>
      <c r="K34" s="74"/>
      <c r="L34" s="111"/>
      <c r="M34" s="74"/>
      <c r="N34" s="111"/>
      <c r="O34" s="74"/>
      <c r="P34" s="42"/>
      <c r="Q34" s="74"/>
      <c r="R34" s="42"/>
      <c r="S34" s="74"/>
      <c r="T34" s="42"/>
      <c r="U34" s="74"/>
      <c r="V34" s="42"/>
      <c r="W34" s="74"/>
      <c r="X34" s="42"/>
      <c r="Y34" s="74"/>
      <c r="Z34" s="42"/>
      <c r="AA34" s="74"/>
      <c r="AB34" s="42"/>
      <c r="AC34" s="74"/>
      <c r="AD34" s="42"/>
      <c r="AE34" s="74"/>
      <c r="AF34" s="42"/>
      <c r="AG34" s="74"/>
    </row>
    <row r="35" spans="1:33" ht="15.6" x14ac:dyDescent="0.3">
      <c r="A35" s="46" t="s">
        <v>61</v>
      </c>
      <c r="B35" s="42"/>
      <c r="C35" s="51">
        <f>IF(C40&gt;0,PMT(Inputs!B25/12,Inputs!B26*12,Inputs!B20,0)*12,0)</f>
        <v>-7908.678482525278</v>
      </c>
      <c r="D35" s="74"/>
      <c r="E35" s="51">
        <f>IF(C40&gt;0,PMT(Inputs!$B$25/12,Inputs!B26*12,Inputs!$B$20,0)*12,0)</f>
        <v>-7908.678482525278</v>
      </c>
      <c r="F35" s="74"/>
      <c r="G35" s="51">
        <f>IF(E40&gt;0,PMT(Inputs!$B$25/12,Inputs!B26*12,Inputs!$B$20,0)*12,0)</f>
        <v>-7908.678482525278</v>
      </c>
      <c r="H35" s="74"/>
      <c r="I35" s="51">
        <f>IF(G40&gt;0,PMT(Inputs!$B$25/12,Inputs!B26*12,Inputs!$B$20,0)*12,0)</f>
        <v>-7908.678482525278</v>
      </c>
      <c r="J35" s="74"/>
      <c r="K35" s="51">
        <f>IF(I40&gt;0,PMT(Inputs!$B$25/12,Inputs!B26*12,Inputs!$B$20,0)*12,)</f>
        <v>-7908.678482525278</v>
      </c>
      <c r="L35" s="113"/>
      <c r="M35" s="51">
        <f>IF(K40&gt;0,PMT(Inputs!B25/12,Inputs!B26*12,Inputs!B20,0)*12,0)</f>
        <v>-7908.678482525278</v>
      </c>
      <c r="N35" s="113"/>
      <c r="O35" s="51">
        <f>IF(M40&gt;0,PMT(Inputs!B25/12,Inputs!B26*12,Inputs!B20,0)*12,)</f>
        <v>-7908.678482525278</v>
      </c>
      <c r="P35" s="42"/>
      <c r="Q35" s="51">
        <f>IF(O40&gt;0,PMT(Inputs!B25/12,Inputs!B26*12,Inputs!B20,0)*12,)</f>
        <v>-7908.678482525278</v>
      </c>
      <c r="R35" s="42"/>
      <c r="S35" s="51">
        <f>IF(Q40&gt;0,PMT(Inputs!B25/12,Inputs!B26*12,Inputs!B20,0)*12,0)</f>
        <v>-7908.678482525278</v>
      </c>
      <c r="T35" s="42"/>
      <c r="U35" s="51">
        <f>IF(S40&gt;0,PMT(Inputs!B25/12,Inputs!B26*12,Inputs!B20,0)*12,0)</f>
        <v>-7908.678482525278</v>
      </c>
      <c r="V35" s="42"/>
      <c r="W35" s="51">
        <f>IF(U40&gt;0,PMT(Inputs!B25/12,Inputs!B26*12,Inputs!B20,0)*12,0)</f>
        <v>-7908.678482525278</v>
      </c>
      <c r="X35" s="42"/>
      <c r="Y35" s="51">
        <f>IF(W40&gt;0,PMT(Inputs!B25/12,Inputs!B26*12,Inputs!B20,0)*12,0)</f>
        <v>-7908.678482525278</v>
      </c>
      <c r="Z35" s="42"/>
      <c r="AA35" s="51">
        <f>IF(Y40&gt;0,PMT(Inputs!B25/12,Inputs!B26*12,Inputs!B20,0)*12,0)</f>
        <v>-7908.678482525278</v>
      </c>
      <c r="AB35" s="42"/>
      <c r="AC35" s="51">
        <f>IF(AA40&gt;0,PMT(Inputs!B25/12,Inputs!B26*12,Inputs!B20,0)*12,0)</f>
        <v>-7908.678482525278</v>
      </c>
      <c r="AD35" s="42"/>
      <c r="AE35" s="51">
        <f>IF(AC40&gt;0,PMT(Inputs!B25/12,Inputs!B26*12,Inputs!B20,0)*12,0)</f>
        <v>-7908.678482525278</v>
      </c>
      <c r="AF35" s="42"/>
      <c r="AG35" s="51">
        <f>IF(AE40&gt;0,PMT(Inputs!B25/12,Inputs!B26*12,Inputs!B20,0)*12,0)</f>
        <v>-7908.678482525278</v>
      </c>
    </row>
    <row r="36" spans="1:33" ht="16.2" thickBot="1" x14ac:dyDescent="0.35">
      <c r="A36" s="42"/>
      <c r="B36" s="42"/>
      <c r="C36" s="74"/>
      <c r="D36" s="74"/>
      <c r="E36" s="74"/>
      <c r="F36" s="74"/>
      <c r="G36" s="74"/>
      <c r="H36" s="74"/>
      <c r="I36" s="74"/>
      <c r="J36" s="74"/>
      <c r="K36" s="74"/>
      <c r="L36" s="111"/>
      <c r="M36" s="51"/>
      <c r="N36" s="111"/>
      <c r="O36" s="74"/>
      <c r="P36" s="42"/>
      <c r="Q36" s="74"/>
      <c r="R36" s="42"/>
      <c r="S36" s="74"/>
      <c r="T36" s="42"/>
      <c r="U36" s="74"/>
      <c r="V36" s="42"/>
      <c r="W36" s="74"/>
      <c r="X36" s="42"/>
      <c r="Y36" s="74"/>
      <c r="Z36" s="42"/>
      <c r="AA36" s="74"/>
      <c r="AB36" s="42"/>
      <c r="AC36" s="74"/>
      <c r="AD36" s="42"/>
      <c r="AE36" s="74"/>
      <c r="AF36" s="42"/>
      <c r="AG36" s="74"/>
    </row>
    <row r="37" spans="1:33" ht="18.600000000000001" thickBot="1" x14ac:dyDescent="0.4">
      <c r="A37" s="41" t="s">
        <v>69</v>
      </c>
      <c r="B37" s="62"/>
      <c r="C37" s="75">
        <f>C33+C35</f>
        <v>6204.1815174747207</v>
      </c>
      <c r="D37" s="74"/>
      <c r="E37" s="75">
        <f>E33+E35</f>
        <v>6995.8899174747239</v>
      </c>
      <c r="F37" s="74"/>
      <c r="G37" s="75">
        <f>G33+G35</f>
        <v>7829.4307974747244</v>
      </c>
      <c r="H37" s="74"/>
      <c r="I37" s="75">
        <f>I33+I35</f>
        <v>8706.9430991547251</v>
      </c>
      <c r="J37" s="74"/>
      <c r="K37" s="75">
        <f>K33+K35</f>
        <v>9630.6729251619272</v>
      </c>
      <c r="L37" s="114"/>
      <c r="M37" s="75">
        <f>M33+M35</f>
        <v>10602.978831236751</v>
      </c>
      <c r="N37" s="114"/>
      <c r="O37" s="75">
        <f>O33+O35</f>
        <v>11626.337376627174</v>
      </c>
      <c r="P37" s="42"/>
      <c r="Q37" s="75">
        <f>Q33+Q35</f>
        <v>12703.348945255797</v>
      </c>
      <c r="R37" s="42"/>
      <c r="S37" s="75">
        <f>S33+S35</f>
        <v>13836.743850698249</v>
      </c>
      <c r="T37" s="42"/>
      <c r="U37" s="75">
        <f>U33+U35</f>
        <v>15029.388738653424</v>
      </c>
      <c r="V37" s="42"/>
      <c r="W37" s="75">
        <f>W33+W35</f>
        <v>16284.293301237331</v>
      </c>
      <c r="X37" s="42"/>
      <c r="Y37" s="75">
        <f>Y33+Y35</f>
        <v>17604.617318113851</v>
      </c>
      <c r="Z37" s="42"/>
      <c r="AA37" s="75">
        <f>AA33+AA35</f>
        <v>18993.678040189581</v>
      </c>
      <c r="AB37" s="42"/>
      <c r="AC37" s="75">
        <f>AC33+AC35</f>
        <v>20454.957932346624</v>
      </c>
      <c r="AD37" s="42"/>
      <c r="AE37" s="75">
        <f>AE33+AE35</f>
        <v>21992.11279246935</v>
      </c>
      <c r="AF37" s="42"/>
      <c r="AG37" s="75">
        <f>AG33+AG35</f>
        <v>23608.980264839403</v>
      </c>
    </row>
    <row r="38" spans="1:33" ht="15" thickTop="1" x14ac:dyDescent="0.3">
      <c r="A38" s="42"/>
      <c r="B38" s="42"/>
      <c r="C38" s="74"/>
      <c r="D38" s="74"/>
      <c r="E38" s="74"/>
      <c r="F38" s="74"/>
      <c r="G38" s="74"/>
      <c r="H38" s="74"/>
      <c r="I38" s="74"/>
      <c r="J38" s="74"/>
      <c r="K38" s="74"/>
      <c r="L38" s="111"/>
      <c r="M38" s="74"/>
      <c r="N38" s="111"/>
      <c r="O38" s="74"/>
      <c r="P38" s="42"/>
      <c r="Q38" s="74"/>
      <c r="R38" s="42"/>
      <c r="S38" s="74"/>
      <c r="T38" s="42"/>
      <c r="U38" s="74"/>
      <c r="V38" s="42"/>
      <c r="W38" s="74"/>
      <c r="X38" s="42"/>
      <c r="Y38" s="74"/>
      <c r="Z38" s="42"/>
      <c r="AA38" s="74"/>
      <c r="AB38" s="42"/>
      <c r="AC38" s="74"/>
      <c r="AD38" s="42"/>
      <c r="AE38" s="74"/>
      <c r="AF38" s="42"/>
      <c r="AG38" s="74"/>
    </row>
    <row r="39" spans="1:33" ht="15.6" x14ac:dyDescent="0.3">
      <c r="A39" s="42" t="s">
        <v>81</v>
      </c>
      <c r="B39" s="42"/>
      <c r="C39" s="51">
        <f>Inputs!B16*(1+Inputs!B40)</f>
        <v>174900</v>
      </c>
      <c r="D39" s="51"/>
      <c r="E39" s="51">
        <f>C39*(1+Inputs!$B$40)</f>
        <v>185394</v>
      </c>
      <c r="F39" s="51"/>
      <c r="G39" s="51">
        <f>E39*(1+Inputs!$B$40)</f>
        <v>196517.64</v>
      </c>
      <c r="H39" s="51"/>
      <c r="I39" s="51">
        <f>G39*(1+Inputs!$B$40)</f>
        <v>208308.69840000002</v>
      </c>
      <c r="J39" s="51"/>
      <c r="K39" s="51">
        <f>I39*(1+Inputs!$B$40)</f>
        <v>220807.22030400005</v>
      </c>
      <c r="L39" s="113"/>
      <c r="M39" s="51">
        <f>K39*(1+Inputs!$B$40)</f>
        <v>234055.65352224006</v>
      </c>
      <c r="N39" s="113"/>
      <c r="O39" s="51">
        <f>M39*(1+Inputs!$B$40)</f>
        <v>248098.99273357447</v>
      </c>
      <c r="P39" s="42"/>
      <c r="Q39" s="51">
        <f>O39*(1+Inputs!$B$40)</f>
        <v>262984.93229758897</v>
      </c>
      <c r="R39" s="42"/>
      <c r="S39" s="51">
        <f>Q39*(1+Inputs!$B$40)</f>
        <v>278764.02823544433</v>
      </c>
      <c r="T39" s="42"/>
      <c r="U39" s="51">
        <f>S39*(1+Inputs!$B$40)</f>
        <v>295489.869929571</v>
      </c>
      <c r="V39" s="42"/>
      <c r="W39" s="51">
        <f>U39*(1+Inputs!$B$40)</f>
        <v>313219.2621253453</v>
      </c>
      <c r="X39" s="42"/>
      <c r="Y39" s="51">
        <f>W39*(1+Inputs!$B$40)</f>
        <v>332012.41785286606</v>
      </c>
      <c r="Z39" s="42"/>
      <c r="AA39" s="51">
        <f>Y39*(1+Inputs!$B$40)</f>
        <v>351933.16292403801</v>
      </c>
      <c r="AB39" s="42"/>
      <c r="AC39" s="51">
        <f>AA39*(1+Inputs!$B$40)</f>
        <v>373049.1526994803</v>
      </c>
      <c r="AD39" s="42"/>
      <c r="AE39" s="51">
        <f>AC39*(1+Inputs!$B$40)</f>
        <v>395432.10186144913</v>
      </c>
      <c r="AF39" s="42"/>
      <c r="AG39" s="51">
        <f>AE39*(1+Inputs!$B$40)</f>
        <v>419158.02797313611</v>
      </c>
    </row>
    <row r="40" spans="1:33" ht="15.6" x14ac:dyDescent="0.3">
      <c r="A40" s="42" t="s">
        <v>82</v>
      </c>
      <c r="B40" s="42"/>
      <c r="C40" s="78">
        <f>Inputs!B20+CUMPRINC(Inputs!$B$25/12,Inputs!B26*12,Inputs!$B$20,1,12,0)</f>
        <v>129823.01257557487</v>
      </c>
      <c r="D40" s="51"/>
      <c r="E40" s="108">
        <f>C40+CUMPRINC(Inputs!$B$25/12,Inputs!B26*12,Inputs!$B$20,13,24,0)</f>
        <v>127548.84872557054</v>
      </c>
      <c r="F40" s="51"/>
      <c r="G40" s="78">
        <f>E40+CUMPRINC(Inputs!$B$25/12,Inputs!B26*12,Inputs!$B$20,25,36,0)</f>
        <v>125173.17068598229</v>
      </c>
      <c r="H40" s="51"/>
      <c r="I40" s="108">
        <f>G40+CUMPRINC(Inputs!$B$25/12,Inputs!B26*12,Inputs!$B$20,37,48,0)</f>
        <v>122691.44706357438</v>
      </c>
      <c r="J40" s="51"/>
      <c r="K40" s="78">
        <f>I40+CUMPRINC(Inputs!$B$25/12,Inputs!B26*12,Inputs!$B$20,49,60,0)</f>
        <v>120098.94419265298</v>
      </c>
      <c r="L40" s="113"/>
      <c r="M40" s="108">
        <f>K40+CUMPRINC(Inputs!$B$25/12,Inputs!B26*12,Inputs!$B$20,61,72,0)</f>
        <v>117390.71710602257</v>
      </c>
      <c r="N40" s="113"/>
      <c r="O40" s="78">
        <f>M40+CUMPRINC(Inputs!$B$25/12,Inputs!B26*12,Inputs!$B$20,73,84,0)</f>
        <v>114561.60010290351</v>
      </c>
      <c r="P40" s="42"/>
      <c r="Q40" s="108">
        <f>O40+CUMPRINC(Inputs!$B$25/12,Inputs!B26*12,Inputs!$B$20,85,96,0)</f>
        <v>111606.19689582023</v>
      </c>
      <c r="R40" s="42"/>
      <c r="S40" s="78">
        <f>Q40+CUMPRINC(Inputs!$B$25/12,Inputs!B26*12,Inputs!$B$20,97,108,0)</f>
        <v>108518.87031766577</v>
      </c>
      <c r="T40" s="42"/>
      <c r="U40" s="108">
        <f>S40+CUMPRINC(Inputs!$B$25/12,Inputs!B26*12,Inputs!$B$20,109,120,0)</f>
        <v>105293.7315693101</v>
      </c>
      <c r="V40" s="42"/>
      <c r="W40" s="78">
        <f>U40+CUMPRINC(Inputs!$B$25/12,Inputs!B26*12,Inputs!$B$20,121,132,0)</f>
        <v>101924.6289872428</v>
      </c>
      <c r="X40" s="42"/>
      <c r="Y40" s="108">
        <f>W40+CUMPRINC(Inputs!$B$25/12,Inputs!B26*12,Inputs!$B$20,133,144,0)</f>
        <v>98405.136309825524</v>
      </c>
      <c r="Z40" s="42"/>
      <c r="AA40" s="78">
        <f>Y40+CUMPRINC(Inputs!$B$25/12,Inputs!B26*12,Inputs!$B$20,145,156,0)</f>
        <v>94728.540419773024</v>
      </c>
      <c r="AB40" s="42"/>
      <c r="AC40" s="108">
        <f>AA40+CUMPRINC(Inputs!$B$25/12,Inputs!B26*12,Inputs!$B$20,158,169,0)</f>
        <v>90873.82594408594</v>
      </c>
      <c r="AD40" s="42"/>
      <c r="AE40" s="78">
        <f>AC40+CUMPRINC(Inputs!$B$25/12,Inputs!B26*12,Inputs!$B$20,169,180,0)</f>
        <v>86861.672259392668</v>
      </c>
      <c r="AF40" s="42"/>
      <c r="AG40" s="107">
        <v>0</v>
      </c>
    </row>
    <row r="41" spans="1:33" ht="16.2" thickBot="1" x14ac:dyDescent="0.35">
      <c r="A41" s="42" t="s">
        <v>83</v>
      </c>
      <c r="B41" s="42"/>
      <c r="C41" s="79">
        <f>C39-C40</f>
        <v>45076.987424425126</v>
      </c>
      <c r="D41" s="51"/>
      <c r="E41" s="79">
        <f>E39-E40</f>
        <v>57845.15127442946</v>
      </c>
      <c r="F41" s="51"/>
      <c r="G41" s="79">
        <f>G39-G40</f>
        <v>71344.469314017726</v>
      </c>
      <c r="H41" s="51"/>
      <c r="I41" s="79">
        <f>I39-I40</f>
        <v>85617.251336425645</v>
      </c>
      <c r="J41" s="51"/>
      <c r="K41" s="79">
        <f>K39-K40</f>
        <v>100708.27611134706</v>
      </c>
      <c r="L41" s="113"/>
      <c r="M41" s="79">
        <f>M39-M40</f>
        <v>116664.93641621749</v>
      </c>
      <c r="N41" s="113"/>
      <c r="O41" s="79">
        <f>O39-O40</f>
        <v>133537.39263067098</v>
      </c>
      <c r="P41" s="42"/>
      <c r="Q41" s="79">
        <f>Q39-Q40</f>
        <v>151378.73540176873</v>
      </c>
      <c r="R41" s="42"/>
      <c r="S41" s="79">
        <f>S39-S40</f>
        <v>170245.15791777856</v>
      </c>
      <c r="T41" s="42"/>
      <c r="U41" s="79">
        <f>U39-U40</f>
        <v>190196.1383602609</v>
      </c>
      <c r="V41" s="42"/>
      <c r="W41" s="79">
        <f>W39-W40</f>
        <v>211294.63313810248</v>
      </c>
      <c r="X41" s="42"/>
      <c r="Y41" s="79">
        <f>Y39-Y40</f>
        <v>233607.28154304053</v>
      </c>
      <c r="Z41" s="42"/>
      <c r="AA41" s="79">
        <f>AA39-AA40</f>
        <v>257204.62250426499</v>
      </c>
      <c r="AB41" s="42"/>
      <c r="AC41" s="79">
        <f>AC39-AC40</f>
        <v>282175.32675539434</v>
      </c>
      <c r="AD41" s="42"/>
      <c r="AE41" s="79">
        <f>AE39-AE40</f>
        <v>308570.42960205645</v>
      </c>
      <c r="AF41" s="42"/>
      <c r="AG41" s="79">
        <f>AG39-AG40</f>
        <v>419158.02797313611</v>
      </c>
    </row>
    <row r="42" spans="1:33" ht="18.600000000000001" thickBot="1" x14ac:dyDescent="0.4">
      <c r="A42" s="122" t="s">
        <v>84</v>
      </c>
      <c r="B42" s="42"/>
      <c r="C42" s="80">
        <f>C41+C37</f>
        <v>51281.168941899843</v>
      </c>
      <c r="D42" s="51"/>
      <c r="E42" s="80">
        <f>E41+E37</f>
        <v>64841.04119190418</v>
      </c>
      <c r="F42" s="51"/>
      <c r="G42" s="80">
        <f>G41+G37</f>
        <v>79173.900111492447</v>
      </c>
      <c r="H42" s="51"/>
      <c r="I42" s="80">
        <f>I41+I37</f>
        <v>94324.194435580372</v>
      </c>
      <c r="J42" s="51"/>
      <c r="K42" s="80">
        <f>K41+K37</f>
        <v>110338.94903650899</v>
      </c>
      <c r="L42" s="114"/>
      <c r="M42" s="80">
        <f>M41+M37</f>
        <v>127267.91524745424</v>
      </c>
      <c r="N42" s="114"/>
      <c r="O42" s="80">
        <f>O41+O37</f>
        <v>145163.73000729815</v>
      </c>
      <c r="P42" s="42"/>
      <c r="Q42" s="80">
        <f>Q41+Q37</f>
        <v>164082.08434702453</v>
      </c>
      <c r="R42" s="42"/>
      <c r="S42" s="80">
        <f>S41+S37</f>
        <v>184081.90176847682</v>
      </c>
      <c r="T42" s="42"/>
      <c r="U42" s="80">
        <f>U41+U37</f>
        <v>205225.52709891432</v>
      </c>
      <c r="V42" s="42"/>
      <c r="W42" s="80">
        <f>W41+W37</f>
        <v>227578.92643933982</v>
      </c>
      <c r="X42" s="42"/>
      <c r="Y42" s="80">
        <f>Y41+Y37</f>
        <v>251211.89886115439</v>
      </c>
      <c r="Z42" s="42"/>
      <c r="AA42" s="80">
        <f>AA41+AA37</f>
        <v>276198.3005444546</v>
      </c>
      <c r="AB42" s="42"/>
      <c r="AC42" s="80">
        <f>AC41+AC37</f>
        <v>302630.28468774096</v>
      </c>
      <c r="AD42" s="42"/>
      <c r="AE42" s="80">
        <f>AE41+AE37</f>
        <v>330562.54239452578</v>
      </c>
      <c r="AF42" s="42"/>
      <c r="AG42" s="80">
        <f>AG41+AG37</f>
        <v>442767.00823797553</v>
      </c>
    </row>
    <row r="43" spans="1:33" ht="16.2" hidden="1" thickTop="1" x14ac:dyDescent="0.3">
      <c r="A43" s="122" t="s">
        <v>89</v>
      </c>
      <c r="B43" s="42"/>
      <c r="C43" s="51">
        <f>$I$7</f>
        <v>41782</v>
      </c>
      <c r="D43" s="51"/>
      <c r="E43" s="51">
        <f>$I$7</f>
        <v>41782</v>
      </c>
      <c r="F43" s="51"/>
      <c r="G43" s="51">
        <f>$I$7</f>
        <v>41782</v>
      </c>
      <c r="H43" s="51"/>
      <c r="I43" s="51">
        <f>$I$7</f>
        <v>41782</v>
      </c>
      <c r="J43" s="51"/>
      <c r="K43" s="51">
        <f>$I$7</f>
        <v>41782</v>
      </c>
      <c r="L43" s="113"/>
      <c r="M43" s="51">
        <f>$I$7</f>
        <v>41782</v>
      </c>
      <c r="N43" s="113"/>
      <c r="O43" s="51">
        <f>$I$7</f>
        <v>41782</v>
      </c>
      <c r="P43" s="42"/>
      <c r="Q43" s="51">
        <f>$I$7</f>
        <v>41782</v>
      </c>
      <c r="R43" s="42"/>
      <c r="S43" s="51">
        <f>$I$7</f>
        <v>41782</v>
      </c>
      <c r="T43" s="42"/>
      <c r="U43" s="51">
        <f>$I$7</f>
        <v>41782</v>
      </c>
      <c r="V43" s="42"/>
      <c r="W43" s="51">
        <f>$I$7</f>
        <v>41782</v>
      </c>
      <c r="X43" s="42"/>
      <c r="Y43" s="51">
        <f>$I$7</f>
        <v>41782</v>
      </c>
      <c r="Z43" s="42"/>
      <c r="AA43" s="51">
        <f>$I$7</f>
        <v>41782</v>
      </c>
      <c r="AB43" s="42"/>
      <c r="AC43" s="51">
        <f>$I$7</f>
        <v>41782</v>
      </c>
      <c r="AD43" s="42"/>
      <c r="AE43" s="51">
        <f>$I$7</f>
        <v>41782</v>
      </c>
      <c r="AF43" s="42"/>
      <c r="AG43" s="51">
        <f>$I$7</f>
        <v>41782</v>
      </c>
    </row>
    <row r="44" spans="1:33" ht="16.2" thickTop="1" x14ac:dyDescent="0.3">
      <c r="A44" s="122" t="s">
        <v>90</v>
      </c>
      <c r="B44" s="42"/>
      <c r="C44" s="81">
        <f>(C41-C43+C37)/I7</f>
        <v>0.22735074773586345</v>
      </c>
      <c r="D44" s="51"/>
      <c r="E44" s="81">
        <f>(E41-C41+E37)/$I$7</f>
        <v>0.47302794905650897</v>
      </c>
      <c r="F44" s="51"/>
      <c r="G44" s="81">
        <f>(G41-E41+G37)/$I$7</f>
        <v>0.51047697183148222</v>
      </c>
      <c r="H44" s="51"/>
      <c r="I44" s="81">
        <f>(I41-G41+I37)/$I$7</f>
        <v>0.54999102775268405</v>
      </c>
      <c r="J44" s="51"/>
      <c r="K44" s="81">
        <f>(K41-I41+K37)/$I$7</f>
        <v>0.59168296635114026</v>
      </c>
      <c r="L44" s="115"/>
      <c r="M44" s="81">
        <f>(M41-K41+M37)/$I$7</f>
        <v>0.63567179972493371</v>
      </c>
      <c r="N44" s="115"/>
      <c r="O44" s="81">
        <f>(O41-M41+O37)/$I$7</f>
        <v>0.68208304033030165</v>
      </c>
      <c r="P44" s="42"/>
      <c r="Q44" s="81">
        <f>(Q41-O41+Q37)/$I$7</f>
        <v>0.73104905740159765</v>
      </c>
      <c r="R44" s="42"/>
      <c r="S44" s="81">
        <f>(S41-Q41+S37)/$I$7</f>
        <v>0.78270945303499306</v>
      </c>
      <c r="T44" s="42"/>
      <c r="U44" s="81">
        <f>(U41-S41+U37)/$I$7</f>
        <v>0.837211459028667</v>
      </c>
      <c r="V44" s="42"/>
      <c r="W44" s="81">
        <f>(W41-U41+W37)/$I$7</f>
        <v>0.89471035563350043</v>
      </c>
      <c r="X44" s="42"/>
      <c r="Y44" s="81">
        <f>(Y41-W41+Y37)/$I$7</f>
        <v>0.95536991343286348</v>
      </c>
      <c r="Z44" s="42"/>
      <c r="AA44" s="81">
        <f>(AA41-Y41+AA37)/$I$7</f>
        <v>1.0193628596384576</v>
      </c>
      <c r="AB44" s="42"/>
      <c r="AC44" s="81">
        <f>(AC41-AA41+AC37)/$I$7</f>
        <v>1.0872065047981423</v>
      </c>
      <c r="AD44" s="42"/>
      <c r="AE44" s="81">
        <f>(AE41-AC41+AE37)/$I$7</f>
        <v>1.1580875888930988</v>
      </c>
      <c r="AF44" s="42"/>
      <c r="AG44" s="81">
        <f>(AG41-AE41+AG37)/$I$7</f>
        <v>3.2118275486075119</v>
      </c>
    </row>
    <row r="45" spans="1:33" ht="15.6" x14ac:dyDescent="0.3">
      <c r="A45" s="42"/>
      <c r="B45" s="42"/>
      <c r="C45" s="77"/>
      <c r="D45" s="51"/>
      <c r="E45" s="77"/>
      <c r="F45" s="51"/>
      <c r="G45" s="77"/>
      <c r="H45" s="51"/>
      <c r="I45" s="77"/>
      <c r="J45" s="51"/>
      <c r="K45" s="77"/>
      <c r="L45" s="116"/>
      <c r="M45" s="77"/>
      <c r="N45" s="116"/>
      <c r="O45" s="77"/>
      <c r="P45" s="42"/>
      <c r="Q45" s="77"/>
      <c r="R45" s="42"/>
      <c r="S45" s="77"/>
      <c r="T45" s="42"/>
      <c r="U45" s="77"/>
      <c r="V45" s="42"/>
      <c r="W45" s="77"/>
      <c r="X45" s="42"/>
      <c r="Y45" s="77"/>
      <c r="Z45" s="42"/>
      <c r="AA45" s="77"/>
      <c r="AB45" s="42"/>
      <c r="AC45" s="77"/>
      <c r="AD45" s="42"/>
      <c r="AE45" s="77"/>
      <c r="AF45" s="42"/>
      <c r="AG45" s="77"/>
    </row>
    <row r="46" spans="1:33" ht="16.2" thickBot="1" x14ac:dyDescent="0.35">
      <c r="A46" s="122" t="s">
        <v>110</v>
      </c>
      <c r="B46" s="42"/>
      <c r="C46" s="85">
        <f>C37</f>
        <v>6204.1815174747207</v>
      </c>
      <c r="D46" s="82"/>
      <c r="E46" s="85">
        <f>E37+C46</f>
        <v>13200.071434949445</v>
      </c>
      <c r="F46" s="82"/>
      <c r="G46" s="85">
        <f>G37+E46</f>
        <v>21029.502232424169</v>
      </c>
      <c r="H46" s="82"/>
      <c r="I46" s="85">
        <f>I37+G46</f>
        <v>29736.445331578892</v>
      </c>
      <c r="J46" s="82"/>
      <c r="K46" s="85">
        <f>K37+I46</f>
        <v>39367.118256740818</v>
      </c>
      <c r="L46" s="117"/>
      <c r="M46" s="85">
        <f>M37+K46</f>
        <v>49970.09708797757</v>
      </c>
      <c r="N46" s="117"/>
      <c r="O46" s="85">
        <f>O37+M46</f>
        <v>61596.434464604747</v>
      </c>
      <c r="P46" s="42"/>
      <c r="Q46" s="85">
        <f>Q37+O46</f>
        <v>74299.783409860538</v>
      </c>
      <c r="R46" s="42"/>
      <c r="S46" s="85">
        <f>S37+Q46</f>
        <v>88136.527260558782</v>
      </c>
      <c r="T46" s="42"/>
      <c r="U46" s="85">
        <f>U37+S46</f>
        <v>103165.9159992122</v>
      </c>
      <c r="V46" s="42"/>
      <c r="W46" s="85">
        <f>W37+U46</f>
        <v>119450.20930044953</v>
      </c>
      <c r="X46" s="42"/>
      <c r="Y46" s="85">
        <f>Y37+W46</f>
        <v>137054.82661856338</v>
      </c>
      <c r="Z46" s="42"/>
      <c r="AA46" s="85">
        <f>AA37+Y46</f>
        <v>156048.50465875297</v>
      </c>
      <c r="AB46" s="42"/>
      <c r="AC46" s="85">
        <f>AC37+AA46</f>
        <v>176503.46259109958</v>
      </c>
      <c r="AD46" s="42"/>
      <c r="AE46" s="85">
        <f>AE37+AC46</f>
        <v>198495.57538356894</v>
      </c>
      <c r="AF46" s="42"/>
      <c r="AG46" s="85">
        <f>AG37+AE46</f>
        <v>222104.55564840834</v>
      </c>
    </row>
    <row r="47" spans="1:33" ht="16.2" thickTop="1" x14ac:dyDescent="0.3">
      <c r="A47" s="122" t="s">
        <v>92</v>
      </c>
      <c r="B47" s="42"/>
      <c r="C47" s="83">
        <f>C46/$I$7</f>
        <v>0.14848933793199753</v>
      </c>
      <c r="D47" s="84"/>
      <c r="E47" s="83">
        <f>E46/$I$7</f>
        <v>0.31592722787203686</v>
      </c>
      <c r="F47" s="84"/>
      <c r="G47" s="83">
        <f>G46/$I$7</f>
        <v>0.50331487799588748</v>
      </c>
      <c r="H47" s="84"/>
      <c r="I47" s="83">
        <f>I46/$I$7</f>
        <v>0.71170468937769593</v>
      </c>
      <c r="J47" s="84"/>
      <c r="K47" s="83">
        <f>K46/$I$7</f>
        <v>0.94220282075393269</v>
      </c>
      <c r="L47" s="118"/>
      <c r="M47" s="83">
        <f>M46/$I$7</f>
        <v>1.1959718799477663</v>
      </c>
      <c r="N47" s="118"/>
      <c r="O47" s="83">
        <f>O46/$I$7</f>
        <v>1.4742337481356744</v>
      </c>
      <c r="P47" s="42"/>
      <c r="Q47" s="83">
        <f>Q46/$I$7</f>
        <v>1.7782725434364208</v>
      </c>
      <c r="R47" s="42"/>
      <c r="S47" s="83">
        <f>S46/$I$7</f>
        <v>2.1094377306150682</v>
      </c>
      <c r="T47" s="42"/>
      <c r="U47" s="83">
        <f>U46/$I$7</f>
        <v>2.4691473840221194</v>
      </c>
      <c r="V47" s="42"/>
      <c r="W47" s="83">
        <f>W46/$I$7</f>
        <v>2.8588916112309013</v>
      </c>
      <c r="X47" s="42"/>
      <c r="Y47" s="83">
        <f>Y46/$I$7</f>
        <v>3.2802361451956199</v>
      </c>
      <c r="Z47" s="42"/>
      <c r="AA47" s="83">
        <f>AA46/$I$7</f>
        <v>3.7348261131289302</v>
      </c>
      <c r="AB47" s="42"/>
      <c r="AC47" s="83">
        <f>AC46/$I$7</f>
        <v>4.2243899906921545</v>
      </c>
      <c r="AD47" s="42"/>
      <c r="AE47" s="83">
        <f>AE46/$I$7</f>
        <v>4.7507437505042587</v>
      </c>
      <c r="AF47" s="42"/>
      <c r="AG47" s="83">
        <f>AG46/$I$7</f>
        <v>5.3157952144083183</v>
      </c>
    </row>
    <row r="48" spans="1:33" ht="15.6" x14ac:dyDescent="0.3">
      <c r="A48" s="42"/>
      <c r="B48" s="42"/>
      <c r="C48" s="83"/>
      <c r="D48" s="84"/>
      <c r="E48" s="83"/>
      <c r="F48" s="84"/>
      <c r="G48" s="83"/>
      <c r="H48" s="84"/>
      <c r="I48" s="83"/>
      <c r="J48" s="84"/>
      <c r="K48" s="83"/>
      <c r="L48" s="118"/>
      <c r="M48" s="83"/>
      <c r="N48" s="118"/>
      <c r="O48" s="83"/>
      <c r="P48" s="42"/>
      <c r="Q48" s="83"/>
      <c r="R48" s="42"/>
      <c r="S48" s="83"/>
      <c r="T48" s="42"/>
      <c r="U48" s="83"/>
      <c r="V48" s="42"/>
      <c r="W48" s="83"/>
      <c r="X48" s="42"/>
      <c r="Y48" s="83"/>
      <c r="Z48" s="42"/>
      <c r="AA48" s="83"/>
      <c r="AB48" s="42"/>
      <c r="AC48" s="83"/>
      <c r="AD48" s="42"/>
      <c r="AE48" s="83"/>
      <c r="AF48" s="42"/>
      <c r="AG48" s="83"/>
    </row>
    <row r="49" spans="1:33" ht="16.2" thickBot="1" x14ac:dyDescent="0.35">
      <c r="A49" s="122" t="s">
        <v>111</v>
      </c>
      <c r="B49" s="42"/>
      <c r="C49" s="85">
        <f>C41-C43+C37</f>
        <v>9499.1689418998467</v>
      </c>
      <c r="D49" s="84"/>
      <c r="E49" s="85">
        <f>E41-E43+E37+C37</f>
        <v>29263.222709378904</v>
      </c>
      <c r="F49" s="82"/>
      <c r="G49" s="85">
        <f>G41-G43+G37+E37+C37</f>
        <v>50591.971546441884</v>
      </c>
      <c r="H49" s="82"/>
      <c r="I49" s="85">
        <f>I41-I43+I37+G37+E37+C37</f>
        <v>73571.69666800453</v>
      </c>
      <c r="J49" s="82"/>
      <c r="K49" s="85">
        <f>K41-K43+K37+I37+G37+E37+C37</f>
        <v>98293.394368087873</v>
      </c>
      <c r="L49" s="117"/>
      <c r="M49" s="85">
        <f>M41-M43+M37+K37+I37+G37+E37</f>
        <v>118648.85198672033</v>
      </c>
      <c r="N49" s="117"/>
      <c r="O49" s="85">
        <f>O41-O43+O37+M37+K37+I37+G37</f>
        <v>140151.75566032625</v>
      </c>
      <c r="P49" s="42"/>
      <c r="Q49" s="85">
        <f>Q41-Q43+Q37+O37+M37+K37+I37</f>
        <v>162867.01657920508</v>
      </c>
      <c r="R49" s="42"/>
      <c r="S49" s="85">
        <f>S41-S43+S37+Q37+O37+M37+K37</f>
        <v>186863.23984675846</v>
      </c>
      <c r="T49" s="42"/>
      <c r="U49" s="85">
        <f>U41-U43+U37+S37+Q37+O37+M37</f>
        <v>212212.93610273229</v>
      </c>
      <c r="V49" s="42"/>
      <c r="W49" s="85">
        <f>W41-W43+W37+U37+S37+Q37+O37</f>
        <v>238992.74535057446</v>
      </c>
      <c r="X49" s="42"/>
      <c r="Y49" s="85">
        <f>Y41-Y43+Y37+W37+U37+S37+Q37</f>
        <v>267283.67369699921</v>
      </c>
      <c r="Z49" s="42"/>
      <c r="AA49" s="85">
        <f>AA41-AA43+AA37+Y37+W37+U37+S37</f>
        <v>297171.34375315742</v>
      </c>
      <c r="AB49" s="42"/>
      <c r="AC49" s="85">
        <f>AC41-AC43+AC37+AA37+Y37+W37+U37</f>
        <v>328760.26208593516</v>
      </c>
      <c r="AD49" s="42"/>
      <c r="AE49" s="85">
        <f>AE41-AE43+AE37+AC37+AA37+Y37+W37</f>
        <v>362118.0889864132</v>
      </c>
      <c r="AF49" s="42"/>
      <c r="AG49" s="85">
        <f>AG41-AG43+AG37+AE37+AC37+AA37+Y37</f>
        <v>480030.37432109489</v>
      </c>
    </row>
    <row r="50" spans="1:33" ht="16.2" thickTop="1" x14ac:dyDescent="0.3">
      <c r="A50" s="122" t="s">
        <v>91</v>
      </c>
      <c r="B50" s="42"/>
      <c r="C50" s="83">
        <f>C49/$I$7</f>
        <v>0.22735074773586345</v>
      </c>
      <c r="D50" s="84"/>
      <c r="E50" s="83">
        <f>E49/$I$7</f>
        <v>0.70037869679237241</v>
      </c>
      <c r="F50" s="84"/>
      <c r="G50" s="83">
        <f>G49/$I$7</f>
        <v>1.2108556686238543</v>
      </c>
      <c r="H50" s="84"/>
      <c r="I50" s="83">
        <f>I49/$I$7</f>
        <v>1.7608466963765386</v>
      </c>
      <c r="J50" s="84"/>
      <c r="K50" s="83">
        <f>K49/$I$7</f>
        <v>2.3525296627276786</v>
      </c>
      <c r="L50" s="118"/>
      <c r="M50" s="83">
        <f>M49/$I$7</f>
        <v>2.8397121245206147</v>
      </c>
      <c r="N50" s="118"/>
      <c r="O50" s="83">
        <f>O49/$I$7</f>
        <v>3.3543572749108765</v>
      </c>
      <c r="P50" s="42"/>
      <c r="Q50" s="83">
        <f>Q49/$I$7</f>
        <v>3.8980186821886238</v>
      </c>
      <c r="R50" s="42"/>
      <c r="S50" s="83">
        <f>S49/$I$7</f>
        <v>4.4723383238418091</v>
      </c>
      <c r="T50" s="42"/>
      <c r="U50" s="83">
        <f>U49/$I$7</f>
        <v>5.0790516514942388</v>
      </c>
      <c r="V50" s="42"/>
      <c r="W50" s="83">
        <f>W49/$I$7</f>
        <v>5.719992947933906</v>
      </c>
      <c r="X50" s="42"/>
      <c r="Y50" s="83">
        <f>Y49/$I$7</f>
        <v>6.3971009931788618</v>
      </c>
      <c r="Z50" s="42"/>
      <c r="AA50" s="83">
        <f>AA49/$I$7</f>
        <v>7.1124250575165719</v>
      </c>
      <c r="AB50" s="42"/>
      <c r="AC50" s="83">
        <f>AC49/$I$7</f>
        <v>7.8684663751360668</v>
      </c>
      <c r="AD50" s="42"/>
      <c r="AE50" s="83">
        <f>AE49/$I$7</f>
        <v>8.666844310622114</v>
      </c>
      <c r="AF50" s="42"/>
      <c r="AG50" s="83">
        <f>AG49/$I$7</f>
        <v>11.488927632020843</v>
      </c>
    </row>
    <row r="51" spans="1:33" x14ac:dyDescent="0.3">
      <c r="A51" s="42"/>
      <c r="B51" s="42"/>
      <c r="C51" s="76"/>
      <c r="D51" s="74"/>
      <c r="E51" s="76"/>
      <c r="F51" s="74"/>
      <c r="G51" s="76"/>
      <c r="H51" s="74"/>
      <c r="I51" s="76"/>
      <c r="J51" s="74"/>
      <c r="K51" s="76"/>
      <c r="L51" s="119"/>
      <c r="M51" s="76"/>
      <c r="N51" s="119"/>
      <c r="O51" s="76"/>
      <c r="P51" s="42"/>
      <c r="Q51" s="76"/>
      <c r="R51" s="42"/>
      <c r="S51" s="76"/>
      <c r="T51" s="42"/>
      <c r="U51" s="76"/>
      <c r="V51" s="42"/>
      <c r="W51" s="76"/>
      <c r="X51" s="42"/>
      <c r="Y51" s="76"/>
      <c r="Z51" s="42"/>
      <c r="AA51" s="76"/>
      <c r="AB51" s="42"/>
      <c r="AC51" s="76"/>
      <c r="AD51" s="42"/>
      <c r="AE51" s="76"/>
      <c r="AF51" s="42"/>
      <c r="AG51" s="76"/>
    </row>
    <row r="52" spans="1:33" ht="15.75" customHeight="1" x14ac:dyDescent="0.3">
      <c r="A52" s="42"/>
      <c r="B52" s="42"/>
      <c r="C52" s="109"/>
      <c r="D52" s="71"/>
      <c r="E52" s="109"/>
      <c r="F52" s="42"/>
      <c r="G52" s="109"/>
      <c r="H52" s="42"/>
      <c r="I52" s="109"/>
      <c r="J52" s="42"/>
      <c r="K52" s="109"/>
      <c r="L52" s="110"/>
      <c r="M52" s="42"/>
      <c r="N52" s="110"/>
      <c r="O52" s="42"/>
      <c r="P52" s="42"/>
      <c r="Q52" s="42"/>
      <c r="R52" s="42"/>
      <c r="S52" s="42"/>
      <c r="T52" s="42"/>
      <c r="U52" s="42"/>
      <c r="V52" s="42"/>
      <c r="W52" s="42"/>
      <c r="X52" s="42"/>
      <c r="Y52" s="42"/>
      <c r="Z52" s="42"/>
      <c r="AA52" s="42"/>
      <c r="AB52" s="42"/>
      <c r="AC52" s="42"/>
      <c r="AD52" s="42"/>
      <c r="AE52" s="42"/>
      <c r="AF52" s="42"/>
      <c r="AG52" s="42"/>
    </row>
    <row r="53" spans="1:33" ht="19.5" customHeight="1" x14ac:dyDescent="0.3">
      <c r="A53" s="155" t="str">
        <f>Inputs!A68</f>
        <v xml:space="preserve">This sheet is for informational purposes only.  This is not a commitment, approval or guarantee to lend.  The figures included in this worksheet are entirely dependent on the information that you input.  These figures and calculations are considered accurate, but not guaranteed.  Joe Massey and Castle &amp; Cooke Mortgage do not represent, warrant or guarantee these numbers.  Matt Pillmore and VIP Financial Education do not represent, warrant or guarantee these numbers.  All information is for preliminary analysis and calculations only.  Please contact your tax advisor, CPA, financial planner, attorney, insurance agent, real estate agent or other properly licensed professional for additional information as needed.  </v>
      </c>
      <c r="B53" s="155"/>
      <c r="C53" s="155"/>
      <c r="D53" s="155"/>
      <c r="E53" s="155"/>
      <c r="F53" s="155"/>
      <c r="G53" s="155"/>
      <c r="H53" s="155"/>
      <c r="I53" s="155"/>
      <c r="J53" s="155"/>
      <c r="K53" s="155"/>
      <c r="L53" s="120"/>
      <c r="M53" s="42"/>
      <c r="N53" s="110"/>
      <c r="O53" s="42"/>
      <c r="P53" s="42"/>
      <c r="Q53" s="42"/>
      <c r="R53" s="42"/>
      <c r="S53" s="42"/>
      <c r="T53" s="42"/>
      <c r="U53" s="42"/>
      <c r="V53" s="42"/>
      <c r="W53" s="42"/>
      <c r="X53" s="42"/>
      <c r="Y53" s="42"/>
      <c r="Z53" s="42"/>
      <c r="AA53" s="42"/>
      <c r="AB53" s="42"/>
      <c r="AC53" s="42"/>
      <c r="AD53" s="42"/>
      <c r="AE53" s="42"/>
      <c r="AF53" s="42"/>
      <c r="AG53" s="42"/>
    </row>
    <row r="54" spans="1:33" x14ac:dyDescent="0.3">
      <c r="A54" s="155"/>
      <c r="B54" s="155"/>
      <c r="C54" s="155"/>
      <c r="D54" s="155"/>
      <c r="E54" s="155"/>
      <c r="F54" s="155"/>
      <c r="G54" s="155"/>
      <c r="H54" s="155"/>
      <c r="I54" s="155"/>
      <c r="J54" s="155"/>
      <c r="K54" s="155"/>
      <c r="L54" s="120"/>
      <c r="M54" s="42"/>
      <c r="N54" s="110"/>
      <c r="O54" s="42"/>
      <c r="P54" s="42"/>
      <c r="Q54" s="42"/>
      <c r="R54" s="42"/>
      <c r="S54" s="42"/>
      <c r="T54" s="42"/>
      <c r="U54" s="42"/>
      <c r="V54" s="42"/>
      <c r="W54" s="42"/>
      <c r="X54" s="42"/>
      <c r="Y54" s="42"/>
      <c r="Z54" s="42"/>
      <c r="AA54" s="42"/>
      <c r="AB54" s="42"/>
      <c r="AC54" s="42"/>
      <c r="AD54" s="42"/>
      <c r="AE54" s="42"/>
      <c r="AF54" s="42"/>
      <c r="AG54" s="42"/>
    </row>
    <row r="55" spans="1:33" x14ac:dyDescent="0.3">
      <c r="A55" s="155"/>
      <c r="B55" s="155"/>
      <c r="C55" s="155"/>
      <c r="D55" s="155"/>
      <c r="E55" s="155"/>
      <c r="F55" s="155"/>
      <c r="G55" s="155"/>
      <c r="H55" s="155"/>
      <c r="I55" s="155"/>
      <c r="J55" s="155"/>
      <c r="K55" s="155"/>
      <c r="L55" s="120"/>
      <c r="M55" s="42"/>
      <c r="N55" s="110"/>
      <c r="O55" s="42"/>
      <c r="P55" s="42"/>
      <c r="Q55" s="42"/>
      <c r="R55" s="42"/>
      <c r="S55" s="42"/>
      <c r="T55" s="42"/>
      <c r="U55" s="42"/>
      <c r="V55" s="42"/>
      <c r="W55" s="42"/>
      <c r="X55" s="42"/>
      <c r="Y55" s="42"/>
      <c r="Z55" s="42"/>
      <c r="AA55" s="42"/>
      <c r="AB55" s="42"/>
      <c r="AC55" s="42"/>
      <c r="AD55" s="42"/>
      <c r="AE55" s="42"/>
      <c r="AF55" s="42"/>
      <c r="AG55" s="42"/>
    </row>
    <row r="56" spans="1:33" x14ac:dyDescent="0.3">
      <c r="A56" s="87"/>
      <c r="B56" s="127">
        <f>-I7</f>
        <v>-41782</v>
      </c>
      <c r="C56" s="128">
        <f>C37*0.7</f>
        <v>4342.9270622323038</v>
      </c>
      <c r="D56" s="129"/>
      <c r="E56" s="128">
        <f>E37*0.7</f>
        <v>4897.1229422323067</v>
      </c>
      <c r="F56" s="130"/>
      <c r="G56" s="128">
        <f>G37*0.7</f>
        <v>5480.6015582323071</v>
      </c>
      <c r="H56" s="130"/>
      <c r="I56" s="128">
        <f>I37*0.7</f>
        <v>6094.8601694083072</v>
      </c>
      <c r="J56" s="130"/>
      <c r="K56" s="128">
        <f>K57+K62</f>
        <v>82363.229620667291</v>
      </c>
      <c r="L56" s="131"/>
      <c r="M56" s="132">
        <f>IRR(B56:K56)</f>
        <v>0.22894784785464584</v>
      </c>
      <c r="N56" s="131" t="s">
        <v>119</v>
      </c>
    </row>
    <row r="57" spans="1:33" x14ac:dyDescent="0.3">
      <c r="B57" s="130"/>
      <c r="C57" s="130"/>
      <c r="D57" s="130"/>
      <c r="E57" s="130"/>
      <c r="F57" s="130"/>
      <c r="G57" s="130"/>
      <c r="H57" s="130"/>
      <c r="I57" s="130"/>
      <c r="J57" s="130"/>
      <c r="K57" s="128">
        <f>K37*0.7</f>
        <v>6741.4710476133487</v>
      </c>
      <c r="L57" s="131"/>
      <c r="M57" s="130"/>
      <c r="N57" s="131"/>
    </row>
    <row r="58" spans="1:33" x14ac:dyDescent="0.3">
      <c r="B58" s="130"/>
      <c r="C58" s="130"/>
      <c r="D58" s="130"/>
      <c r="E58" s="130"/>
      <c r="F58" s="130"/>
      <c r="G58" s="130"/>
      <c r="H58" s="130"/>
      <c r="I58" s="130"/>
      <c r="J58" s="130"/>
      <c r="K58" s="133">
        <f>K39*0.93</f>
        <v>205350.71488272006</v>
      </c>
      <c r="L58" s="131" t="s">
        <v>113</v>
      </c>
      <c r="M58" s="130"/>
      <c r="N58" s="131"/>
    </row>
    <row r="59" spans="1:33" x14ac:dyDescent="0.3">
      <c r="B59" s="130"/>
      <c r="C59" s="130"/>
      <c r="D59" s="130"/>
      <c r="E59" s="130"/>
      <c r="F59" s="130"/>
      <c r="G59" s="130"/>
      <c r="H59" s="130"/>
      <c r="I59" s="130"/>
      <c r="J59" s="130"/>
      <c r="K59" s="133">
        <f>K58-K40</f>
        <v>85251.770690067075</v>
      </c>
      <c r="L59" s="131" t="s">
        <v>114</v>
      </c>
      <c r="M59" s="130"/>
      <c r="N59" s="131"/>
    </row>
    <row r="60" spans="1:33" x14ac:dyDescent="0.3">
      <c r="B60" s="130"/>
      <c r="C60" s="130"/>
      <c r="D60" s="130"/>
      <c r="E60" s="130"/>
      <c r="F60" s="130"/>
      <c r="G60" s="130"/>
      <c r="H60" s="130"/>
      <c r="I60" s="130"/>
      <c r="J60" s="130"/>
      <c r="K60" s="133">
        <f>K58-I2+I5+I6</f>
        <v>49132.714882720058</v>
      </c>
      <c r="L60" s="131" t="s">
        <v>115</v>
      </c>
      <c r="M60" s="130"/>
      <c r="N60" s="131"/>
    </row>
    <row r="61" spans="1:33" x14ac:dyDescent="0.3">
      <c r="B61" s="130"/>
      <c r="C61" s="130"/>
      <c r="D61" s="130"/>
      <c r="E61" s="130"/>
      <c r="F61" s="130"/>
      <c r="G61" s="130"/>
      <c r="H61" s="130"/>
      <c r="I61" s="130"/>
      <c r="J61" s="130"/>
      <c r="K61" s="133">
        <f>K60*0.196</f>
        <v>9630.0121170131315</v>
      </c>
      <c r="L61" s="131" t="s">
        <v>116</v>
      </c>
      <c r="M61" s="130"/>
      <c r="N61" s="131"/>
    </row>
    <row r="62" spans="1:33" x14ac:dyDescent="0.3">
      <c r="B62" s="130"/>
      <c r="C62" s="130"/>
      <c r="D62" s="130"/>
      <c r="E62" s="130"/>
      <c r="F62" s="130"/>
      <c r="G62" s="130"/>
      <c r="H62" s="130"/>
      <c r="I62" s="130"/>
      <c r="J62" s="130"/>
      <c r="K62" s="133">
        <f>K59-K61</f>
        <v>75621.758573053943</v>
      </c>
      <c r="L62" s="131" t="s">
        <v>117</v>
      </c>
      <c r="M62" s="130"/>
      <c r="N62" s="131"/>
    </row>
    <row r="65" spans="2:9" x14ac:dyDescent="0.3">
      <c r="B65" s="125"/>
      <c r="C65" s="126"/>
      <c r="D65" s="126"/>
      <c r="E65" s="126"/>
      <c r="F65" s="126"/>
      <c r="G65" s="126"/>
      <c r="I65" s="124"/>
    </row>
  </sheetData>
  <sheetProtection algorithmName="SHA-512" hashValue="16DS0RB24R2sWclJh4SCnCEzh/wDEadM0xhgEu0RitMaAJYenA0eEb3GorfTE02bxkVlXwK4pe9OVOYFm5zF4A==" saltValue="uKH8EsfnbBCM2IfUmSW4Nw==" spinCount="100000" sheet="1" objects="1" scenarios="1" selectLockedCells="1" selectUnlockedCells="1"/>
  <mergeCells count="1">
    <mergeCell ref="A53:K55"/>
  </mergeCells>
  <pageMargins left="0.7" right="0.7" top="0.75" bottom="0.75" header="0.3" footer="0.3"/>
  <pageSetup scale="67" orientation="portrait" r:id="rId1"/>
  <ignoredErrors>
    <ignoredError sqref="M46" evalError="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6"/>
  <sheetViews>
    <sheetView zoomScaleNormal="100" workbookViewId="0"/>
  </sheetViews>
  <sheetFormatPr defaultColWidth="9.109375" defaultRowHeight="14.4" x14ac:dyDescent="0.3"/>
  <cols>
    <col min="1" max="1" width="18" style="86" customWidth="1"/>
    <col min="2" max="2" width="19.88671875" style="86" customWidth="1"/>
    <col min="3" max="3" width="16.109375" style="86" customWidth="1"/>
    <col min="4" max="4" width="6" style="86" customWidth="1"/>
    <col min="5" max="5" width="12.88671875" style="86" customWidth="1"/>
    <col min="6" max="6" width="6" style="86" customWidth="1"/>
    <col min="7" max="7" width="13.44140625" style="86" customWidth="1"/>
    <col min="8" max="8" width="6" style="86" customWidth="1"/>
    <col min="9" max="9" width="13.6640625" style="86" customWidth="1"/>
    <col min="10" max="10" width="6" style="86" customWidth="1"/>
    <col min="11" max="11" width="15.6640625" style="86" customWidth="1"/>
    <col min="12" max="12" width="6" style="121" customWidth="1"/>
    <col min="13" max="13" width="15.6640625" style="86" customWidth="1"/>
    <col min="14" max="14" width="6" style="121" customWidth="1"/>
    <col min="15" max="15" width="15.6640625" style="86" customWidth="1"/>
    <col min="16" max="16" width="6" style="86" customWidth="1"/>
    <col min="17" max="17" width="15.6640625" style="86" customWidth="1"/>
    <col min="18" max="18" width="6" style="86" customWidth="1"/>
    <col min="19" max="19" width="15.6640625" style="86" customWidth="1"/>
    <col min="20" max="20" width="6" style="86" customWidth="1"/>
    <col min="21" max="21" width="15.6640625" style="86" customWidth="1"/>
    <col min="22" max="22" width="6" style="86" customWidth="1"/>
    <col min="23" max="23" width="15.6640625" style="86" customWidth="1"/>
    <col min="24" max="24" width="6" style="86" customWidth="1"/>
    <col min="25" max="25" width="15.6640625" style="86" customWidth="1"/>
    <col min="26" max="26" width="6" style="86" customWidth="1"/>
    <col min="27" max="27" width="15.6640625" style="86" customWidth="1"/>
    <col min="28" max="28" width="6" style="86" customWidth="1"/>
    <col min="29" max="29" width="15.6640625" style="86" customWidth="1"/>
    <col min="30" max="30" width="6" style="86" customWidth="1"/>
    <col min="31" max="31" width="15.6640625" style="86" customWidth="1"/>
    <col min="32" max="32" width="6" style="86" customWidth="1"/>
    <col min="33" max="33" width="15.6640625" style="86" customWidth="1"/>
    <col min="34" max="16384" width="9.109375" style="86"/>
  </cols>
  <sheetData>
    <row r="1" spans="1:33" ht="18" x14ac:dyDescent="0.35">
      <c r="A1" s="41" t="s">
        <v>42</v>
      </c>
      <c r="B1" s="42"/>
      <c r="C1" s="41" t="str">
        <f>Inputs!B11</f>
        <v>123 Main St</v>
      </c>
      <c r="D1" s="42"/>
      <c r="E1" s="41" t="s">
        <v>44</v>
      </c>
      <c r="F1" s="42"/>
      <c r="G1" s="42"/>
      <c r="H1" s="42"/>
      <c r="I1" s="42"/>
      <c r="J1" s="42"/>
      <c r="K1" s="42"/>
      <c r="L1" s="110"/>
      <c r="M1" s="42"/>
      <c r="N1" s="110"/>
      <c r="O1" s="42"/>
      <c r="P1" s="42"/>
      <c r="Q1" s="42"/>
      <c r="R1" s="42"/>
      <c r="S1" s="42"/>
      <c r="T1" s="42"/>
      <c r="U1" s="42"/>
      <c r="V1" s="42"/>
      <c r="W1" s="42"/>
      <c r="X1" s="42"/>
      <c r="Y1" s="42"/>
      <c r="Z1" s="42"/>
      <c r="AA1" s="42"/>
      <c r="AB1" s="42"/>
      <c r="AC1" s="42"/>
      <c r="AD1" s="42"/>
      <c r="AE1" s="42"/>
      <c r="AF1" s="42"/>
      <c r="AG1" s="42"/>
    </row>
    <row r="2" spans="1:33" ht="15.6" x14ac:dyDescent="0.3">
      <c r="A2" s="42"/>
      <c r="B2" s="42"/>
      <c r="C2" s="42"/>
      <c r="D2" s="42"/>
      <c r="E2" s="46" t="s">
        <v>3</v>
      </c>
      <c r="F2" s="42"/>
      <c r="G2" s="46"/>
      <c r="H2" s="42"/>
      <c r="I2" s="47">
        <f>Inputs!B16</f>
        <v>165000</v>
      </c>
      <c r="J2" s="42"/>
      <c r="K2" s="42"/>
      <c r="L2" s="110"/>
      <c r="M2" s="42"/>
      <c r="N2" s="110"/>
      <c r="O2" s="42"/>
      <c r="P2" s="42"/>
      <c r="Q2" s="42"/>
      <c r="R2" s="42"/>
      <c r="S2" s="42"/>
      <c r="T2" s="42"/>
      <c r="U2" s="42"/>
      <c r="V2" s="42"/>
      <c r="W2" s="42"/>
      <c r="X2" s="42"/>
      <c r="Y2" s="42"/>
      <c r="Z2" s="42"/>
      <c r="AA2" s="42"/>
      <c r="AB2" s="42"/>
      <c r="AC2" s="42"/>
      <c r="AD2" s="42"/>
      <c r="AE2" s="42"/>
      <c r="AF2" s="42"/>
      <c r="AG2" s="42"/>
    </row>
    <row r="3" spans="1:33" ht="16.2" thickBot="1" x14ac:dyDescent="0.35">
      <c r="A3" s="44" t="s">
        <v>43</v>
      </c>
      <c r="B3" s="42"/>
      <c r="C3" s="45">
        <f>Inputs!B12</f>
        <v>1</v>
      </c>
      <c r="D3" s="42"/>
      <c r="E3" s="46" t="s">
        <v>45</v>
      </c>
      <c r="F3" s="42"/>
      <c r="G3" s="46"/>
      <c r="H3" s="42"/>
      <c r="I3" s="48">
        <f>Inputs!B20</f>
        <v>132000</v>
      </c>
      <c r="J3" s="42"/>
      <c r="K3" s="42"/>
      <c r="L3" s="110"/>
      <c r="M3" s="42"/>
      <c r="N3" s="110"/>
      <c r="O3" s="42"/>
      <c r="P3" s="42"/>
      <c r="Q3" s="42"/>
      <c r="R3" s="42"/>
      <c r="S3" s="42"/>
      <c r="T3" s="42"/>
      <c r="U3" s="42"/>
      <c r="V3" s="42"/>
      <c r="W3" s="42"/>
      <c r="X3" s="42"/>
      <c r="Y3" s="42"/>
      <c r="Z3" s="42"/>
      <c r="AA3" s="42"/>
      <c r="AB3" s="42"/>
      <c r="AC3" s="42"/>
      <c r="AD3" s="42"/>
      <c r="AE3" s="42"/>
      <c r="AF3" s="42"/>
      <c r="AG3" s="42"/>
    </row>
    <row r="4" spans="1:33" ht="15.6" x14ac:dyDescent="0.3">
      <c r="A4" s="42"/>
      <c r="B4" s="42"/>
      <c r="C4" s="42"/>
      <c r="D4" s="42"/>
      <c r="E4" s="46" t="s">
        <v>46</v>
      </c>
      <c r="F4" s="42"/>
      <c r="G4" s="46"/>
      <c r="H4" s="42"/>
      <c r="I4" s="47">
        <f>Inputs!B19</f>
        <v>33000</v>
      </c>
      <c r="J4" s="42"/>
      <c r="K4" s="42"/>
      <c r="L4" s="110"/>
      <c r="M4" s="42"/>
      <c r="N4" s="110"/>
      <c r="O4" s="42"/>
      <c r="P4" s="42"/>
      <c r="Q4" s="42"/>
      <c r="R4" s="42"/>
      <c r="S4" s="42"/>
      <c r="T4" s="42"/>
      <c r="U4" s="42"/>
      <c r="V4" s="42"/>
      <c r="W4" s="42"/>
      <c r="X4" s="42"/>
      <c r="Y4" s="42"/>
      <c r="Z4" s="42"/>
      <c r="AA4" s="42"/>
      <c r="AB4" s="42"/>
      <c r="AC4" s="42"/>
      <c r="AD4" s="42"/>
      <c r="AE4" s="42"/>
      <c r="AF4" s="42"/>
      <c r="AG4" s="42"/>
    </row>
    <row r="5" spans="1:33" ht="15.6" x14ac:dyDescent="0.3">
      <c r="A5" s="42"/>
      <c r="B5" s="42"/>
      <c r="C5" s="42"/>
      <c r="D5" s="42"/>
      <c r="E5" s="46" t="s">
        <v>79</v>
      </c>
      <c r="F5" s="42"/>
      <c r="G5" s="46"/>
      <c r="H5" s="42"/>
      <c r="I5" s="47">
        <f>Inputs!B17+Inputs!B18</f>
        <v>3782</v>
      </c>
      <c r="J5" s="42"/>
      <c r="K5" s="42"/>
      <c r="L5" s="110"/>
      <c r="M5" s="42"/>
      <c r="N5" s="110"/>
      <c r="O5" s="42"/>
      <c r="P5" s="42"/>
      <c r="Q5" s="42"/>
      <c r="R5" s="42"/>
      <c r="S5" s="42"/>
      <c r="T5" s="42"/>
      <c r="U5" s="42"/>
      <c r="V5" s="42"/>
      <c r="W5" s="42"/>
      <c r="X5" s="42"/>
      <c r="Y5" s="42"/>
      <c r="Z5" s="42"/>
      <c r="AA5" s="42"/>
      <c r="AB5" s="42"/>
      <c r="AC5" s="42"/>
      <c r="AD5" s="42"/>
      <c r="AE5" s="42"/>
      <c r="AF5" s="42"/>
      <c r="AG5" s="42"/>
    </row>
    <row r="6" spans="1:33" ht="16.2" thickBot="1" x14ac:dyDescent="0.35">
      <c r="A6" s="42"/>
      <c r="B6" s="42"/>
      <c r="C6" s="42"/>
      <c r="D6" s="42"/>
      <c r="E6" s="46" t="s">
        <v>47</v>
      </c>
      <c r="F6" s="42"/>
      <c r="G6" s="46"/>
      <c r="H6" s="42"/>
      <c r="I6" s="48">
        <f>Inputs!B22</f>
        <v>5000</v>
      </c>
      <c r="J6" s="42"/>
      <c r="K6" s="42"/>
      <c r="L6" s="110"/>
      <c r="M6" s="42"/>
      <c r="N6" s="110"/>
      <c r="O6" s="42"/>
      <c r="P6" s="42"/>
      <c r="Q6" s="42"/>
      <c r="R6" s="42"/>
      <c r="S6" s="42"/>
      <c r="T6" s="42"/>
      <c r="U6" s="42"/>
      <c r="V6" s="42"/>
      <c r="W6" s="42"/>
      <c r="X6" s="42"/>
      <c r="Y6" s="42"/>
      <c r="Z6" s="42"/>
      <c r="AA6" s="42"/>
      <c r="AB6" s="42"/>
      <c r="AC6" s="42"/>
      <c r="AD6" s="42"/>
      <c r="AE6" s="42"/>
      <c r="AF6" s="42"/>
      <c r="AG6" s="42"/>
    </row>
    <row r="7" spans="1:33" ht="18.600000000000001" thickBot="1" x14ac:dyDescent="0.4">
      <c r="A7" s="42"/>
      <c r="B7" s="42"/>
      <c r="C7" s="42"/>
      <c r="D7" s="42"/>
      <c r="E7" s="41" t="s">
        <v>48</v>
      </c>
      <c r="F7" s="42"/>
      <c r="G7" s="41"/>
      <c r="H7" s="42"/>
      <c r="I7" s="49">
        <f>Inputs!B23</f>
        <v>41782</v>
      </c>
      <c r="J7" s="42"/>
      <c r="K7" s="42"/>
      <c r="L7" s="110"/>
      <c r="M7" s="42"/>
      <c r="N7" s="110"/>
      <c r="O7" s="42"/>
      <c r="P7" s="42"/>
      <c r="Q7" s="42"/>
      <c r="R7" s="42"/>
      <c r="S7" s="42"/>
      <c r="T7" s="42"/>
      <c r="U7" s="42"/>
      <c r="V7" s="42"/>
      <c r="W7" s="42"/>
      <c r="X7" s="42"/>
      <c r="Y7" s="42"/>
      <c r="Z7" s="42"/>
      <c r="AA7" s="42"/>
      <c r="AB7" s="42"/>
      <c r="AC7" s="42"/>
      <c r="AD7" s="42"/>
      <c r="AE7" s="42"/>
      <c r="AF7" s="42"/>
      <c r="AG7" s="42"/>
    </row>
    <row r="8" spans="1:33" ht="18.600000000000001" thickTop="1" x14ac:dyDescent="0.35">
      <c r="A8" s="41" t="s">
        <v>49</v>
      </c>
      <c r="B8" s="42"/>
      <c r="C8" s="42"/>
      <c r="D8" s="42"/>
      <c r="E8" s="42"/>
      <c r="F8" s="42"/>
      <c r="G8" s="42"/>
      <c r="H8" s="42"/>
      <c r="I8" s="42"/>
      <c r="J8" s="42"/>
      <c r="K8" s="42"/>
      <c r="L8" s="110"/>
      <c r="M8" s="42"/>
      <c r="N8" s="110"/>
      <c r="O8" s="42"/>
      <c r="P8" s="42"/>
      <c r="Q8" s="42"/>
      <c r="R8" s="42"/>
      <c r="S8" s="42"/>
      <c r="T8" s="42"/>
      <c r="U8" s="42"/>
      <c r="V8" s="42"/>
      <c r="W8" s="42"/>
      <c r="X8" s="42"/>
      <c r="Y8" s="42"/>
      <c r="Z8" s="42"/>
      <c r="AA8" s="42"/>
      <c r="AB8" s="42"/>
      <c r="AC8" s="42"/>
      <c r="AD8" s="42"/>
      <c r="AE8" s="42"/>
      <c r="AF8" s="42"/>
      <c r="AG8" s="42"/>
    </row>
    <row r="9" spans="1:33" x14ac:dyDescent="0.3">
      <c r="A9" s="42"/>
      <c r="B9" s="42"/>
      <c r="C9" s="42"/>
      <c r="D9" s="42"/>
      <c r="E9" s="42"/>
      <c r="F9" s="42"/>
      <c r="G9" s="42"/>
      <c r="H9" s="42"/>
      <c r="I9" s="42"/>
      <c r="J9" s="42"/>
      <c r="K9" s="42"/>
      <c r="L9" s="110"/>
      <c r="M9" s="42"/>
      <c r="N9" s="110"/>
      <c r="O9" s="42"/>
      <c r="P9" s="42"/>
      <c r="Q9" s="42"/>
      <c r="R9" s="42"/>
      <c r="S9" s="42"/>
      <c r="T9" s="42"/>
      <c r="U9" s="42"/>
      <c r="V9" s="42"/>
      <c r="W9" s="42"/>
      <c r="X9" s="42"/>
      <c r="Y9" s="42"/>
      <c r="Z9" s="42"/>
      <c r="AA9" s="42"/>
      <c r="AB9" s="42"/>
      <c r="AC9" s="42"/>
      <c r="AD9" s="42"/>
      <c r="AE9" s="42"/>
      <c r="AF9" s="42"/>
      <c r="AG9" s="42"/>
    </row>
    <row r="10" spans="1:33" ht="15.6" x14ac:dyDescent="0.3">
      <c r="A10" s="50" t="s">
        <v>52</v>
      </c>
      <c r="B10" s="46"/>
      <c r="C10" s="46" t="s">
        <v>80</v>
      </c>
      <c r="D10" s="46"/>
      <c r="E10" s="42" t="s">
        <v>85</v>
      </c>
      <c r="F10" s="42"/>
      <c r="G10" s="42" t="s">
        <v>86</v>
      </c>
      <c r="H10" s="42"/>
      <c r="I10" s="42" t="s">
        <v>87</v>
      </c>
      <c r="J10" s="42"/>
      <c r="K10" s="42" t="s">
        <v>88</v>
      </c>
      <c r="L10" s="110"/>
      <c r="M10" s="42" t="s">
        <v>99</v>
      </c>
      <c r="N10" s="110"/>
      <c r="O10" s="42" t="s">
        <v>100</v>
      </c>
      <c r="P10" s="42"/>
      <c r="Q10" s="42" t="s">
        <v>101</v>
      </c>
      <c r="R10" s="42"/>
      <c r="S10" s="42" t="s">
        <v>102</v>
      </c>
      <c r="T10" s="42"/>
      <c r="U10" s="42" t="s">
        <v>103</v>
      </c>
      <c r="V10" s="42"/>
      <c r="W10" s="42" t="s">
        <v>104</v>
      </c>
      <c r="X10" s="42"/>
      <c r="Y10" s="42" t="s">
        <v>105</v>
      </c>
      <c r="Z10" s="42"/>
      <c r="AA10" s="42" t="s">
        <v>106</v>
      </c>
      <c r="AB10" s="42"/>
      <c r="AC10" s="42" t="s">
        <v>107</v>
      </c>
      <c r="AD10" s="42"/>
      <c r="AE10" s="42" t="s">
        <v>108</v>
      </c>
      <c r="AF10" s="42"/>
      <c r="AG10" s="42" t="s">
        <v>109</v>
      </c>
    </row>
    <row r="11" spans="1:33" ht="15.6" x14ac:dyDescent="0.3">
      <c r="A11" s="46" t="s">
        <v>51</v>
      </c>
      <c r="B11" s="46"/>
      <c r="C11" s="51">
        <f>Inputs!B34*12</f>
        <v>20712</v>
      </c>
      <c r="D11" s="51"/>
      <c r="E11" s="74">
        <f>C11*(1+Inputs!$B$38)</f>
        <v>21747.600000000002</v>
      </c>
      <c r="F11" s="74"/>
      <c r="G11" s="74">
        <f>E11*(1+Inputs!$B$38)</f>
        <v>22834.980000000003</v>
      </c>
      <c r="H11" s="74"/>
      <c r="I11" s="74">
        <f>G11*(1+Inputs!$B$38)</f>
        <v>23976.729000000003</v>
      </c>
      <c r="J11" s="74"/>
      <c r="K11" s="74">
        <f>I11*(1+Inputs!$B$38)</f>
        <v>25175.565450000006</v>
      </c>
      <c r="L11" s="111"/>
      <c r="M11" s="74">
        <f>K11*(1+Inputs!$B$38)</f>
        <v>26434.343722500005</v>
      </c>
      <c r="N11" s="111"/>
      <c r="O11" s="74">
        <f>M11*(1+Inputs!$B$38)</f>
        <v>27756.060908625008</v>
      </c>
      <c r="P11" s="42"/>
      <c r="Q11" s="74">
        <f>O11*(1+Inputs!$B$38)</f>
        <v>29143.863954056258</v>
      </c>
      <c r="R11" s="42"/>
      <c r="S11" s="74">
        <f>Q11*(1+Inputs!$B$38)</f>
        <v>30601.057151759072</v>
      </c>
      <c r="T11" s="42"/>
      <c r="U11" s="74">
        <f>S11*(1+Inputs!$B$38)</f>
        <v>32131.110009347027</v>
      </c>
      <c r="V11" s="42"/>
      <c r="W11" s="74">
        <f>U11*(1+Inputs!$B$38)</f>
        <v>33737.665509814382</v>
      </c>
      <c r="X11" s="42"/>
      <c r="Y11" s="74">
        <f>W11*(1+Inputs!$B$38)</f>
        <v>35424.548785305102</v>
      </c>
      <c r="Z11" s="42"/>
      <c r="AA11" s="74">
        <f>Y11*(1+Inputs!$B$38)</f>
        <v>37195.776224570356</v>
      </c>
      <c r="AB11" s="42"/>
      <c r="AC11" s="74">
        <f>AA11*(1+Inputs!$B$38)</f>
        <v>39055.565035798878</v>
      </c>
      <c r="AD11" s="42"/>
      <c r="AE11" s="74">
        <f>AC11*(1+Inputs!$B$38)</f>
        <v>41008.343287588825</v>
      </c>
      <c r="AF11" s="42"/>
      <c r="AG11" s="74">
        <f>AE11*(1+Inputs!$B$38)</f>
        <v>43058.760451968265</v>
      </c>
    </row>
    <row r="12" spans="1:33" ht="16.2" thickBot="1" x14ac:dyDescent="0.35">
      <c r="A12" s="46" t="s">
        <v>50</v>
      </c>
      <c r="B12" s="54">
        <f>Inputs!B36</f>
        <v>0.03</v>
      </c>
      <c r="C12" s="55">
        <f>-C11*Inputs!B36</f>
        <v>-621.36</v>
      </c>
      <c r="D12" s="51"/>
      <c r="E12" s="88">
        <f>-E11*Inputs!$B$36</f>
        <v>-652.428</v>
      </c>
      <c r="F12" s="74"/>
      <c r="G12" s="88">
        <f>-G11*Inputs!$B$36</f>
        <v>-685.04940000000011</v>
      </c>
      <c r="H12" s="74"/>
      <c r="I12" s="88">
        <f>-I11*Inputs!$B$36</f>
        <v>-719.30187000000001</v>
      </c>
      <c r="J12" s="74"/>
      <c r="K12" s="88">
        <f>-K11*Inputs!$B$36</f>
        <v>-755.26696350000009</v>
      </c>
      <c r="L12" s="111"/>
      <c r="M12" s="88">
        <f>-M11*Inputs!$B$36</f>
        <v>-793.03031167500012</v>
      </c>
      <c r="N12" s="111"/>
      <c r="O12" s="88">
        <f>-O11*Inputs!$B$36</f>
        <v>-832.68182725875022</v>
      </c>
      <c r="P12" s="42"/>
      <c r="Q12" s="88">
        <f>-Q11*Inputs!$B$36</f>
        <v>-874.31591862168773</v>
      </c>
      <c r="R12" s="42"/>
      <c r="S12" s="88">
        <f>-S11*Inputs!$B$36</f>
        <v>-918.03171455277209</v>
      </c>
      <c r="T12" s="42"/>
      <c r="U12" s="88">
        <f>-U11*Inputs!$B$36</f>
        <v>-963.93330028041078</v>
      </c>
      <c r="V12" s="42"/>
      <c r="W12" s="88">
        <f>-W11*Inputs!$B$36</f>
        <v>-1012.1299652944314</v>
      </c>
      <c r="X12" s="42"/>
      <c r="Y12" s="88">
        <f>-Y11*Inputs!$B$36</f>
        <v>-1062.736463559153</v>
      </c>
      <c r="Z12" s="42"/>
      <c r="AA12" s="88">
        <f>-AA11*Inputs!$B$36</f>
        <v>-1115.8732867371107</v>
      </c>
      <c r="AB12" s="42"/>
      <c r="AC12" s="88">
        <f>-AC11*Inputs!$B$36</f>
        <v>-1171.6669510739664</v>
      </c>
      <c r="AD12" s="42"/>
      <c r="AE12" s="88">
        <f>-AE11*Inputs!$B$36</f>
        <v>-1230.2502986276647</v>
      </c>
      <c r="AF12" s="42"/>
      <c r="AG12" s="88">
        <f>-AG11*Inputs!$B$36</f>
        <v>-1291.7628135590478</v>
      </c>
    </row>
    <row r="13" spans="1:33" ht="15.6" x14ac:dyDescent="0.3">
      <c r="A13" s="44" t="s">
        <v>59</v>
      </c>
      <c r="B13" s="44"/>
      <c r="C13" s="56">
        <f>SUM(C11:C12)</f>
        <v>20090.64</v>
      </c>
      <c r="D13" s="51"/>
      <c r="E13" s="56">
        <f>SUM(E11:E12)</f>
        <v>21095.172000000002</v>
      </c>
      <c r="F13" s="74"/>
      <c r="G13" s="56">
        <f>SUM(G11:G12)</f>
        <v>22149.930600000003</v>
      </c>
      <c r="H13" s="74"/>
      <c r="I13" s="56">
        <f>SUM(I11:I12)</f>
        <v>23257.427130000004</v>
      </c>
      <c r="J13" s="74"/>
      <c r="K13" s="56">
        <f>SUM(K11:K12)</f>
        <v>24420.298486500007</v>
      </c>
      <c r="L13" s="112"/>
      <c r="M13" s="56">
        <f>SUM(M11:M12)</f>
        <v>25641.313410825005</v>
      </c>
      <c r="N13" s="112"/>
      <c r="O13" s="56">
        <f>SUM(O11:O12)</f>
        <v>26923.379081366256</v>
      </c>
      <c r="P13" s="42"/>
      <c r="Q13" s="56">
        <f>SUM(Q11:Q12)</f>
        <v>28269.548035434571</v>
      </c>
      <c r="R13" s="42"/>
      <c r="S13" s="56">
        <f>SUM(S11:S12)</f>
        <v>29683.025437206299</v>
      </c>
      <c r="T13" s="42"/>
      <c r="U13" s="56">
        <f>SUM(U11:U12)</f>
        <v>31167.176709066614</v>
      </c>
      <c r="V13" s="42"/>
      <c r="W13" s="56">
        <f>SUM(W11:W12)</f>
        <v>32725.535544519949</v>
      </c>
      <c r="X13" s="42"/>
      <c r="Y13" s="56">
        <f>SUM(Y11:Y12)</f>
        <v>34361.812321745951</v>
      </c>
      <c r="Z13" s="42"/>
      <c r="AA13" s="56">
        <f>SUM(AA11:AA12)</f>
        <v>36079.902937833249</v>
      </c>
      <c r="AB13" s="42"/>
      <c r="AC13" s="56">
        <f>SUM(AC11:AC12)</f>
        <v>37883.898084724911</v>
      </c>
      <c r="AD13" s="42"/>
      <c r="AE13" s="56">
        <f>SUM(AE11:AE12)</f>
        <v>39778.092988961158</v>
      </c>
      <c r="AF13" s="42"/>
      <c r="AG13" s="56">
        <f>SUM(AG11:AG12)</f>
        <v>41766.997638409215</v>
      </c>
    </row>
    <row r="14" spans="1:33" ht="15.6" x14ac:dyDescent="0.3">
      <c r="A14" s="46"/>
      <c r="B14" s="46"/>
      <c r="C14" s="51"/>
      <c r="D14" s="46"/>
      <c r="E14" s="42"/>
      <c r="F14" s="42"/>
      <c r="G14" s="42"/>
      <c r="H14" s="42"/>
      <c r="I14" s="42"/>
      <c r="J14" s="42"/>
      <c r="K14" s="42"/>
      <c r="L14" s="110"/>
      <c r="M14" s="42"/>
      <c r="N14" s="110"/>
      <c r="O14" s="42"/>
      <c r="P14" s="42"/>
      <c r="Q14" s="42"/>
      <c r="R14" s="42"/>
      <c r="S14" s="42"/>
      <c r="T14" s="42"/>
      <c r="U14" s="42"/>
      <c r="V14" s="42"/>
      <c r="W14" s="42"/>
      <c r="X14" s="42"/>
      <c r="Y14" s="42"/>
      <c r="Z14" s="42"/>
      <c r="AA14" s="42"/>
      <c r="AB14" s="42"/>
      <c r="AC14" s="42"/>
      <c r="AD14" s="42"/>
      <c r="AE14" s="42"/>
      <c r="AF14" s="42"/>
      <c r="AG14" s="42"/>
    </row>
    <row r="15" spans="1:33" ht="15.6" x14ac:dyDescent="0.3">
      <c r="A15" s="50" t="s">
        <v>53</v>
      </c>
      <c r="B15" s="46"/>
      <c r="C15" s="51"/>
      <c r="D15" s="46"/>
      <c r="E15" s="42"/>
      <c r="F15" s="42"/>
      <c r="G15" s="42"/>
      <c r="H15" s="42"/>
      <c r="I15" s="42"/>
      <c r="J15" s="42"/>
      <c r="K15" s="42"/>
      <c r="L15" s="110"/>
      <c r="M15" s="42"/>
      <c r="N15" s="110"/>
      <c r="O15" s="42"/>
      <c r="P15" s="42"/>
      <c r="Q15" s="42"/>
      <c r="R15" s="42"/>
      <c r="S15" s="42"/>
      <c r="T15" s="42"/>
      <c r="U15" s="42"/>
      <c r="V15" s="42"/>
      <c r="W15" s="42"/>
      <c r="X15" s="42"/>
      <c r="Y15" s="42"/>
      <c r="Z15" s="42"/>
      <c r="AA15" s="42"/>
      <c r="AB15" s="42"/>
      <c r="AC15" s="42"/>
      <c r="AD15" s="42"/>
      <c r="AE15" s="42"/>
      <c r="AF15" s="42"/>
      <c r="AG15" s="42"/>
    </row>
    <row r="16" spans="1:33" ht="15.6" x14ac:dyDescent="0.3">
      <c r="A16" s="46" t="s">
        <v>18</v>
      </c>
      <c r="B16" s="46"/>
      <c r="C16" s="51">
        <f>Inputs!B43</f>
        <v>1116.3399999999999</v>
      </c>
      <c r="D16" s="51"/>
      <c r="E16" s="74">
        <f>C16*(1+Inputs!$B$40)</f>
        <v>1183.3204000000001</v>
      </c>
      <c r="F16" s="74"/>
      <c r="G16" s="74">
        <f>E16*(1+Inputs!$B$40)</f>
        <v>1254.3196240000002</v>
      </c>
      <c r="H16" s="74"/>
      <c r="I16" s="74">
        <f>G16*(1+Inputs!$B$40)</f>
        <v>1329.5788014400002</v>
      </c>
      <c r="J16" s="74"/>
      <c r="K16" s="74">
        <f>I16*(1+Inputs!$B$40)</f>
        <v>1409.3535295264003</v>
      </c>
      <c r="L16" s="111"/>
      <c r="M16" s="74">
        <f>K16*(1+Inputs!$B$40)</f>
        <v>1493.9147412979844</v>
      </c>
      <c r="N16" s="111"/>
      <c r="O16" s="74">
        <f>M16*(1+Inputs!$B$40)</f>
        <v>1583.5496257758634</v>
      </c>
      <c r="P16" s="42"/>
      <c r="Q16" s="74">
        <f>O16*(1+Inputs!$B$40)</f>
        <v>1678.5626033224153</v>
      </c>
      <c r="R16" s="42"/>
      <c r="S16" s="74">
        <f>Q16*(1+Inputs!$B$40)</f>
        <v>1779.2763595217602</v>
      </c>
      <c r="T16" s="42"/>
      <c r="U16" s="74">
        <f>S16*(1+Inputs!$B$40)</f>
        <v>1886.032941093066</v>
      </c>
      <c r="V16" s="42"/>
      <c r="W16" s="74">
        <f>U16*(1+Inputs!$B$40)</f>
        <v>1999.1949175586501</v>
      </c>
      <c r="X16" s="42"/>
      <c r="Y16" s="74">
        <f>W16*(1+Inputs!$B$40)</f>
        <v>2119.1466126121691</v>
      </c>
      <c r="Z16" s="42"/>
      <c r="AA16" s="74">
        <f>Y16*(1+Inputs!$B$40)</f>
        <v>2246.2954093688995</v>
      </c>
      <c r="AB16" s="42"/>
      <c r="AC16" s="74">
        <f>AA16*(1+Inputs!$B$40)</f>
        <v>2381.0731339310337</v>
      </c>
      <c r="AD16" s="42"/>
      <c r="AE16" s="74">
        <f>AC16*(1+Inputs!$B$40)</f>
        <v>2523.9375219668959</v>
      </c>
      <c r="AF16" s="42"/>
      <c r="AG16" s="74">
        <f>AE16*(1+Inputs!$B$40)</f>
        <v>2675.3737732849099</v>
      </c>
    </row>
    <row r="17" spans="1:33" ht="15.6" x14ac:dyDescent="0.3">
      <c r="A17" s="46" t="s">
        <v>19</v>
      </c>
      <c r="B17" s="46"/>
      <c r="C17" s="51">
        <f>Inputs!B44</f>
        <v>216</v>
      </c>
      <c r="D17" s="51"/>
      <c r="E17" s="74">
        <f>C17*(1.03)</f>
        <v>222.48000000000002</v>
      </c>
      <c r="F17" s="74"/>
      <c r="G17" s="74">
        <f>E17*(1.03)</f>
        <v>229.15440000000004</v>
      </c>
      <c r="H17" s="74"/>
      <c r="I17" s="74">
        <f>G17*(1.03)</f>
        <v>236.02903200000006</v>
      </c>
      <c r="J17" s="74"/>
      <c r="K17" s="74">
        <f>I17*(1.03)</f>
        <v>243.10990296000006</v>
      </c>
      <c r="L17" s="111"/>
      <c r="M17" s="74">
        <f>K17*(1.03)</f>
        <v>250.40320004880007</v>
      </c>
      <c r="N17" s="111"/>
      <c r="O17" s="74">
        <f>M17*(1.03)</f>
        <v>257.91529605026409</v>
      </c>
      <c r="P17" s="42"/>
      <c r="Q17" s="74">
        <f>O17*(1.03)</f>
        <v>265.65275493177199</v>
      </c>
      <c r="R17" s="42"/>
      <c r="S17" s="74">
        <f>Q17*(1.03)</f>
        <v>273.62233757972518</v>
      </c>
      <c r="T17" s="42"/>
      <c r="U17" s="74">
        <f>S17*(1.03)</f>
        <v>281.83100770711695</v>
      </c>
      <c r="V17" s="42"/>
      <c r="W17" s="74">
        <f>U17*(1.03)</f>
        <v>290.28593793833045</v>
      </c>
      <c r="X17" s="42"/>
      <c r="Y17" s="74">
        <f>W17*(1.03)</f>
        <v>298.99451607648035</v>
      </c>
      <c r="Z17" s="42"/>
      <c r="AA17" s="74">
        <f>Y17*(1.03)</f>
        <v>307.96435155877475</v>
      </c>
      <c r="AB17" s="42"/>
      <c r="AC17" s="74">
        <f>AA17*(1.03)</f>
        <v>317.20328210553799</v>
      </c>
      <c r="AD17" s="42"/>
      <c r="AE17" s="74">
        <f>AC17*(1.03)</f>
        <v>326.71938056870414</v>
      </c>
      <c r="AF17" s="42"/>
      <c r="AG17" s="74">
        <f>AE17*(1.03)</f>
        <v>336.52096198576527</v>
      </c>
    </row>
    <row r="18" spans="1:33" ht="15.6" x14ac:dyDescent="0.3">
      <c r="A18" s="46" t="s">
        <v>20</v>
      </c>
      <c r="B18" s="46"/>
      <c r="C18" s="51">
        <f>Inputs!B45</f>
        <v>1449.8400000000001</v>
      </c>
      <c r="D18" s="51"/>
      <c r="E18" s="74">
        <f>C18*(1.03)</f>
        <v>1493.3352000000002</v>
      </c>
      <c r="F18" s="74"/>
      <c r="G18" s="74">
        <f>E18*(1.03)</f>
        <v>1538.1352560000003</v>
      </c>
      <c r="H18" s="74"/>
      <c r="I18" s="74">
        <f>G18*(1.03)</f>
        <v>1584.2793136800003</v>
      </c>
      <c r="J18" s="74"/>
      <c r="K18" s="74">
        <f>I18*(1.03)</f>
        <v>1631.8076930904003</v>
      </c>
      <c r="L18" s="111"/>
      <c r="M18" s="74">
        <f>K18*(1.03)</f>
        <v>1680.7619238831123</v>
      </c>
      <c r="N18" s="111"/>
      <c r="O18" s="74">
        <f>M18*(1.03)</f>
        <v>1731.1847815996057</v>
      </c>
      <c r="P18" s="42"/>
      <c r="Q18" s="74">
        <f>O18*(1.03)</f>
        <v>1783.120325047594</v>
      </c>
      <c r="R18" s="42"/>
      <c r="S18" s="74">
        <f>Q18*(1.03)</f>
        <v>1836.6139347990218</v>
      </c>
      <c r="T18" s="42"/>
      <c r="U18" s="74">
        <f>S18*(1.03)</f>
        <v>1891.7123528429925</v>
      </c>
      <c r="V18" s="42"/>
      <c r="W18" s="74">
        <f>U18*(1.03)</f>
        <v>1948.4637234282823</v>
      </c>
      <c r="X18" s="42"/>
      <c r="Y18" s="74">
        <f>W18*(1.03)</f>
        <v>2006.9176351311307</v>
      </c>
      <c r="Z18" s="42"/>
      <c r="AA18" s="74">
        <f>Y18*(1.03)</f>
        <v>2067.1251641850649</v>
      </c>
      <c r="AB18" s="42"/>
      <c r="AC18" s="74">
        <f>AA18*(1.03)</f>
        <v>2129.1389191106168</v>
      </c>
      <c r="AD18" s="42"/>
      <c r="AE18" s="74">
        <f>AC18*(1.03)</f>
        <v>2193.0130866839354</v>
      </c>
      <c r="AF18" s="42"/>
      <c r="AG18" s="74">
        <f>AE18*(1.03)</f>
        <v>2258.8034792844537</v>
      </c>
    </row>
    <row r="19" spans="1:33" ht="15.6" x14ac:dyDescent="0.3">
      <c r="A19" s="46" t="s">
        <v>21</v>
      </c>
      <c r="B19" s="46"/>
      <c r="C19" s="51">
        <f>Inputs!B46</f>
        <v>1035.6000000000001</v>
      </c>
      <c r="D19" s="51"/>
      <c r="E19" s="74">
        <f t="shared" ref="E19:E24" si="0">C19*1.03</f>
        <v>1066.6680000000001</v>
      </c>
      <c r="F19" s="74"/>
      <c r="G19" s="74">
        <f t="shared" ref="G19:G24" si="1">E19*1.03</f>
        <v>1098.6680400000002</v>
      </c>
      <c r="H19" s="74"/>
      <c r="I19" s="74">
        <f t="shared" ref="I19:I24" si="2">G19*1.03</f>
        <v>1131.6280812000002</v>
      </c>
      <c r="J19" s="74"/>
      <c r="K19" s="74">
        <f t="shared" ref="K19:K24" si="3">I19*1.03</f>
        <v>1165.5769236360002</v>
      </c>
      <c r="L19" s="111"/>
      <c r="M19" s="74">
        <f t="shared" ref="M19:M24" si="4">K19*1.03</f>
        <v>1200.5442313450801</v>
      </c>
      <c r="N19" s="111"/>
      <c r="O19" s="74">
        <f t="shared" ref="O19:O24" si="5">M19*1.03</f>
        <v>1236.5605582854325</v>
      </c>
      <c r="P19" s="42"/>
      <c r="Q19" s="74">
        <f t="shared" ref="Q19:Q24" si="6">O19*1.03</f>
        <v>1273.6573750339955</v>
      </c>
      <c r="R19" s="42"/>
      <c r="S19" s="74">
        <f t="shared" ref="S19:S24" si="7">Q19*1.03</f>
        <v>1311.8670962850154</v>
      </c>
      <c r="T19" s="42"/>
      <c r="U19" s="74">
        <f t="shared" ref="U19:U24" si="8">S19*1.03</f>
        <v>1351.2231091735659</v>
      </c>
      <c r="V19" s="42"/>
      <c r="W19" s="74">
        <f t="shared" ref="W19:W24" si="9">U19*1.03</f>
        <v>1391.7598024487729</v>
      </c>
      <c r="X19" s="42"/>
      <c r="Y19" s="74">
        <f t="shared" ref="Y19:Y24" si="10">W19*1.03</f>
        <v>1433.5125965222362</v>
      </c>
      <c r="Z19" s="42"/>
      <c r="AA19" s="74">
        <f t="shared" ref="AA19:AA24" si="11">Y19*1.03</f>
        <v>1476.5179744179034</v>
      </c>
      <c r="AB19" s="42"/>
      <c r="AC19" s="74">
        <f t="shared" ref="AC19:AC24" si="12">AA19*1.03</f>
        <v>1520.8135136504404</v>
      </c>
      <c r="AD19" s="42"/>
      <c r="AE19" s="74">
        <f t="shared" ref="AE19:AE24" si="13">AC19*1.03</f>
        <v>1566.4379190599536</v>
      </c>
      <c r="AF19" s="42"/>
      <c r="AG19" s="74">
        <f t="shared" ref="AG19:AG24" si="14">AE19*1.03</f>
        <v>1613.4310566317522</v>
      </c>
    </row>
    <row r="20" spans="1:33" ht="15.6" x14ac:dyDescent="0.3">
      <c r="A20" s="46" t="s">
        <v>26</v>
      </c>
      <c r="B20" s="46"/>
      <c r="C20" s="51">
        <f>Inputs!B47</f>
        <v>0</v>
      </c>
      <c r="D20" s="51"/>
      <c r="E20" s="74">
        <f t="shared" si="0"/>
        <v>0</v>
      </c>
      <c r="F20" s="74"/>
      <c r="G20" s="74">
        <f t="shared" si="1"/>
        <v>0</v>
      </c>
      <c r="H20" s="74"/>
      <c r="I20" s="74">
        <f t="shared" si="2"/>
        <v>0</v>
      </c>
      <c r="J20" s="74"/>
      <c r="K20" s="74">
        <f t="shared" si="3"/>
        <v>0</v>
      </c>
      <c r="L20" s="111"/>
      <c r="M20" s="74">
        <f t="shared" si="4"/>
        <v>0</v>
      </c>
      <c r="N20" s="111"/>
      <c r="O20" s="74">
        <f t="shared" si="5"/>
        <v>0</v>
      </c>
      <c r="P20" s="42"/>
      <c r="Q20" s="74">
        <f t="shared" si="6"/>
        <v>0</v>
      </c>
      <c r="R20" s="42"/>
      <c r="S20" s="74">
        <f t="shared" si="7"/>
        <v>0</v>
      </c>
      <c r="T20" s="42"/>
      <c r="U20" s="74">
        <f t="shared" si="8"/>
        <v>0</v>
      </c>
      <c r="V20" s="42"/>
      <c r="W20" s="74">
        <f t="shared" si="9"/>
        <v>0</v>
      </c>
      <c r="X20" s="42"/>
      <c r="Y20" s="74">
        <f t="shared" si="10"/>
        <v>0</v>
      </c>
      <c r="Z20" s="42"/>
      <c r="AA20" s="74">
        <f t="shared" si="11"/>
        <v>0</v>
      </c>
      <c r="AB20" s="42"/>
      <c r="AC20" s="74">
        <f t="shared" si="12"/>
        <v>0</v>
      </c>
      <c r="AD20" s="42"/>
      <c r="AE20" s="74">
        <f t="shared" si="13"/>
        <v>0</v>
      </c>
      <c r="AF20" s="42"/>
      <c r="AG20" s="74">
        <f t="shared" si="14"/>
        <v>0</v>
      </c>
    </row>
    <row r="21" spans="1:33" ht="15.6" x14ac:dyDescent="0.3">
      <c r="A21" s="46" t="s">
        <v>54</v>
      </c>
      <c r="B21" s="46"/>
      <c r="C21" s="51">
        <f>Inputs!B48</f>
        <v>0</v>
      </c>
      <c r="D21" s="51"/>
      <c r="E21" s="74">
        <f t="shared" si="0"/>
        <v>0</v>
      </c>
      <c r="F21" s="74"/>
      <c r="G21" s="74">
        <f t="shared" si="1"/>
        <v>0</v>
      </c>
      <c r="H21" s="74"/>
      <c r="I21" s="74">
        <f t="shared" si="2"/>
        <v>0</v>
      </c>
      <c r="J21" s="74"/>
      <c r="K21" s="74">
        <f t="shared" si="3"/>
        <v>0</v>
      </c>
      <c r="L21" s="111"/>
      <c r="M21" s="74">
        <f t="shared" si="4"/>
        <v>0</v>
      </c>
      <c r="N21" s="111"/>
      <c r="O21" s="74">
        <f t="shared" si="5"/>
        <v>0</v>
      </c>
      <c r="P21" s="42"/>
      <c r="Q21" s="74">
        <f t="shared" si="6"/>
        <v>0</v>
      </c>
      <c r="R21" s="42"/>
      <c r="S21" s="74">
        <f t="shared" si="7"/>
        <v>0</v>
      </c>
      <c r="T21" s="42"/>
      <c r="U21" s="74">
        <f t="shared" si="8"/>
        <v>0</v>
      </c>
      <c r="V21" s="42"/>
      <c r="W21" s="74">
        <f t="shared" si="9"/>
        <v>0</v>
      </c>
      <c r="X21" s="42"/>
      <c r="Y21" s="74">
        <f t="shared" si="10"/>
        <v>0</v>
      </c>
      <c r="Z21" s="42"/>
      <c r="AA21" s="74">
        <f t="shared" si="11"/>
        <v>0</v>
      </c>
      <c r="AB21" s="42"/>
      <c r="AC21" s="74">
        <f t="shared" si="12"/>
        <v>0</v>
      </c>
      <c r="AD21" s="42"/>
      <c r="AE21" s="74">
        <f t="shared" si="13"/>
        <v>0</v>
      </c>
      <c r="AF21" s="42"/>
      <c r="AG21" s="74">
        <f t="shared" si="14"/>
        <v>0</v>
      </c>
    </row>
    <row r="22" spans="1:33" ht="15.6" x14ac:dyDescent="0.3">
      <c r="A22" s="46" t="s">
        <v>55</v>
      </c>
      <c r="B22" s="46"/>
      <c r="C22" s="51">
        <f>Inputs!B49</f>
        <v>0</v>
      </c>
      <c r="D22" s="51"/>
      <c r="E22" s="74">
        <f t="shared" si="0"/>
        <v>0</v>
      </c>
      <c r="F22" s="74"/>
      <c r="G22" s="74">
        <f t="shared" si="1"/>
        <v>0</v>
      </c>
      <c r="H22" s="74"/>
      <c r="I22" s="74">
        <f t="shared" si="2"/>
        <v>0</v>
      </c>
      <c r="J22" s="74"/>
      <c r="K22" s="74">
        <f t="shared" si="3"/>
        <v>0</v>
      </c>
      <c r="L22" s="111"/>
      <c r="M22" s="74">
        <f t="shared" si="4"/>
        <v>0</v>
      </c>
      <c r="N22" s="111"/>
      <c r="O22" s="74">
        <f t="shared" si="5"/>
        <v>0</v>
      </c>
      <c r="P22" s="42"/>
      <c r="Q22" s="74">
        <f t="shared" si="6"/>
        <v>0</v>
      </c>
      <c r="R22" s="42"/>
      <c r="S22" s="74">
        <f t="shared" si="7"/>
        <v>0</v>
      </c>
      <c r="T22" s="42"/>
      <c r="U22" s="74">
        <f t="shared" si="8"/>
        <v>0</v>
      </c>
      <c r="V22" s="42"/>
      <c r="W22" s="74">
        <f t="shared" si="9"/>
        <v>0</v>
      </c>
      <c r="X22" s="42"/>
      <c r="Y22" s="74">
        <f t="shared" si="10"/>
        <v>0</v>
      </c>
      <c r="Z22" s="42"/>
      <c r="AA22" s="74">
        <f t="shared" si="11"/>
        <v>0</v>
      </c>
      <c r="AB22" s="42"/>
      <c r="AC22" s="74">
        <f t="shared" si="12"/>
        <v>0</v>
      </c>
      <c r="AD22" s="42"/>
      <c r="AE22" s="74">
        <f t="shared" si="13"/>
        <v>0</v>
      </c>
      <c r="AF22" s="42"/>
      <c r="AG22" s="74">
        <f t="shared" si="14"/>
        <v>0</v>
      </c>
    </row>
    <row r="23" spans="1:33" ht="15.6" x14ac:dyDescent="0.3">
      <c r="A23" s="46" t="s">
        <v>56</v>
      </c>
      <c r="B23" s="46"/>
      <c r="C23" s="51">
        <f>Inputs!B50</f>
        <v>0</v>
      </c>
      <c r="D23" s="51"/>
      <c r="E23" s="74">
        <f t="shared" si="0"/>
        <v>0</v>
      </c>
      <c r="F23" s="74"/>
      <c r="G23" s="74">
        <f t="shared" si="1"/>
        <v>0</v>
      </c>
      <c r="H23" s="74"/>
      <c r="I23" s="74">
        <f t="shared" si="2"/>
        <v>0</v>
      </c>
      <c r="J23" s="74"/>
      <c r="K23" s="74">
        <f t="shared" si="3"/>
        <v>0</v>
      </c>
      <c r="L23" s="111"/>
      <c r="M23" s="74">
        <f t="shared" si="4"/>
        <v>0</v>
      </c>
      <c r="N23" s="111"/>
      <c r="O23" s="74">
        <f t="shared" si="5"/>
        <v>0</v>
      </c>
      <c r="P23" s="42"/>
      <c r="Q23" s="74">
        <f t="shared" si="6"/>
        <v>0</v>
      </c>
      <c r="R23" s="42"/>
      <c r="S23" s="74">
        <f t="shared" si="7"/>
        <v>0</v>
      </c>
      <c r="T23" s="42"/>
      <c r="U23" s="74">
        <f t="shared" si="8"/>
        <v>0</v>
      </c>
      <c r="V23" s="42"/>
      <c r="W23" s="74">
        <f t="shared" si="9"/>
        <v>0</v>
      </c>
      <c r="X23" s="42"/>
      <c r="Y23" s="74">
        <f t="shared" si="10"/>
        <v>0</v>
      </c>
      <c r="Z23" s="42"/>
      <c r="AA23" s="74">
        <f t="shared" si="11"/>
        <v>0</v>
      </c>
      <c r="AB23" s="42"/>
      <c r="AC23" s="74">
        <f t="shared" si="12"/>
        <v>0</v>
      </c>
      <c r="AD23" s="42"/>
      <c r="AE23" s="74">
        <f t="shared" si="13"/>
        <v>0</v>
      </c>
      <c r="AF23" s="42"/>
      <c r="AG23" s="74">
        <f t="shared" si="14"/>
        <v>0</v>
      </c>
    </row>
    <row r="24" spans="1:33" ht="15.6" x14ac:dyDescent="0.3">
      <c r="A24" s="46" t="s">
        <v>29</v>
      </c>
      <c r="B24" s="46"/>
      <c r="C24" s="51">
        <f>Inputs!B51</f>
        <v>0</v>
      </c>
      <c r="D24" s="51"/>
      <c r="E24" s="74">
        <f t="shared" si="0"/>
        <v>0</v>
      </c>
      <c r="F24" s="74"/>
      <c r="G24" s="74">
        <f t="shared" si="1"/>
        <v>0</v>
      </c>
      <c r="H24" s="74"/>
      <c r="I24" s="74">
        <f t="shared" si="2"/>
        <v>0</v>
      </c>
      <c r="J24" s="74"/>
      <c r="K24" s="74">
        <f t="shared" si="3"/>
        <v>0</v>
      </c>
      <c r="L24" s="111"/>
      <c r="M24" s="74">
        <f t="shared" si="4"/>
        <v>0</v>
      </c>
      <c r="N24" s="111"/>
      <c r="O24" s="74">
        <f t="shared" si="5"/>
        <v>0</v>
      </c>
      <c r="P24" s="42"/>
      <c r="Q24" s="74">
        <f t="shared" si="6"/>
        <v>0</v>
      </c>
      <c r="R24" s="42"/>
      <c r="S24" s="74">
        <f t="shared" si="7"/>
        <v>0</v>
      </c>
      <c r="T24" s="42"/>
      <c r="U24" s="74">
        <f t="shared" si="8"/>
        <v>0</v>
      </c>
      <c r="V24" s="42"/>
      <c r="W24" s="74">
        <f t="shared" si="9"/>
        <v>0</v>
      </c>
      <c r="X24" s="42"/>
      <c r="Y24" s="74">
        <f t="shared" si="10"/>
        <v>0</v>
      </c>
      <c r="Z24" s="42"/>
      <c r="AA24" s="74">
        <f t="shared" si="11"/>
        <v>0</v>
      </c>
      <c r="AB24" s="42"/>
      <c r="AC24" s="74">
        <f t="shared" si="12"/>
        <v>0</v>
      </c>
      <c r="AD24" s="42"/>
      <c r="AE24" s="74">
        <f t="shared" si="13"/>
        <v>0</v>
      </c>
      <c r="AF24" s="42"/>
      <c r="AG24" s="74">
        <f t="shared" si="14"/>
        <v>0</v>
      </c>
    </row>
    <row r="25" spans="1:33" ht="15.6" x14ac:dyDescent="0.3">
      <c r="A25" s="46" t="str">
        <f>Inputs!A52</f>
        <v>HOA Dues</v>
      </c>
      <c r="B25" s="46"/>
      <c r="C25" s="51">
        <f>Inputs!B52</f>
        <v>2160</v>
      </c>
      <c r="D25" s="51"/>
      <c r="E25" s="74">
        <f t="shared" ref="E25:E30" si="15">C25*1.03</f>
        <v>2224.8000000000002</v>
      </c>
      <c r="F25" s="74"/>
      <c r="G25" s="74">
        <f t="shared" ref="G25:G30" si="16">E25*1.03</f>
        <v>2291.5440000000003</v>
      </c>
      <c r="H25" s="74"/>
      <c r="I25" s="74">
        <f t="shared" ref="I25:I30" si="17">G25*1.03</f>
        <v>2360.2903200000005</v>
      </c>
      <c r="J25" s="74"/>
      <c r="K25" s="74">
        <f t="shared" ref="K25:Y30" si="18">I25*1.03</f>
        <v>2431.0990296000004</v>
      </c>
      <c r="L25" s="111"/>
      <c r="M25" s="74">
        <f t="shared" si="18"/>
        <v>2504.0320004880004</v>
      </c>
      <c r="N25" s="111"/>
      <c r="O25" s="74">
        <f t="shared" si="18"/>
        <v>2579.1529605026403</v>
      </c>
      <c r="P25" s="42"/>
      <c r="Q25" s="74">
        <f t="shared" si="18"/>
        <v>2656.5275493177196</v>
      </c>
      <c r="R25" s="42"/>
      <c r="S25" s="74">
        <f t="shared" si="18"/>
        <v>2736.2233757972513</v>
      </c>
      <c r="T25" s="42"/>
      <c r="U25" s="74">
        <f t="shared" si="18"/>
        <v>2818.310077071169</v>
      </c>
      <c r="V25" s="42"/>
      <c r="W25" s="74">
        <f t="shared" si="18"/>
        <v>2902.8593793833043</v>
      </c>
      <c r="X25" s="42"/>
      <c r="Y25" s="74">
        <f t="shared" si="18"/>
        <v>2989.9451607648034</v>
      </c>
      <c r="Z25" s="42"/>
      <c r="AA25" s="74">
        <f t="shared" ref="AA25:AG30" si="19">Y25*1.03</f>
        <v>3079.6435155877475</v>
      </c>
      <c r="AB25" s="42"/>
      <c r="AC25" s="74">
        <f t="shared" si="19"/>
        <v>3172.0328210553798</v>
      </c>
      <c r="AD25" s="42"/>
      <c r="AE25" s="74">
        <f t="shared" si="19"/>
        <v>3267.1938056870413</v>
      </c>
      <c r="AF25" s="42"/>
      <c r="AG25" s="74">
        <f t="shared" si="19"/>
        <v>3365.2096198576528</v>
      </c>
    </row>
    <row r="26" spans="1:33" ht="15.6" x14ac:dyDescent="0.3">
      <c r="A26" s="46" t="str">
        <f>Inputs!A53</f>
        <v>Other</v>
      </c>
      <c r="B26" s="46"/>
      <c r="C26" s="51">
        <f>Inputs!B53</f>
        <v>0</v>
      </c>
      <c r="D26" s="51"/>
      <c r="E26" s="74">
        <f t="shared" si="15"/>
        <v>0</v>
      </c>
      <c r="F26" s="74"/>
      <c r="G26" s="74">
        <f t="shared" si="16"/>
        <v>0</v>
      </c>
      <c r="H26" s="74"/>
      <c r="I26" s="74">
        <f t="shared" si="17"/>
        <v>0</v>
      </c>
      <c r="J26" s="74"/>
      <c r="K26" s="74">
        <f t="shared" si="18"/>
        <v>0</v>
      </c>
      <c r="L26" s="111"/>
      <c r="M26" s="74">
        <f t="shared" si="18"/>
        <v>0</v>
      </c>
      <c r="N26" s="111"/>
      <c r="O26" s="74">
        <f t="shared" si="18"/>
        <v>0</v>
      </c>
      <c r="P26" s="42"/>
      <c r="Q26" s="74">
        <f t="shared" si="18"/>
        <v>0</v>
      </c>
      <c r="R26" s="42"/>
      <c r="S26" s="74">
        <f t="shared" si="18"/>
        <v>0</v>
      </c>
      <c r="T26" s="42"/>
      <c r="U26" s="74">
        <f t="shared" si="18"/>
        <v>0</v>
      </c>
      <c r="V26" s="42"/>
      <c r="W26" s="74">
        <f t="shared" si="18"/>
        <v>0</v>
      </c>
      <c r="X26" s="42"/>
      <c r="Y26" s="74">
        <f t="shared" si="18"/>
        <v>0</v>
      </c>
      <c r="Z26" s="42"/>
      <c r="AA26" s="74">
        <f t="shared" si="19"/>
        <v>0</v>
      </c>
      <c r="AB26" s="42"/>
      <c r="AC26" s="74">
        <f t="shared" si="19"/>
        <v>0</v>
      </c>
      <c r="AD26" s="42"/>
      <c r="AE26" s="74">
        <f t="shared" si="19"/>
        <v>0</v>
      </c>
      <c r="AF26" s="42"/>
      <c r="AG26" s="74">
        <f t="shared" si="19"/>
        <v>0</v>
      </c>
    </row>
    <row r="27" spans="1:33" ht="15.6" x14ac:dyDescent="0.3">
      <c r="A27" s="46" t="str">
        <f>Inputs!A54</f>
        <v>Other</v>
      </c>
      <c r="B27" s="46"/>
      <c r="C27" s="51">
        <f>Inputs!B54</f>
        <v>0</v>
      </c>
      <c r="D27" s="51"/>
      <c r="E27" s="74">
        <f t="shared" si="15"/>
        <v>0</v>
      </c>
      <c r="F27" s="74"/>
      <c r="G27" s="74">
        <f t="shared" si="16"/>
        <v>0</v>
      </c>
      <c r="H27" s="74"/>
      <c r="I27" s="74">
        <f t="shared" si="17"/>
        <v>0</v>
      </c>
      <c r="J27" s="74"/>
      <c r="K27" s="74">
        <f t="shared" si="18"/>
        <v>0</v>
      </c>
      <c r="L27" s="111"/>
      <c r="M27" s="74">
        <f t="shared" si="18"/>
        <v>0</v>
      </c>
      <c r="N27" s="111"/>
      <c r="O27" s="74">
        <f t="shared" si="18"/>
        <v>0</v>
      </c>
      <c r="P27" s="42"/>
      <c r="Q27" s="74">
        <f t="shared" si="18"/>
        <v>0</v>
      </c>
      <c r="R27" s="42"/>
      <c r="S27" s="74">
        <f t="shared" si="18"/>
        <v>0</v>
      </c>
      <c r="T27" s="42"/>
      <c r="U27" s="74">
        <f t="shared" si="18"/>
        <v>0</v>
      </c>
      <c r="V27" s="42"/>
      <c r="W27" s="74">
        <f t="shared" si="18"/>
        <v>0</v>
      </c>
      <c r="X27" s="42"/>
      <c r="Y27" s="74">
        <f t="shared" si="18"/>
        <v>0</v>
      </c>
      <c r="Z27" s="42"/>
      <c r="AA27" s="74">
        <f t="shared" si="19"/>
        <v>0</v>
      </c>
      <c r="AB27" s="42"/>
      <c r="AC27" s="74">
        <f t="shared" si="19"/>
        <v>0</v>
      </c>
      <c r="AD27" s="42"/>
      <c r="AE27" s="74">
        <f t="shared" si="19"/>
        <v>0</v>
      </c>
      <c r="AF27" s="42"/>
      <c r="AG27" s="74">
        <f t="shared" si="19"/>
        <v>0</v>
      </c>
    </row>
    <row r="28" spans="1:33" ht="15.6" x14ac:dyDescent="0.3">
      <c r="A28" s="46" t="str">
        <f>Inputs!A55</f>
        <v>Other</v>
      </c>
      <c r="B28" s="46"/>
      <c r="C28" s="51">
        <f>Inputs!B55</f>
        <v>0</v>
      </c>
      <c r="D28" s="51"/>
      <c r="E28" s="74">
        <f t="shared" si="15"/>
        <v>0</v>
      </c>
      <c r="F28" s="74"/>
      <c r="G28" s="74">
        <f t="shared" si="16"/>
        <v>0</v>
      </c>
      <c r="H28" s="74"/>
      <c r="I28" s="74">
        <f t="shared" si="17"/>
        <v>0</v>
      </c>
      <c r="J28" s="74"/>
      <c r="K28" s="74">
        <f t="shared" si="18"/>
        <v>0</v>
      </c>
      <c r="L28" s="111"/>
      <c r="M28" s="74">
        <f t="shared" si="18"/>
        <v>0</v>
      </c>
      <c r="N28" s="111"/>
      <c r="O28" s="74">
        <f t="shared" si="18"/>
        <v>0</v>
      </c>
      <c r="P28" s="42"/>
      <c r="Q28" s="74">
        <f t="shared" si="18"/>
        <v>0</v>
      </c>
      <c r="R28" s="42"/>
      <c r="S28" s="74">
        <f t="shared" si="18"/>
        <v>0</v>
      </c>
      <c r="T28" s="42"/>
      <c r="U28" s="74">
        <f t="shared" si="18"/>
        <v>0</v>
      </c>
      <c r="V28" s="42"/>
      <c r="W28" s="74">
        <f t="shared" si="18"/>
        <v>0</v>
      </c>
      <c r="X28" s="42"/>
      <c r="Y28" s="74">
        <f t="shared" si="18"/>
        <v>0</v>
      </c>
      <c r="Z28" s="42"/>
      <c r="AA28" s="74">
        <f t="shared" si="19"/>
        <v>0</v>
      </c>
      <c r="AB28" s="42"/>
      <c r="AC28" s="74">
        <f t="shared" si="19"/>
        <v>0</v>
      </c>
      <c r="AD28" s="42"/>
      <c r="AE28" s="74">
        <f t="shared" si="19"/>
        <v>0</v>
      </c>
      <c r="AF28" s="42"/>
      <c r="AG28" s="74">
        <f t="shared" si="19"/>
        <v>0</v>
      </c>
    </row>
    <row r="29" spans="1:33" ht="15.6" x14ac:dyDescent="0.3">
      <c r="A29" s="46" t="str">
        <f>Inputs!A56</f>
        <v>Other</v>
      </c>
      <c r="B29" s="46"/>
      <c r="C29" s="51">
        <f>Inputs!B56</f>
        <v>0</v>
      </c>
      <c r="D29" s="51"/>
      <c r="E29" s="74">
        <f t="shared" si="15"/>
        <v>0</v>
      </c>
      <c r="F29" s="74"/>
      <c r="G29" s="74">
        <f t="shared" si="16"/>
        <v>0</v>
      </c>
      <c r="H29" s="74"/>
      <c r="I29" s="74">
        <f t="shared" si="17"/>
        <v>0</v>
      </c>
      <c r="J29" s="74"/>
      <c r="K29" s="74">
        <f t="shared" si="18"/>
        <v>0</v>
      </c>
      <c r="L29" s="111"/>
      <c r="M29" s="74">
        <f t="shared" si="18"/>
        <v>0</v>
      </c>
      <c r="N29" s="111"/>
      <c r="O29" s="74">
        <f t="shared" si="18"/>
        <v>0</v>
      </c>
      <c r="P29" s="42"/>
      <c r="Q29" s="74">
        <f t="shared" si="18"/>
        <v>0</v>
      </c>
      <c r="R29" s="42"/>
      <c r="S29" s="74">
        <f t="shared" si="18"/>
        <v>0</v>
      </c>
      <c r="T29" s="42"/>
      <c r="U29" s="74">
        <f t="shared" si="18"/>
        <v>0</v>
      </c>
      <c r="V29" s="42"/>
      <c r="W29" s="74">
        <f t="shared" si="18"/>
        <v>0</v>
      </c>
      <c r="X29" s="42"/>
      <c r="Y29" s="74">
        <f t="shared" si="18"/>
        <v>0</v>
      </c>
      <c r="Z29" s="42"/>
      <c r="AA29" s="74">
        <f t="shared" si="19"/>
        <v>0</v>
      </c>
      <c r="AB29" s="42"/>
      <c r="AC29" s="74">
        <f t="shared" si="19"/>
        <v>0</v>
      </c>
      <c r="AD29" s="42"/>
      <c r="AE29" s="74">
        <f t="shared" si="19"/>
        <v>0</v>
      </c>
      <c r="AF29" s="42"/>
      <c r="AG29" s="74">
        <f t="shared" si="19"/>
        <v>0</v>
      </c>
    </row>
    <row r="30" spans="1:33" ht="16.2" thickBot="1" x14ac:dyDescent="0.35">
      <c r="A30" s="46" t="str">
        <f>Inputs!A57</f>
        <v>Other</v>
      </c>
      <c r="B30" s="46"/>
      <c r="C30" s="55">
        <f>Inputs!B57</f>
        <v>0</v>
      </c>
      <c r="D30" s="51"/>
      <c r="E30" s="88">
        <f t="shared" si="15"/>
        <v>0</v>
      </c>
      <c r="F30" s="74"/>
      <c r="G30" s="88">
        <f t="shared" si="16"/>
        <v>0</v>
      </c>
      <c r="H30" s="74"/>
      <c r="I30" s="88">
        <f t="shared" si="17"/>
        <v>0</v>
      </c>
      <c r="J30" s="74"/>
      <c r="K30" s="88">
        <f t="shared" si="18"/>
        <v>0</v>
      </c>
      <c r="L30" s="111"/>
      <c r="M30" s="88">
        <f t="shared" si="18"/>
        <v>0</v>
      </c>
      <c r="N30" s="111"/>
      <c r="O30" s="88">
        <f t="shared" si="18"/>
        <v>0</v>
      </c>
      <c r="P30" s="42"/>
      <c r="Q30" s="88">
        <f t="shared" si="18"/>
        <v>0</v>
      </c>
      <c r="R30" s="42"/>
      <c r="S30" s="88">
        <f t="shared" si="18"/>
        <v>0</v>
      </c>
      <c r="T30" s="42"/>
      <c r="U30" s="88">
        <f t="shared" si="18"/>
        <v>0</v>
      </c>
      <c r="V30" s="42"/>
      <c r="W30" s="88">
        <f t="shared" si="18"/>
        <v>0</v>
      </c>
      <c r="X30" s="42"/>
      <c r="Y30" s="88">
        <f t="shared" si="18"/>
        <v>0</v>
      </c>
      <c r="Z30" s="42"/>
      <c r="AA30" s="88">
        <f t="shared" si="19"/>
        <v>0</v>
      </c>
      <c r="AB30" s="42"/>
      <c r="AC30" s="88">
        <f t="shared" si="19"/>
        <v>0</v>
      </c>
      <c r="AD30" s="42"/>
      <c r="AE30" s="88">
        <f t="shared" si="19"/>
        <v>0</v>
      </c>
      <c r="AF30" s="42"/>
      <c r="AG30" s="88">
        <f t="shared" si="19"/>
        <v>0</v>
      </c>
    </row>
    <row r="31" spans="1:33" ht="15.6" x14ac:dyDescent="0.3">
      <c r="A31" s="44" t="s">
        <v>58</v>
      </c>
      <c r="B31" s="46"/>
      <c r="C31" s="56">
        <f>SUM(C16:C30)</f>
        <v>5977.7800000000007</v>
      </c>
      <c r="D31" s="51"/>
      <c r="E31" s="56">
        <f>SUM(E16:E30)</f>
        <v>6190.6036000000004</v>
      </c>
      <c r="F31" s="74"/>
      <c r="G31" s="56">
        <f>SUM(G16:G30)</f>
        <v>6411.8213200000009</v>
      </c>
      <c r="H31" s="74"/>
      <c r="I31" s="56">
        <f>SUM(I16:I30)</f>
        <v>6641.8055483200023</v>
      </c>
      <c r="J31" s="74"/>
      <c r="K31" s="56">
        <f>SUM(K16:K30)</f>
        <v>6880.9470788128019</v>
      </c>
      <c r="L31" s="112"/>
      <c r="M31" s="56">
        <f>SUM(M16:M30)</f>
        <v>7129.6560970629771</v>
      </c>
      <c r="N31" s="112"/>
      <c r="O31" s="56">
        <f>SUM(O16:O30)</f>
        <v>7388.3632222138058</v>
      </c>
      <c r="P31" s="42"/>
      <c r="Q31" s="56">
        <f>SUM(Q16:Q30)</f>
        <v>7657.5206076534969</v>
      </c>
      <c r="R31" s="42"/>
      <c r="S31" s="56">
        <f>SUM(S16:S30)</f>
        <v>7937.603103982774</v>
      </c>
      <c r="T31" s="42"/>
      <c r="U31" s="56">
        <f>SUM(U16:U30)</f>
        <v>8229.1094878879103</v>
      </c>
      <c r="V31" s="42"/>
      <c r="W31" s="56">
        <f>SUM(W16:W30)</f>
        <v>8532.563760757339</v>
      </c>
      <c r="X31" s="42"/>
      <c r="Y31" s="56">
        <f>SUM(Y16:Y30)</f>
        <v>8848.5165211068197</v>
      </c>
      <c r="Z31" s="42"/>
      <c r="AA31" s="56">
        <f>SUM(AA16:AA30)</f>
        <v>9177.5464151183896</v>
      </c>
      <c r="AB31" s="42"/>
      <c r="AC31" s="56">
        <f>SUM(AC16:AC30)</f>
        <v>9520.2616698530092</v>
      </c>
      <c r="AD31" s="42"/>
      <c r="AE31" s="56">
        <f>SUM(AE16:AE30)</f>
        <v>9877.3017139665317</v>
      </c>
      <c r="AF31" s="42"/>
      <c r="AG31" s="56">
        <f>SUM(AG16:AG30)</f>
        <v>10249.338891044534</v>
      </c>
    </row>
    <row r="32" spans="1:33" ht="15.6" x14ac:dyDescent="0.3">
      <c r="A32" s="46"/>
      <c r="B32" s="46"/>
      <c r="C32" s="51"/>
      <c r="D32" s="51"/>
      <c r="E32" s="74"/>
      <c r="F32" s="74"/>
      <c r="G32" s="74"/>
      <c r="H32" s="74"/>
      <c r="I32" s="74"/>
      <c r="J32" s="74"/>
      <c r="K32" s="74"/>
      <c r="L32" s="111"/>
      <c r="M32" s="74"/>
      <c r="N32" s="111"/>
      <c r="O32" s="74"/>
      <c r="P32" s="42"/>
      <c r="Q32" s="74"/>
      <c r="R32" s="42"/>
      <c r="S32" s="74"/>
      <c r="T32" s="42"/>
      <c r="U32" s="74"/>
      <c r="V32" s="42"/>
      <c r="W32" s="74"/>
      <c r="X32" s="42"/>
      <c r="Y32" s="74"/>
      <c r="Z32" s="42"/>
      <c r="AA32" s="74"/>
      <c r="AB32" s="42"/>
      <c r="AC32" s="74"/>
      <c r="AD32" s="42"/>
      <c r="AE32" s="74"/>
      <c r="AF32" s="42"/>
      <c r="AG32" s="74"/>
    </row>
    <row r="33" spans="1:33" ht="15.6" x14ac:dyDescent="0.3">
      <c r="A33" s="44" t="s">
        <v>60</v>
      </c>
      <c r="B33" s="46"/>
      <c r="C33" s="56">
        <f>C13-C31</f>
        <v>14112.859999999999</v>
      </c>
      <c r="D33" s="51"/>
      <c r="E33" s="56">
        <f>E13-E31</f>
        <v>14904.568400000002</v>
      </c>
      <c r="F33" s="74"/>
      <c r="G33" s="56">
        <f>G13-G31</f>
        <v>15738.109280000002</v>
      </c>
      <c r="H33" s="74"/>
      <c r="I33" s="56">
        <f>I13-I31</f>
        <v>16615.621581680003</v>
      </c>
      <c r="J33" s="74"/>
      <c r="K33" s="56">
        <f>K13-K31</f>
        <v>17539.351407687205</v>
      </c>
      <c r="L33" s="112"/>
      <c r="M33" s="56">
        <f>M13-M31</f>
        <v>18511.657313762029</v>
      </c>
      <c r="N33" s="112"/>
      <c r="O33" s="56">
        <f>O13-O31</f>
        <v>19535.015859152452</v>
      </c>
      <c r="P33" s="42"/>
      <c r="Q33" s="56">
        <f>Q13-Q31</f>
        <v>20612.027427781075</v>
      </c>
      <c r="R33" s="42"/>
      <c r="S33" s="56">
        <f>S13-S31</f>
        <v>21745.422333223527</v>
      </c>
      <c r="T33" s="42"/>
      <c r="U33" s="56">
        <f>U13-U31</f>
        <v>22938.067221178702</v>
      </c>
      <c r="V33" s="42"/>
      <c r="W33" s="56">
        <f>W13-W31</f>
        <v>24192.971783762609</v>
      </c>
      <c r="X33" s="42"/>
      <c r="Y33" s="56">
        <f>Y13-Y31</f>
        <v>25513.295800639131</v>
      </c>
      <c r="Z33" s="42"/>
      <c r="AA33" s="56">
        <f>AA13-AA31</f>
        <v>26902.356522714857</v>
      </c>
      <c r="AB33" s="42"/>
      <c r="AC33" s="56">
        <f>AC13-AC31</f>
        <v>28363.6364148719</v>
      </c>
      <c r="AD33" s="42"/>
      <c r="AE33" s="56">
        <f>AE13-AE31</f>
        <v>29900.791274994626</v>
      </c>
      <c r="AF33" s="42"/>
      <c r="AG33" s="56">
        <f>AG13-AG31</f>
        <v>31517.65874736468</v>
      </c>
    </row>
    <row r="34" spans="1:33" x14ac:dyDescent="0.3">
      <c r="A34" s="42"/>
      <c r="B34" s="42"/>
      <c r="C34" s="74"/>
      <c r="D34" s="74"/>
      <c r="E34" s="74"/>
      <c r="F34" s="74"/>
      <c r="G34" s="74"/>
      <c r="H34" s="74"/>
      <c r="I34" s="74"/>
      <c r="J34" s="74"/>
      <c r="K34" s="74"/>
      <c r="L34" s="111"/>
      <c r="M34" s="74"/>
      <c r="N34" s="111"/>
      <c r="O34" s="74"/>
      <c r="P34" s="42"/>
      <c r="Q34" s="74"/>
      <c r="R34" s="42"/>
      <c r="S34" s="74"/>
      <c r="T34" s="42"/>
      <c r="U34" s="74"/>
      <c r="V34" s="42"/>
      <c r="W34" s="74"/>
      <c r="X34" s="42"/>
      <c r="Y34" s="74"/>
      <c r="Z34" s="42"/>
      <c r="AA34" s="74"/>
      <c r="AB34" s="42"/>
      <c r="AC34" s="74"/>
      <c r="AD34" s="42"/>
      <c r="AE34" s="74"/>
      <c r="AF34" s="42"/>
      <c r="AG34" s="74"/>
    </row>
    <row r="35" spans="1:33" ht="15.6" x14ac:dyDescent="0.3">
      <c r="A35" s="46" t="s">
        <v>61</v>
      </c>
      <c r="B35" s="42"/>
      <c r="C35" s="51">
        <f>IF(C40&gt;0,PMT(Inputs!B25/12,Inputs!B26*12,Inputs!B20,0)*12,0)</f>
        <v>-7908.678482525278</v>
      </c>
      <c r="D35" s="74"/>
      <c r="E35" s="51">
        <f>IF(C40&gt;0,PMT(Inputs!$B$25/12,Inputs!B26*12,Inputs!$B$20,0)*12,0)</f>
        <v>-7908.678482525278</v>
      </c>
      <c r="F35" s="74"/>
      <c r="G35" s="51">
        <f>IF(E40&gt;0,PMT(Inputs!$B$25/12,Inputs!B26*12,Inputs!$B$20,0)*12,0)</f>
        <v>-7908.678482525278</v>
      </c>
      <c r="H35" s="74"/>
      <c r="I35" s="51">
        <f>IF(G40&gt;0,PMT(Inputs!$B$25/12,Inputs!B26*12,Inputs!$B$20,0)*12,0)</f>
        <v>-7908.678482525278</v>
      </c>
      <c r="J35" s="74"/>
      <c r="K35" s="51">
        <f>IF(I40&gt;0,PMT(Inputs!$B$25/12,Inputs!B26*12,Inputs!$B$20,0)*12,)</f>
        <v>-7908.678482525278</v>
      </c>
      <c r="L35" s="113"/>
      <c r="M35" s="51">
        <f>IF(K40&gt;0,PMT(Inputs!B25/12,Inputs!B26*12,Inputs!B20,0)*12,0)</f>
        <v>-7908.678482525278</v>
      </c>
      <c r="N35" s="113"/>
      <c r="O35" s="51">
        <f>IF(M40&gt;0,PMT(Inputs!B25/12,Inputs!B26*12,Inputs!B20,0)*12,)</f>
        <v>-7908.678482525278</v>
      </c>
      <c r="P35" s="42"/>
      <c r="Q35" s="51">
        <f>IF(O40&gt;0,PMT(Inputs!B25/12,Inputs!B26*12,Inputs!B20,0)*12,)</f>
        <v>-7908.678482525278</v>
      </c>
      <c r="R35" s="42"/>
      <c r="S35" s="51">
        <f>IF(Q40&gt;0,PMT(Inputs!B25/12,Inputs!B26*12,Inputs!B20,0)*12,0)</f>
        <v>-7908.678482525278</v>
      </c>
      <c r="T35" s="42"/>
      <c r="U35" s="51">
        <f>IF(S40&gt;0,PMT(Inputs!B25/12,Inputs!B26*12,Inputs!B20,0)*12,0)</f>
        <v>-7908.678482525278</v>
      </c>
      <c r="V35" s="42"/>
      <c r="W35" s="51">
        <f>IF(U40&gt;0,PMT(Inputs!B25/12,Inputs!B26*12,Inputs!B20,0)*12,0)</f>
        <v>-7908.678482525278</v>
      </c>
      <c r="X35" s="42"/>
      <c r="Y35" s="51">
        <f>IF(W40&gt;0,PMT(Inputs!B25/12,Inputs!B26*12,Inputs!B20,0)*12,0)</f>
        <v>-7908.678482525278</v>
      </c>
      <c r="Z35" s="42"/>
      <c r="AA35" s="51">
        <f>IF(Y40&gt;0,PMT(Inputs!B25/12,Inputs!B26*12,Inputs!B20,0)*12,0)</f>
        <v>-7908.678482525278</v>
      </c>
      <c r="AB35" s="42"/>
      <c r="AC35" s="51">
        <f>IF(AA40&gt;0,PMT(Inputs!B25/12,Inputs!B26*12,Inputs!B20,0)*12,0)</f>
        <v>-7908.678482525278</v>
      </c>
      <c r="AD35" s="42"/>
      <c r="AE35" s="51">
        <f>IF(AC40&gt;0,PMT(Inputs!B25/12,Inputs!B26*12,Inputs!B20,0)*12,0)</f>
        <v>-7908.678482525278</v>
      </c>
      <c r="AF35" s="42"/>
      <c r="AG35" s="51">
        <f>IF(AE40&gt;0,PMT(Inputs!B25/12,Inputs!B26*12,Inputs!B20,0)*12,0)</f>
        <v>-7908.678482525278</v>
      </c>
    </row>
    <row r="36" spans="1:33" ht="16.2" thickBot="1" x14ac:dyDescent="0.35">
      <c r="A36" s="42"/>
      <c r="B36" s="42"/>
      <c r="C36" s="74"/>
      <c r="D36" s="74"/>
      <c r="E36" s="74"/>
      <c r="F36" s="74"/>
      <c r="G36" s="74"/>
      <c r="H36" s="74"/>
      <c r="I36" s="74"/>
      <c r="J36" s="74"/>
      <c r="K36" s="74"/>
      <c r="L36" s="111"/>
      <c r="M36" s="51"/>
      <c r="N36" s="111"/>
      <c r="O36" s="74"/>
      <c r="P36" s="42"/>
      <c r="Q36" s="74"/>
      <c r="R36" s="42"/>
      <c r="S36" s="74"/>
      <c r="T36" s="42"/>
      <c r="U36" s="74"/>
      <c r="V36" s="42"/>
      <c r="W36" s="74"/>
      <c r="X36" s="42"/>
      <c r="Y36" s="74"/>
      <c r="Z36" s="42"/>
      <c r="AA36" s="74"/>
      <c r="AB36" s="42"/>
      <c r="AC36" s="74"/>
      <c r="AD36" s="42"/>
      <c r="AE36" s="74"/>
      <c r="AF36" s="42"/>
      <c r="AG36" s="74"/>
    </row>
    <row r="37" spans="1:33" ht="18.600000000000001" thickBot="1" x14ac:dyDescent="0.4">
      <c r="A37" s="41" t="s">
        <v>69</v>
      </c>
      <c r="B37" s="62"/>
      <c r="C37" s="75">
        <f>C33+C35</f>
        <v>6204.1815174747207</v>
      </c>
      <c r="D37" s="74"/>
      <c r="E37" s="75">
        <f>E33+E35</f>
        <v>6995.8899174747239</v>
      </c>
      <c r="F37" s="74"/>
      <c r="G37" s="75">
        <f>G33+G35</f>
        <v>7829.4307974747244</v>
      </c>
      <c r="H37" s="74"/>
      <c r="I37" s="75">
        <f>I33+I35</f>
        <v>8706.9430991547251</v>
      </c>
      <c r="J37" s="74"/>
      <c r="K37" s="75">
        <f>K33+K35</f>
        <v>9630.6729251619272</v>
      </c>
      <c r="L37" s="114"/>
      <c r="M37" s="75">
        <f>M33+M35</f>
        <v>10602.978831236751</v>
      </c>
      <c r="N37" s="114"/>
      <c r="O37" s="75">
        <f>O33+O35</f>
        <v>11626.337376627174</v>
      </c>
      <c r="P37" s="42"/>
      <c r="Q37" s="75">
        <f>Q33+Q35</f>
        <v>12703.348945255797</v>
      </c>
      <c r="R37" s="42"/>
      <c r="S37" s="75">
        <f>S33+S35</f>
        <v>13836.743850698249</v>
      </c>
      <c r="T37" s="42"/>
      <c r="U37" s="75">
        <f>U33+U35</f>
        <v>15029.388738653424</v>
      </c>
      <c r="V37" s="42"/>
      <c r="W37" s="75">
        <f>W33+W35</f>
        <v>16284.293301237331</v>
      </c>
      <c r="X37" s="42"/>
      <c r="Y37" s="75">
        <f>Y33+Y35</f>
        <v>17604.617318113851</v>
      </c>
      <c r="Z37" s="42"/>
      <c r="AA37" s="75">
        <f>AA33+AA35</f>
        <v>18993.678040189581</v>
      </c>
      <c r="AB37" s="42"/>
      <c r="AC37" s="75">
        <f>AC33+AC35</f>
        <v>20454.957932346624</v>
      </c>
      <c r="AD37" s="42"/>
      <c r="AE37" s="75">
        <f>AE33+AE35</f>
        <v>21992.11279246935</v>
      </c>
      <c r="AF37" s="42"/>
      <c r="AG37" s="75">
        <f>AG33+AG35</f>
        <v>23608.980264839403</v>
      </c>
    </row>
    <row r="38" spans="1:33" ht="15" thickTop="1" x14ac:dyDescent="0.3">
      <c r="A38" s="42"/>
      <c r="B38" s="42"/>
      <c r="C38" s="74"/>
      <c r="D38" s="74"/>
      <c r="E38" s="74"/>
      <c r="F38" s="74"/>
      <c r="G38" s="74"/>
      <c r="H38" s="74"/>
      <c r="I38" s="74"/>
      <c r="J38" s="74"/>
      <c r="K38" s="74"/>
      <c r="L38" s="111"/>
      <c r="M38" s="74"/>
      <c r="N38" s="111"/>
      <c r="O38" s="74"/>
      <c r="P38" s="42"/>
      <c r="Q38" s="74"/>
      <c r="R38" s="42"/>
      <c r="S38" s="74"/>
      <c r="T38" s="42"/>
      <c r="U38" s="74"/>
      <c r="V38" s="42"/>
      <c r="W38" s="74"/>
      <c r="X38" s="42"/>
      <c r="Y38" s="74"/>
      <c r="Z38" s="42"/>
      <c r="AA38" s="74"/>
      <c r="AB38" s="42"/>
      <c r="AC38" s="74"/>
      <c r="AD38" s="42"/>
      <c r="AE38" s="74"/>
      <c r="AF38" s="42"/>
      <c r="AG38" s="74"/>
    </row>
    <row r="39" spans="1:33" ht="15.6" x14ac:dyDescent="0.3">
      <c r="A39" s="42" t="s">
        <v>81</v>
      </c>
      <c r="B39" s="42"/>
      <c r="C39" s="51">
        <f>Inputs!B16*(1+Inputs!B40)</f>
        <v>174900</v>
      </c>
      <c r="D39" s="51"/>
      <c r="E39" s="51">
        <f>C39*(1+Inputs!$B$40)</f>
        <v>185394</v>
      </c>
      <c r="F39" s="51"/>
      <c r="G39" s="51">
        <f>E39*(1+Inputs!$B$40)</f>
        <v>196517.64</v>
      </c>
      <c r="H39" s="51"/>
      <c r="I39" s="51">
        <f>G39*(1+Inputs!$B$40)</f>
        <v>208308.69840000002</v>
      </c>
      <c r="J39" s="51"/>
      <c r="K39" s="51">
        <f>I39*(1+Inputs!$B$40)</f>
        <v>220807.22030400005</v>
      </c>
      <c r="L39" s="113"/>
      <c r="M39" s="51">
        <f>K39*(1+Inputs!$B$40)</f>
        <v>234055.65352224006</v>
      </c>
      <c r="N39" s="113"/>
      <c r="O39" s="51">
        <f>M39*(1+Inputs!$B$40)</f>
        <v>248098.99273357447</v>
      </c>
      <c r="P39" s="42"/>
      <c r="Q39" s="51">
        <f>O39*(1+Inputs!$B$40)</f>
        <v>262984.93229758897</v>
      </c>
      <c r="R39" s="42"/>
      <c r="S39" s="51">
        <f>Q39*(1+Inputs!$B$40)</f>
        <v>278764.02823544433</v>
      </c>
      <c r="T39" s="42"/>
      <c r="U39" s="51">
        <f>S39*(1+Inputs!$B$40)</f>
        <v>295489.869929571</v>
      </c>
      <c r="V39" s="42"/>
      <c r="W39" s="51">
        <f>U39*(1+Inputs!$B$40)</f>
        <v>313219.2621253453</v>
      </c>
      <c r="X39" s="42"/>
      <c r="Y39" s="51">
        <f>W39*(1+Inputs!$B$40)</f>
        <v>332012.41785286606</v>
      </c>
      <c r="Z39" s="42"/>
      <c r="AA39" s="51">
        <f>Y39*(1+Inputs!$B$40)</f>
        <v>351933.16292403801</v>
      </c>
      <c r="AB39" s="42"/>
      <c r="AC39" s="51">
        <f>AA39*(1+Inputs!$B$40)</f>
        <v>373049.1526994803</v>
      </c>
      <c r="AD39" s="42"/>
      <c r="AE39" s="51">
        <f>AC39*(1+Inputs!$B$40)</f>
        <v>395432.10186144913</v>
      </c>
      <c r="AF39" s="42"/>
      <c r="AG39" s="51">
        <f>AE39*(1+Inputs!$B$40)</f>
        <v>419158.02797313611</v>
      </c>
    </row>
    <row r="40" spans="1:33" ht="15.6" x14ac:dyDescent="0.3">
      <c r="A40" s="42" t="s">
        <v>82</v>
      </c>
      <c r="B40" s="42"/>
      <c r="C40" s="78">
        <f>IF((Inputs!B20+CUMPRINC(Inputs!$B$25/12,Inputs!B26*12,Inputs!$B$20,1,12,0)-Inputs!B27*12)&gt;0,Inputs!B20+CUMPRINC(Inputs!$B$25/12,Inputs!B26*12,Inputs!$B$20,1,12,0)-Inputs!B27*12,0)</f>
        <v>129823.01257557487</v>
      </c>
      <c r="D40" s="51"/>
      <c r="E40" s="108">
        <f>IF((C40+CUMPRINC(Inputs!$B$25/12,Inputs!B26*12,Inputs!$B$20,13,24,0)-Inputs!B27*12)&gt;0,(C40+CUMPRINC(Inputs!$B$25/12,Inputs!B26*12,Inputs!$B$20,13,24,0)-Inputs!B27*12),0)</f>
        <v>127548.84872557054</v>
      </c>
      <c r="F40" s="51"/>
      <c r="G40" s="78">
        <f>IF((E40+CUMPRINC(Inputs!$B$25/12,Inputs!B26*12,Inputs!$B$20,25,36,0)-Inputs!B27*12)&gt;0,E40+CUMPRINC(Inputs!$B$25/12,Inputs!B26*12,Inputs!$B$20,25,36,0)-Inputs!B27*12,0)</f>
        <v>125173.17068598229</v>
      </c>
      <c r="H40" s="51"/>
      <c r="I40" s="108">
        <f>IF((G40+CUMPRINC(Inputs!$B$25/12,Inputs!B26*12,Inputs!$B$20,37,48,0)-Inputs!B27*12)&gt;0,G40+CUMPRINC(Inputs!$B$25/12,Inputs!B26*12,Inputs!$B$20,37,48,0)-Inputs!B27*12,0)</f>
        <v>122691.44706357438</v>
      </c>
      <c r="J40" s="51"/>
      <c r="K40" s="78">
        <f>IF((I40+CUMPRINC(Inputs!$B$25/12,Inputs!B26*12,Inputs!$B$20,49,60,0)-Inputs!B27*12)&gt;0,I40+CUMPRINC(Inputs!$B$25/12,Inputs!B26*12,Inputs!$B$20,49,60,0)-Inputs!B27*12,0)</f>
        <v>120098.94419265298</v>
      </c>
      <c r="L40" s="113"/>
      <c r="M40" s="123">
        <f>IF((K40+CUMPRINC(Inputs!$B$25/12,Inputs!B26*12,Inputs!$B$20,61,72,0)-Inputs!B27*12)&gt;0,K40+CUMPRINC(Inputs!$B$25/12,Inputs!B26*12,Inputs!$B$20,61,72,0)-Inputs!B27*12,0)</f>
        <v>117390.71710602257</v>
      </c>
      <c r="N40" s="113"/>
      <c r="O40" s="78">
        <f>IF((M40+CUMPRINC(Inputs!$B$25/12,Inputs!B26*12,Inputs!$B$20,73,84,0)-Inputs!B27*12)&gt;0,M40+CUMPRINC(Inputs!$B$25/12,Inputs!B26*12,Inputs!$B$20,73,84,0)-Inputs!B27*12,0)</f>
        <v>114561.60010290351</v>
      </c>
      <c r="P40" s="42"/>
      <c r="Q40" s="108">
        <f>IF((O40+CUMPRINC(Inputs!$B$25/12,Inputs!B26*12,Inputs!$B$20,85,96,0)-Inputs!B27*12)&gt;0,O40+CUMPRINC(Inputs!$B$25/12,Inputs!B26*12,Inputs!$B$20,85,96,0)-Inputs!B27*12,0)</f>
        <v>111606.19689582023</v>
      </c>
      <c r="R40" s="42"/>
      <c r="S40" s="78">
        <f>IF((Q40+CUMPRINC(Inputs!$B$25/12,Inputs!B26*12,Inputs!$B$20,97,108,0)-Inputs!B27*12)&gt;0,Q40+CUMPRINC(Inputs!$B$25/12,Inputs!B26*12,Inputs!$B$20,97,108,0)-Inputs!B27*12,0)</f>
        <v>108518.87031766577</v>
      </c>
      <c r="T40" s="42"/>
      <c r="U40" s="108">
        <f>IF((S40+CUMPRINC(Inputs!$B$25/12,Inputs!B26*12,Inputs!$B$20,109,120,0)-Inputs!B27*12)&gt;0,S40+CUMPRINC(Inputs!$B$25/12,Inputs!B26*12,Inputs!$B$20,109,120,0)-Inputs!B27*12,0)</f>
        <v>105293.7315693101</v>
      </c>
      <c r="V40" s="42"/>
      <c r="W40" s="78">
        <f>IF((U40+CUMPRINC(Inputs!$B$25/12,Inputs!B26*12,Inputs!$B$20,121,132,0)-Inputs!B27*12)&gt;0,U40+CUMPRINC(Inputs!$B$25/12,Inputs!B26*12,Inputs!$B$20,121,132,0)-Inputs!B27*12,0)</f>
        <v>101924.6289872428</v>
      </c>
      <c r="X40" s="42"/>
      <c r="Y40" s="108">
        <f>IF((W40+CUMPRINC(Inputs!$B$25/12,Inputs!B26*12,Inputs!$B$20,133,144,0)-Inputs!B27*12)&gt;0,W40+CUMPRINC(Inputs!$B$25/12,Inputs!B26*12,Inputs!$B$20,133,144,0)-Inputs!B27*12,0)</f>
        <v>98405.136309825524</v>
      </c>
      <c r="Z40" s="42"/>
      <c r="AA40" s="78">
        <f>IF((Y40+CUMPRINC(Inputs!$B$25/12,Inputs!B26*12,Inputs!$B$20,145,156,0)-Inputs!B27*12)&gt;0,Y40+CUMPRINC(Inputs!$B$25/12,Inputs!B26*12,Inputs!$B$20,145,156,0)-Inputs!B27*12,0)</f>
        <v>94728.540419773024</v>
      </c>
      <c r="AB40" s="42"/>
      <c r="AC40" s="108">
        <f>IF((AA40+CUMPRINC(Inputs!$B$25/12,Inputs!B26*12,Inputs!$B$20,158,169,0)-Inputs!B27*12)&gt;0,AA40+CUMPRINC(Inputs!$B$25/12,Inputs!B26*12,Inputs!$B$20,158,169,0)-Inputs!B27*12,0)</f>
        <v>90873.82594408594</v>
      </c>
      <c r="AD40" s="42"/>
      <c r="AE40" s="78">
        <f>IF((AC40+CUMPRINC(Inputs!$B$25/12,Inputs!B26*12,Inputs!$B$20,169,180,0)-Inputs!B27*12)&gt;0,AC40+CUMPRINC(Inputs!$B$25/12,Inputs!B26*12,Inputs!$B$20,169,180,0)-Inputs!B27*12,0)</f>
        <v>86861.672259392668</v>
      </c>
      <c r="AF40" s="42"/>
      <c r="AG40" s="78">
        <f>IF((AE40+CUMPRINC(Inputs!$B$25/12,Inputs!B26*12,Inputs!$B$20,169,180,0)-Inputs!B27*12)&gt;0,AE40+CUMPRINC(Inputs!$B$25/12,Inputs!B26*12,Inputs!$B$20,169,180,0)-Inputs!B27*12,0)</f>
        <v>82849.518574699396</v>
      </c>
    </row>
    <row r="41" spans="1:33" ht="16.2" thickBot="1" x14ac:dyDescent="0.35">
      <c r="A41" s="42" t="s">
        <v>83</v>
      </c>
      <c r="B41" s="42"/>
      <c r="C41" s="79">
        <f>C39-C40</f>
        <v>45076.987424425126</v>
      </c>
      <c r="D41" s="51"/>
      <c r="E41" s="79">
        <f>E39-E40</f>
        <v>57845.15127442946</v>
      </c>
      <c r="F41" s="51"/>
      <c r="G41" s="79">
        <f>G39-G40</f>
        <v>71344.469314017726</v>
      </c>
      <c r="H41" s="51"/>
      <c r="I41" s="79">
        <f>I39-I40</f>
        <v>85617.251336425645</v>
      </c>
      <c r="J41" s="51"/>
      <c r="K41" s="79">
        <f>K39-K40</f>
        <v>100708.27611134706</v>
      </c>
      <c r="L41" s="113"/>
      <c r="M41" s="79">
        <f>M39-M40</f>
        <v>116664.93641621749</v>
      </c>
      <c r="N41" s="113"/>
      <c r="O41" s="79">
        <f>O39-O40</f>
        <v>133537.39263067098</v>
      </c>
      <c r="P41" s="42"/>
      <c r="Q41" s="79">
        <f>Q39-Q40</f>
        <v>151378.73540176873</v>
      </c>
      <c r="R41" s="42"/>
      <c r="S41" s="79">
        <f>S39-S40</f>
        <v>170245.15791777856</v>
      </c>
      <c r="T41" s="42"/>
      <c r="U41" s="79">
        <f>U39-U40</f>
        <v>190196.1383602609</v>
      </c>
      <c r="V41" s="42"/>
      <c r="W41" s="79">
        <f>W39-W40</f>
        <v>211294.63313810248</v>
      </c>
      <c r="X41" s="42"/>
      <c r="Y41" s="79">
        <f>Y39-Y40</f>
        <v>233607.28154304053</v>
      </c>
      <c r="Z41" s="42"/>
      <c r="AA41" s="79">
        <f>AA39-AA40</f>
        <v>257204.62250426499</v>
      </c>
      <c r="AB41" s="42"/>
      <c r="AC41" s="79">
        <f>AC39-AC40</f>
        <v>282175.32675539434</v>
      </c>
      <c r="AD41" s="42"/>
      <c r="AE41" s="79">
        <f>AE39-AE40</f>
        <v>308570.42960205645</v>
      </c>
      <c r="AF41" s="42"/>
      <c r="AG41" s="79">
        <f>AG39-AG40</f>
        <v>336308.5093984367</v>
      </c>
    </row>
    <row r="42" spans="1:33" ht="18.600000000000001" thickBot="1" x14ac:dyDescent="0.4">
      <c r="A42" s="122" t="s">
        <v>84</v>
      </c>
      <c r="B42" s="42"/>
      <c r="C42" s="80">
        <f>C41+C37</f>
        <v>51281.168941899843</v>
      </c>
      <c r="D42" s="51"/>
      <c r="E42" s="80">
        <f>E41+E37</f>
        <v>64841.04119190418</v>
      </c>
      <c r="F42" s="51"/>
      <c r="G42" s="80">
        <f>G41+G37</f>
        <v>79173.900111492447</v>
      </c>
      <c r="H42" s="51"/>
      <c r="I42" s="80">
        <f>I41+I37</f>
        <v>94324.194435580372</v>
      </c>
      <c r="J42" s="51"/>
      <c r="K42" s="80">
        <f>K41+K37</f>
        <v>110338.94903650899</v>
      </c>
      <c r="L42" s="114"/>
      <c r="M42" s="80">
        <f>M41+M37</f>
        <v>127267.91524745424</v>
      </c>
      <c r="N42" s="114"/>
      <c r="O42" s="80">
        <f>O41+O37</f>
        <v>145163.73000729815</v>
      </c>
      <c r="P42" s="42"/>
      <c r="Q42" s="80">
        <f>Q41+Q37</f>
        <v>164082.08434702453</v>
      </c>
      <c r="R42" s="42"/>
      <c r="S42" s="80">
        <f>S41+S37</f>
        <v>184081.90176847682</v>
      </c>
      <c r="T42" s="42"/>
      <c r="U42" s="80">
        <f>U41+U37</f>
        <v>205225.52709891432</v>
      </c>
      <c r="V42" s="42"/>
      <c r="W42" s="80">
        <f>W41+W37</f>
        <v>227578.92643933982</v>
      </c>
      <c r="X42" s="42"/>
      <c r="Y42" s="80">
        <f>Y41+Y37</f>
        <v>251211.89886115439</v>
      </c>
      <c r="Z42" s="42"/>
      <c r="AA42" s="80">
        <f>AA41+AA37</f>
        <v>276198.3005444546</v>
      </c>
      <c r="AB42" s="42"/>
      <c r="AC42" s="80">
        <f>AC41+AC37</f>
        <v>302630.28468774096</v>
      </c>
      <c r="AD42" s="42"/>
      <c r="AE42" s="80">
        <f>AE41+AE37</f>
        <v>330562.54239452578</v>
      </c>
      <c r="AF42" s="42"/>
      <c r="AG42" s="80">
        <f>AG41+AG37</f>
        <v>359917.48966327612</v>
      </c>
    </row>
    <row r="43" spans="1:33" ht="16.2" hidden="1" thickTop="1" x14ac:dyDescent="0.3">
      <c r="A43" s="122" t="s">
        <v>89</v>
      </c>
      <c r="B43" s="42"/>
      <c r="C43" s="51">
        <f>$I$7</f>
        <v>41782</v>
      </c>
      <c r="D43" s="51"/>
      <c r="E43" s="51">
        <f>$I$7</f>
        <v>41782</v>
      </c>
      <c r="F43" s="51"/>
      <c r="G43" s="51">
        <f>$I$7</f>
        <v>41782</v>
      </c>
      <c r="H43" s="51"/>
      <c r="I43" s="51">
        <f>$I$7</f>
        <v>41782</v>
      </c>
      <c r="J43" s="51"/>
      <c r="K43" s="51">
        <f>$I$7</f>
        <v>41782</v>
      </c>
      <c r="L43" s="113"/>
      <c r="M43" s="51">
        <f>$I$7</f>
        <v>41782</v>
      </c>
      <c r="N43" s="113"/>
      <c r="O43" s="51">
        <f>$I$7</f>
        <v>41782</v>
      </c>
      <c r="P43" s="42"/>
      <c r="Q43" s="51">
        <f>$I$7</f>
        <v>41782</v>
      </c>
      <c r="R43" s="42"/>
      <c r="S43" s="51">
        <f>$I$7</f>
        <v>41782</v>
      </c>
      <c r="T43" s="42"/>
      <c r="U43" s="51">
        <f>$I$7</f>
        <v>41782</v>
      </c>
      <c r="V43" s="42"/>
      <c r="W43" s="51">
        <f>$I$7</f>
        <v>41782</v>
      </c>
      <c r="X43" s="42"/>
      <c r="Y43" s="51">
        <f>$I$7</f>
        <v>41782</v>
      </c>
      <c r="Z43" s="42"/>
      <c r="AA43" s="51">
        <f>$I$7</f>
        <v>41782</v>
      </c>
      <c r="AB43" s="42"/>
      <c r="AC43" s="51">
        <f>$I$7</f>
        <v>41782</v>
      </c>
      <c r="AD43" s="42"/>
      <c r="AE43" s="51">
        <f>$I$7</f>
        <v>41782</v>
      </c>
      <c r="AF43" s="42"/>
      <c r="AG43" s="51">
        <f>$I$7</f>
        <v>41782</v>
      </c>
    </row>
    <row r="44" spans="1:33" ht="16.2" thickTop="1" x14ac:dyDescent="0.3">
      <c r="A44" s="122" t="s">
        <v>90</v>
      </c>
      <c r="B44" s="42"/>
      <c r="C44" s="81">
        <f>(C41-C43+C37)/I7</f>
        <v>0.22735074773586345</v>
      </c>
      <c r="D44" s="51"/>
      <c r="E44" s="81">
        <f>(E41-C41+E37)/$I$7</f>
        <v>0.47302794905650897</v>
      </c>
      <c r="F44" s="51"/>
      <c r="G44" s="81">
        <f>(G41-E41+G37)/$I$7</f>
        <v>0.51047697183148222</v>
      </c>
      <c r="H44" s="51"/>
      <c r="I44" s="81">
        <f>(I41-G41+I37)/$I$7</f>
        <v>0.54999102775268405</v>
      </c>
      <c r="J44" s="51"/>
      <c r="K44" s="81">
        <f>(K41-I41+K37)/$I$7</f>
        <v>0.59168296635114026</v>
      </c>
      <c r="L44" s="115"/>
      <c r="M44" s="81">
        <f>(M41-K41+M37)/$I$7</f>
        <v>0.63567179972493371</v>
      </c>
      <c r="N44" s="115"/>
      <c r="O44" s="81">
        <f>(O41-M41+O37)/$I$7</f>
        <v>0.68208304033030165</v>
      </c>
      <c r="P44" s="42"/>
      <c r="Q44" s="81">
        <f>(Q41-O41+Q37)/$I$7</f>
        <v>0.73104905740159765</v>
      </c>
      <c r="R44" s="42"/>
      <c r="S44" s="81">
        <f>(S41-Q41+S37)/$I$7</f>
        <v>0.78270945303499306</v>
      </c>
      <c r="T44" s="42"/>
      <c r="U44" s="81">
        <f>(U41-S41+U37)/$I$7</f>
        <v>0.837211459028667</v>
      </c>
      <c r="V44" s="42"/>
      <c r="W44" s="81">
        <f>(W41-U41+W37)/$I$7</f>
        <v>0.89471035563350043</v>
      </c>
      <c r="X44" s="42"/>
      <c r="Y44" s="81">
        <f>(Y41-W41+Y37)/$I$7</f>
        <v>0.95536991343286348</v>
      </c>
      <c r="Z44" s="42"/>
      <c r="AA44" s="81">
        <f>(AA41-Y41+AA37)/$I$7</f>
        <v>1.0193628596384576</v>
      </c>
      <c r="AB44" s="42"/>
      <c r="AC44" s="81">
        <f>(AC41-AA41+AC37)/$I$7</f>
        <v>1.0872065047981423</v>
      </c>
      <c r="AD44" s="42"/>
      <c r="AE44" s="81">
        <f>(AE41-AC41+AE37)/$I$7</f>
        <v>1.1580875888930988</v>
      </c>
      <c r="AF44" s="42"/>
      <c r="AG44" s="81">
        <f>(AG41-AE41+AG37)/$I$7</f>
        <v>1.2289277694035625</v>
      </c>
    </row>
    <row r="45" spans="1:33" ht="15.6" x14ac:dyDescent="0.3">
      <c r="A45" s="42"/>
      <c r="B45" s="42"/>
      <c r="C45" s="77"/>
      <c r="D45" s="51"/>
      <c r="E45" s="77"/>
      <c r="F45" s="51"/>
      <c r="G45" s="77"/>
      <c r="H45" s="51"/>
      <c r="I45" s="77"/>
      <c r="J45" s="51"/>
      <c r="K45" s="77"/>
      <c r="L45" s="116"/>
      <c r="M45" s="77"/>
      <c r="N45" s="116"/>
      <c r="O45" s="77"/>
      <c r="P45" s="42"/>
      <c r="Q45" s="77"/>
      <c r="R45" s="42"/>
      <c r="S45" s="77"/>
      <c r="T45" s="42"/>
      <c r="U45" s="77"/>
      <c r="V45" s="42"/>
      <c r="W45" s="77"/>
      <c r="X45" s="42"/>
      <c r="Y45" s="77"/>
      <c r="Z45" s="42"/>
      <c r="AA45" s="77"/>
      <c r="AB45" s="42"/>
      <c r="AC45" s="77"/>
      <c r="AD45" s="42"/>
      <c r="AE45" s="77"/>
      <c r="AF45" s="42"/>
      <c r="AG45" s="77"/>
    </row>
    <row r="46" spans="1:33" ht="16.2" thickBot="1" x14ac:dyDescent="0.35">
      <c r="A46" s="122" t="s">
        <v>110</v>
      </c>
      <c r="B46" s="42"/>
      <c r="C46" s="85">
        <f>C37</f>
        <v>6204.1815174747207</v>
      </c>
      <c r="D46" s="82"/>
      <c r="E46" s="85">
        <f>E37+C46</f>
        <v>13200.071434949445</v>
      </c>
      <c r="F46" s="82"/>
      <c r="G46" s="85">
        <f>G37+E46</f>
        <v>21029.502232424169</v>
      </c>
      <c r="H46" s="82"/>
      <c r="I46" s="85">
        <f>I37+G46</f>
        <v>29736.445331578892</v>
      </c>
      <c r="J46" s="82"/>
      <c r="K46" s="85">
        <f>K37+I46</f>
        <v>39367.118256740818</v>
      </c>
      <c r="L46" s="117"/>
      <c r="M46" s="85">
        <f>M37+K46</f>
        <v>49970.09708797757</v>
      </c>
      <c r="N46" s="117"/>
      <c r="O46" s="85">
        <f>O37+M46</f>
        <v>61596.434464604747</v>
      </c>
      <c r="P46" s="42"/>
      <c r="Q46" s="85">
        <f>Q37+O46</f>
        <v>74299.783409860538</v>
      </c>
      <c r="R46" s="42"/>
      <c r="S46" s="85">
        <f>S37+Q46</f>
        <v>88136.527260558782</v>
      </c>
      <c r="T46" s="42"/>
      <c r="U46" s="85">
        <f>U37+S46</f>
        <v>103165.9159992122</v>
      </c>
      <c r="V46" s="42"/>
      <c r="W46" s="85">
        <f>W37+U46</f>
        <v>119450.20930044953</v>
      </c>
      <c r="X46" s="42"/>
      <c r="Y46" s="85">
        <f>Y37+W46</f>
        <v>137054.82661856338</v>
      </c>
      <c r="Z46" s="42"/>
      <c r="AA46" s="85">
        <f>AA37+Y46</f>
        <v>156048.50465875297</v>
      </c>
      <c r="AB46" s="42"/>
      <c r="AC46" s="85">
        <f>AC37+AA46</f>
        <v>176503.46259109958</v>
      </c>
      <c r="AD46" s="42"/>
      <c r="AE46" s="85">
        <f>AE37+AC46</f>
        <v>198495.57538356894</v>
      </c>
      <c r="AF46" s="42"/>
      <c r="AG46" s="85">
        <f>AG37+AE46</f>
        <v>222104.55564840834</v>
      </c>
    </row>
    <row r="47" spans="1:33" ht="16.2" thickTop="1" x14ac:dyDescent="0.3">
      <c r="A47" s="122" t="s">
        <v>92</v>
      </c>
      <c r="B47" s="42"/>
      <c r="C47" s="83">
        <f>C46/$I$7</f>
        <v>0.14848933793199753</v>
      </c>
      <c r="D47" s="84"/>
      <c r="E47" s="83">
        <f>E46/$I$7</f>
        <v>0.31592722787203686</v>
      </c>
      <c r="F47" s="84"/>
      <c r="G47" s="83">
        <f>G46/$I$7</f>
        <v>0.50331487799588748</v>
      </c>
      <c r="H47" s="84"/>
      <c r="I47" s="83">
        <f>I46/$I$7</f>
        <v>0.71170468937769593</v>
      </c>
      <c r="J47" s="84"/>
      <c r="K47" s="83">
        <f>K46/$I$7</f>
        <v>0.94220282075393269</v>
      </c>
      <c r="L47" s="118"/>
      <c r="M47" s="83">
        <f>M46/$I$7</f>
        <v>1.1959718799477663</v>
      </c>
      <c r="N47" s="118"/>
      <c r="O47" s="83">
        <f>O46/$I$7</f>
        <v>1.4742337481356744</v>
      </c>
      <c r="P47" s="42"/>
      <c r="Q47" s="83">
        <f>Q46/$I$7</f>
        <v>1.7782725434364208</v>
      </c>
      <c r="R47" s="42"/>
      <c r="S47" s="83">
        <f>S46/$I$7</f>
        <v>2.1094377306150682</v>
      </c>
      <c r="T47" s="42"/>
      <c r="U47" s="83">
        <f>U46/$I$7</f>
        <v>2.4691473840221194</v>
      </c>
      <c r="V47" s="42"/>
      <c r="W47" s="83">
        <f>W46/$I$7</f>
        <v>2.8588916112309013</v>
      </c>
      <c r="X47" s="42"/>
      <c r="Y47" s="83">
        <f>Y46/$I$7</f>
        <v>3.2802361451956199</v>
      </c>
      <c r="Z47" s="42"/>
      <c r="AA47" s="83">
        <f>AA46/$I$7</f>
        <v>3.7348261131289302</v>
      </c>
      <c r="AB47" s="42"/>
      <c r="AC47" s="83">
        <f>AC46/$I$7</f>
        <v>4.2243899906921545</v>
      </c>
      <c r="AD47" s="42"/>
      <c r="AE47" s="83">
        <f>AE46/$I$7</f>
        <v>4.7507437505042587</v>
      </c>
      <c r="AF47" s="42"/>
      <c r="AG47" s="83">
        <f>AG46/$I$7</f>
        <v>5.3157952144083183</v>
      </c>
    </row>
    <row r="48" spans="1:33" ht="15.6" x14ac:dyDescent="0.3">
      <c r="A48" s="42"/>
      <c r="B48" s="42"/>
      <c r="C48" s="83"/>
      <c r="D48" s="84"/>
      <c r="E48" s="83"/>
      <c r="F48" s="84"/>
      <c r="G48" s="83"/>
      <c r="H48" s="84"/>
      <c r="I48" s="83"/>
      <c r="J48" s="84"/>
      <c r="K48" s="83"/>
      <c r="L48" s="118"/>
      <c r="M48" s="83"/>
      <c r="N48" s="118"/>
      <c r="O48" s="83"/>
      <c r="P48" s="42"/>
      <c r="Q48" s="83"/>
      <c r="R48" s="42"/>
      <c r="S48" s="83"/>
      <c r="T48" s="42"/>
      <c r="U48" s="83"/>
      <c r="V48" s="42"/>
      <c r="W48" s="83"/>
      <c r="X48" s="42"/>
      <c r="Y48" s="83"/>
      <c r="Z48" s="42"/>
      <c r="AA48" s="83"/>
      <c r="AB48" s="42"/>
      <c r="AC48" s="83"/>
      <c r="AD48" s="42"/>
      <c r="AE48" s="83"/>
      <c r="AF48" s="42"/>
      <c r="AG48" s="83"/>
    </row>
    <row r="49" spans="1:33" ht="16.2" thickBot="1" x14ac:dyDescent="0.35">
      <c r="A49" s="122" t="s">
        <v>111</v>
      </c>
      <c r="B49" s="42"/>
      <c r="C49" s="85">
        <f>C41-C43+C37</f>
        <v>9499.1689418998467</v>
      </c>
      <c r="D49" s="84"/>
      <c r="E49" s="85">
        <f>E41-E43+E37+C37</f>
        <v>29263.222709378904</v>
      </c>
      <c r="F49" s="82"/>
      <c r="G49" s="85">
        <f>G41-G43+G37+E37+C37</f>
        <v>50591.971546441884</v>
      </c>
      <c r="H49" s="82"/>
      <c r="I49" s="85">
        <f>I41-I43+I37+G37+E37+C37</f>
        <v>73571.69666800453</v>
      </c>
      <c r="J49" s="82"/>
      <c r="K49" s="85">
        <f>K41-K43+K37+I37+G37+E37+C37</f>
        <v>98293.394368087873</v>
      </c>
      <c r="L49" s="117"/>
      <c r="M49" s="85">
        <f>M41-M43+M37+K37+I37+G37+E37</f>
        <v>118648.85198672033</v>
      </c>
      <c r="N49" s="117"/>
      <c r="O49" s="85">
        <f>O41-O43+O37+M37+K37+I37+G37</f>
        <v>140151.75566032625</v>
      </c>
      <c r="P49" s="42"/>
      <c r="Q49" s="85">
        <f>Q41-Q43+Q37+O37+M37+K37+I37</f>
        <v>162867.01657920508</v>
      </c>
      <c r="R49" s="42"/>
      <c r="S49" s="85">
        <f>S41-S43+S37+Q37+O37+M37+K37</f>
        <v>186863.23984675846</v>
      </c>
      <c r="T49" s="42"/>
      <c r="U49" s="85">
        <f>U41-U43+U37+S37+Q37+O37+M37</f>
        <v>212212.93610273229</v>
      </c>
      <c r="V49" s="42"/>
      <c r="W49" s="85">
        <f>W41-W43+W37+U37+S37+Q37+O37</f>
        <v>238992.74535057446</v>
      </c>
      <c r="X49" s="42"/>
      <c r="Y49" s="85">
        <f>Y41-Y43+Y37+W37+U37+S37+Q37</f>
        <v>267283.67369699921</v>
      </c>
      <c r="Z49" s="42"/>
      <c r="AA49" s="85">
        <f>AA41-AA43+AA37+Y37+W37+U37+S37</f>
        <v>297171.34375315742</v>
      </c>
      <c r="AB49" s="42"/>
      <c r="AC49" s="85">
        <f>AC41-AC43+AC37+AA37+Y37+W37+U37</f>
        <v>328760.26208593516</v>
      </c>
      <c r="AD49" s="42"/>
      <c r="AE49" s="85">
        <f>AE41-AE43+AE37+AC37+AA37+Y37+W37</f>
        <v>362118.0889864132</v>
      </c>
      <c r="AF49" s="42"/>
      <c r="AG49" s="85">
        <f>AG41-AG43+AG37+AE37+AC37+AA37+Y37</f>
        <v>397180.85574639548</v>
      </c>
    </row>
    <row r="50" spans="1:33" ht="16.2" thickTop="1" x14ac:dyDescent="0.3">
      <c r="A50" s="122" t="s">
        <v>91</v>
      </c>
      <c r="B50" s="42"/>
      <c r="C50" s="83">
        <f>C49/$I$7</f>
        <v>0.22735074773586345</v>
      </c>
      <c r="D50" s="84"/>
      <c r="E50" s="83">
        <f>E49/$I$7</f>
        <v>0.70037869679237241</v>
      </c>
      <c r="F50" s="84"/>
      <c r="G50" s="83">
        <f>G49/$I$7</f>
        <v>1.2108556686238543</v>
      </c>
      <c r="H50" s="84"/>
      <c r="I50" s="83">
        <f>I49/$I$7</f>
        <v>1.7608466963765386</v>
      </c>
      <c r="J50" s="84"/>
      <c r="K50" s="83">
        <f>K49/$I$7</f>
        <v>2.3525296627276786</v>
      </c>
      <c r="L50" s="118"/>
      <c r="M50" s="83">
        <f>M49/$I$7</f>
        <v>2.8397121245206147</v>
      </c>
      <c r="N50" s="118"/>
      <c r="O50" s="83">
        <f>O49/$I$7</f>
        <v>3.3543572749108765</v>
      </c>
      <c r="P50" s="42"/>
      <c r="Q50" s="83">
        <f>Q49/$I$7</f>
        <v>3.8980186821886238</v>
      </c>
      <c r="R50" s="42"/>
      <c r="S50" s="83">
        <f>S49/$I$7</f>
        <v>4.4723383238418091</v>
      </c>
      <c r="T50" s="42"/>
      <c r="U50" s="83">
        <f>U49/$I$7</f>
        <v>5.0790516514942388</v>
      </c>
      <c r="V50" s="42"/>
      <c r="W50" s="83">
        <f>W49/$I$7</f>
        <v>5.719992947933906</v>
      </c>
      <c r="X50" s="42"/>
      <c r="Y50" s="83">
        <f>Y49/$I$7</f>
        <v>6.3971009931788618</v>
      </c>
      <c r="Z50" s="42"/>
      <c r="AA50" s="83">
        <f>AA49/$I$7</f>
        <v>7.1124250575165719</v>
      </c>
      <c r="AB50" s="42"/>
      <c r="AC50" s="83">
        <f>AC49/$I$7</f>
        <v>7.8684663751360668</v>
      </c>
      <c r="AD50" s="42"/>
      <c r="AE50" s="83">
        <f>AE49/$I$7</f>
        <v>8.666844310622114</v>
      </c>
      <c r="AF50" s="42"/>
      <c r="AG50" s="83">
        <f>AG49/$I$7</f>
        <v>9.506027852816894</v>
      </c>
    </row>
    <row r="51" spans="1:33" x14ac:dyDescent="0.3">
      <c r="A51" s="42"/>
      <c r="B51" s="42"/>
      <c r="C51" s="76"/>
      <c r="D51" s="74"/>
      <c r="E51" s="76"/>
      <c r="F51" s="74"/>
      <c r="G51" s="76"/>
      <c r="H51" s="74"/>
      <c r="I51" s="76"/>
      <c r="J51" s="74"/>
      <c r="K51" s="76"/>
      <c r="L51" s="119"/>
      <c r="M51" s="76"/>
      <c r="N51" s="119"/>
      <c r="O51" s="76"/>
      <c r="P51" s="42"/>
      <c r="Q51" s="76"/>
      <c r="R51" s="42"/>
      <c r="S51" s="76"/>
      <c r="T51" s="42"/>
      <c r="U51" s="76"/>
      <c r="V51" s="42"/>
      <c r="W51" s="76"/>
      <c r="X51" s="42"/>
      <c r="Y51" s="76"/>
      <c r="Z51" s="42"/>
      <c r="AA51" s="76"/>
      <c r="AB51" s="42"/>
      <c r="AC51" s="76"/>
      <c r="AD51" s="42"/>
      <c r="AE51" s="76"/>
      <c r="AF51" s="42"/>
      <c r="AG51" s="76"/>
    </row>
    <row r="52" spans="1:33" ht="15.75" customHeight="1" x14ac:dyDescent="0.3">
      <c r="A52" s="42"/>
      <c r="B52" s="71"/>
      <c r="C52" s="109"/>
      <c r="D52" s="71"/>
      <c r="E52" s="42"/>
      <c r="F52" s="42"/>
      <c r="G52" s="42"/>
      <c r="H52" s="42"/>
      <c r="I52" s="42"/>
      <c r="J52" s="42"/>
      <c r="K52" s="42"/>
      <c r="L52" s="110"/>
      <c r="M52" s="42"/>
      <c r="N52" s="110"/>
      <c r="O52" s="42"/>
      <c r="P52" s="42"/>
      <c r="Q52" s="42"/>
      <c r="R52" s="42"/>
      <c r="S52" s="42"/>
      <c r="T52" s="42"/>
      <c r="U52" s="42"/>
      <c r="V52" s="42"/>
      <c r="W52" s="42"/>
      <c r="X52" s="42"/>
      <c r="Y52" s="42"/>
      <c r="Z52" s="42"/>
      <c r="AA52" s="42"/>
      <c r="AB52" s="42"/>
      <c r="AC52" s="42"/>
      <c r="AD52" s="42"/>
      <c r="AE52" s="42"/>
      <c r="AF52" s="42"/>
      <c r="AG52" s="42"/>
    </row>
    <row r="53" spans="1:33" ht="19.5" customHeight="1" x14ac:dyDescent="0.3">
      <c r="A53" s="155" t="str">
        <f>Inputs!A68</f>
        <v xml:space="preserve">This sheet is for informational purposes only.  This is not a commitment, approval or guarantee to lend.  The figures included in this worksheet are entirely dependent on the information that you input.  These figures and calculations are considered accurate, but not guaranteed.  Joe Massey and Castle &amp; Cooke Mortgage do not represent, warrant or guarantee these numbers.  Matt Pillmore and VIP Financial Education do not represent, warrant or guarantee these numbers.  All information is for preliminary analysis and calculations only.  Please contact your tax advisor, CPA, financial planner, attorney, insurance agent, real estate agent or other properly licensed professional for additional information as needed.  </v>
      </c>
      <c r="B53" s="155"/>
      <c r="C53" s="155"/>
      <c r="D53" s="155"/>
      <c r="E53" s="155"/>
      <c r="F53" s="155"/>
      <c r="G53" s="155"/>
      <c r="H53" s="155"/>
      <c r="I53" s="155"/>
      <c r="J53" s="155"/>
      <c r="K53" s="155"/>
      <c r="L53" s="120"/>
      <c r="M53" s="42"/>
      <c r="N53" s="110"/>
      <c r="O53" s="42"/>
      <c r="P53" s="42"/>
      <c r="Q53" s="42"/>
      <c r="R53" s="42"/>
      <c r="S53" s="42"/>
      <c r="T53" s="42"/>
      <c r="U53" s="42"/>
      <c r="V53" s="42"/>
      <c r="W53" s="42"/>
      <c r="X53" s="42"/>
      <c r="Y53" s="42"/>
      <c r="Z53" s="42"/>
      <c r="AA53" s="42"/>
      <c r="AB53" s="42"/>
      <c r="AC53" s="42"/>
      <c r="AD53" s="42"/>
      <c r="AE53" s="42"/>
      <c r="AF53" s="42"/>
      <c r="AG53" s="42"/>
    </row>
    <row r="54" spans="1:33" x14ac:dyDescent="0.3">
      <c r="A54" s="155"/>
      <c r="B54" s="155"/>
      <c r="C54" s="155"/>
      <c r="D54" s="155"/>
      <c r="E54" s="155"/>
      <c r="F54" s="155"/>
      <c r="G54" s="155"/>
      <c r="H54" s="155"/>
      <c r="I54" s="155"/>
      <c r="J54" s="155"/>
      <c r="K54" s="155"/>
      <c r="L54" s="120"/>
      <c r="M54" s="42"/>
      <c r="N54" s="110"/>
      <c r="O54" s="42"/>
      <c r="P54" s="42"/>
      <c r="Q54" s="42"/>
      <c r="R54" s="42"/>
      <c r="S54" s="42"/>
      <c r="T54" s="42"/>
      <c r="U54" s="42"/>
      <c r="V54" s="42"/>
      <c r="W54" s="42"/>
      <c r="X54" s="42"/>
      <c r="Y54" s="42"/>
      <c r="Z54" s="42"/>
      <c r="AA54" s="42"/>
      <c r="AB54" s="42"/>
      <c r="AC54" s="42"/>
      <c r="AD54" s="42"/>
      <c r="AE54" s="42"/>
      <c r="AF54" s="42"/>
      <c r="AG54" s="42"/>
    </row>
    <row r="55" spans="1:33" x14ac:dyDescent="0.3">
      <c r="A55" s="155"/>
      <c r="B55" s="155"/>
      <c r="C55" s="155"/>
      <c r="D55" s="155"/>
      <c r="E55" s="155"/>
      <c r="F55" s="155"/>
      <c r="G55" s="155"/>
      <c r="H55" s="155"/>
      <c r="I55" s="155"/>
      <c r="J55" s="155"/>
      <c r="K55" s="155"/>
      <c r="L55" s="120"/>
      <c r="M55" s="42"/>
      <c r="N55" s="110"/>
      <c r="O55" s="42"/>
      <c r="P55" s="42"/>
      <c r="Q55" s="42"/>
      <c r="R55" s="42"/>
      <c r="S55" s="42"/>
      <c r="T55" s="42"/>
      <c r="U55" s="42"/>
      <c r="V55" s="42"/>
      <c r="W55" s="42"/>
      <c r="X55" s="42"/>
      <c r="Y55" s="42"/>
      <c r="Z55" s="42"/>
      <c r="AA55" s="42"/>
      <c r="AB55" s="42"/>
      <c r="AC55" s="42"/>
      <c r="AD55" s="42"/>
      <c r="AE55" s="42"/>
      <c r="AF55" s="42"/>
      <c r="AG55" s="42"/>
    </row>
    <row r="56" spans="1:33" x14ac:dyDescent="0.3">
      <c r="A56" s="87"/>
      <c r="B56" s="87"/>
      <c r="C56" s="87"/>
      <c r="D56" s="87"/>
    </row>
  </sheetData>
  <sheetProtection algorithmName="SHA-512" hashValue="wnOoorBVDrEAYSPH+iKr+CFEoBxx+luezo3ReH+47OhlEcy9haw+wF6IyiLCy11K4G/xOpwdv3uxkAdFgNJvFw==" saltValue="lIVcgpFg0WMa+M/gPFw2wQ==" spinCount="100000" sheet="1" objects="1" scenarios="1" selectLockedCells="1"/>
  <mergeCells count="1">
    <mergeCell ref="A53:K55"/>
  </mergeCells>
  <pageMargins left="0.7" right="0.7" top="0.75" bottom="0.75" header="0.3" footer="0.3"/>
  <pageSetup scale="6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6"/>
  <sheetViews>
    <sheetView zoomScaleNormal="100" workbookViewId="0"/>
  </sheetViews>
  <sheetFormatPr defaultColWidth="9.109375" defaultRowHeight="14.4" x14ac:dyDescent="0.3"/>
  <cols>
    <col min="1" max="1" width="18" style="86" customWidth="1"/>
    <col min="2" max="2" width="19.88671875" style="86" customWidth="1"/>
    <col min="3" max="3" width="16.109375" style="86" customWidth="1"/>
    <col min="4" max="4" width="6" style="86" customWidth="1"/>
    <col min="5" max="5" width="12.88671875" style="86" customWidth="1"/>
    <col min="6" max="6" width="6" style="86" customWidth="1"/>
    <col min="7" max="7" width="13.44140625" style="86" customWidth="1"/>
    <col min="8" max="8" width="6" style="86" customWidth="1"/>
    <col min="9" max="9" width="13.6640625" style="86" customWidth="1"/>
    <col min="10" max="10" width="6" style="86" customWidth="1"/>
    <col min="11" max="11" width="15.6640625" style="86" customWidth="1"/>
    <col min="12" max="12" width="6" style="121" customWidth="1"/>
    <col min="13" max="13" width="15.6640625" style="86" customWidth="1"/>
    <col min="14" max="14" width="6" style="121" customWidth="1"/>
    <col min="15" max="15" width="15.6640625" style="86" customWidth="1"/>
    <col min="16" max="16" width="6" style="86" customWidth="1"/>
    <col min="17" max="17" width="15.6640625" style="86" customWidth="1"/>
    <col min="18" max="18" width="6" style="86" customWidth="1"/>
    <col min="19" max="19" width="15.6640625" style="86" customWidth="1"/>
    <col min="20" max="20" width="6" style="86" customWidth="1"/>
    <col min="21" max="21" width="15.6640625" style="86" customWidth="1"/>
    <col min="22" max="22" width="6" style="86" customWidth="1"/>
    <col min="23" max="23" width="15.6640625" style="86" customWidth="1"/>
    <col min="24" max="24" width="6" style="86" customWidth="1"/>
    <col min="25" max="25" width="15.6640625" style="86" customWidth="1"/>
    <col min="26" max="26" width="6" style="86" customWidth="1"/>
    <col min="27" max="27" width="15.6640625" style="86" customWidth="1"/>
    <col min="28" max="28" width="6" style="86" customWidth="1"/>
    <col min="29" max="29" width="15.6640625" style="86" customWidth="1"/>
    <col min="30" max="30" width="6" style="86" customWidth="1"/>
    <col min="31" max="31" width="15.6640625" style="86" customWidth="1"/>
    <col min="32" max="32" width="6" style="86" customWidth="1"/>
    <col min="33" max="33" width="15.6640625" style="86" customWidth="1"/>
    <col min="34" max="16384" width="9.109375" style="86"/>
  </cols>
  <sheetData>
    <row r="1" spans="1:33" ht="18" x14ac:dyDescent="0.35">
      <c r="A1" s="41" t="s">
        <v>42</v>
      </c>
      <c r="B1" s="42"/>
      <c r="C1" s="41" t="str">
        <f>Inputs!B11</f>
        <v>123 Main St</v>
      </c>
      <c r="D1" s="42"/>
      <c r="E1" s="41" t="s">
        <v>44</v>
      </c>
      <c r="F1" s="42"/>
      <c r="G1" s="42"/>
      <c r="H1" s="42"/>
      <c r="I1" s="42"/>
      <c r="J1" s="42"/>
      <c r="K1" s="42"/>
      <c r="L1" s="110"/>
      <c r="M1" s="42"/>
      <c r="N1" s="110"/>
      <c r="O1" s="42"/>
      <c r="P1" s="42"/>
      <c r="Q1" s="42"/>
      <c r="R1" s="42"/>
      <c r="S1" s="42"/>
      <c r="T1" s="42"/>
      <c r="U1" s="42"/>
      <c r="V1" s="42"/>
      <c r="W1" s="42"/>
      <c r="X1" s="42"/>
      <c r="Y1" s="42"/>
      <c r="Z1" s="42"/>
      <c r="AA1" s="42"/>
      <c r="AB1" s="42"/>
      <c r="AC1" s="42"/>
      <c r="AD1" s="42"/>
      <c r="AE1" s="42"/>
      <c r="AF1" s="42"/>
      <c r="AG1" s="42"/>
    </row>
    <row r="2" spans="1:33" ht="15.6" x14ac:dyDescent="0.3">
      <c r="A2" s="42"/>
      <c r="B2" s="42"/>
      <c r="C2" s="42"/>
      <c r="D2" s="42"/>
      <c r="E2" s="46" t="s">
        <v>3</v>
      </c>
      <c r="F2" s="42"/>
      <c r="G2" s="46"/>
      <c r="H2" s="42"/>
      <c r="I2" s="47">
        <f>Inputs!B16</f>
        <v>165000</v>
      </c>
      <c r="J2" s="42"/>
      <c r="K2" s="42"/>
      <c r="L2" s="110"/>
      <c r="M2" s="42"/>
      <c r="N2" s="110"/>
      <c r="O2" s="42"/>
      <c r="P2" s="42"/>
      <c r="Q2" s="42"/>
      <c r="R2" s="42"/>
      <c r="S2" s="42"/>
      <c r="T2" s="42"/>
      <c r="U2" s="42"/>
      <c r="V2" s="42"/>
      <c r="W2" s="42"/>
      <c r="X2" s="42"/>
      <c r="Y2" s="42"/>
      <c r="Z2" s="42"/>
      <c r="AA2" s="42"/>
      <c r="AB2" s="42"/>
      <c r="AC2" s="42"/>
      <c r="AD2" s="42"/>
      <c r="AE2" s="42"/>
      <c r="AF2" s="42"/>
      <c r="AG2" s="42"/>
    </row>
    <row r="3" spans="1:33" ht="16.2" thickBot="1" x14ac:dyDescent="0.35">
      <c r="A3" s="44" t="s">
        <v>43</v>
      </c>
      <c r="B3" s="42"/>
      <c r="C3" s="45">
        <f>Inputs!B12</f>
        <v>1</v>
      </c>
      <c r="D3" s="42"/>
      <c r="E3" s="46" t="s">
        <v>45</v>
      </c>
      <c r="F3" s="42"/>
      <c r="G3" s="46"/>
      <c r="H3" s="42"/>
      <c r="I3" s="48">
        <f>Inputs!B20</f>
        <v>132000</v>
      </c>
      <c r="J3" s="42"/>
      <c r="K3" s="42"/>
      <c r="L3" s="110"/>
      <c r="M3" s="42"/>
      <c r="N3" s="110"/>
      <c r="O3" s="42"/>
      <c r="P3" s="42"/>
      <c r="Q3" s="42"/>
      <c r="R3" s="42"/>
      <c r="S3" s="42"/>
      <c r="T3" s="42"/>
      <c r="U3" s="42"/>
      <c r="V3" s="42"/>
      <c r="W3" s="42"/>
      <c r="X3" s="42"/>
      <c r="Y3" s="42"/>
      <c r="Z3" s="42"/>
      <c r="AA3" s="42"/>
      <c r="AB3" s="42"/>
      <c r="AC3" s="42"/>
      <c r="AD3" s="42"/>
      <c r="AE3" s="42"/>
      <c r="AF3" s="42"/>
      <c r="AG3" s="42"/>
    </row>
    <row r="4" spans="1:33" ht="15.6" x14ac:dyDescent="0.3">
      <c r="A4" s="42"/>
      <c r="B4" s="42"/>
      <c r="C4" s="42"/>
      <c r="D4" s="42"/>
      <c r="E4" s="46" t="s">
        <v>46</v>
      </c>
      <c r="F4" s="42"/>
      <c r="G4" s="46"/>
      <c r="H4" s="42"/>
      <c r="I4" s="47">
        <f>Inputs!B19</f>
        <v>33000</v>
      </c>
      <c r="J4" s="42"/>
      <c r="K4" s="42"/>
      <c r="L4" s="110"/>
      <c r="M4" s="42"/>
      <c r="N4" s="110"/>
      <c r="O4" s="42"/>
      <c r="P4" s="42"/>
      <c r="Q4" s="42"/>
      <c r="R4" s="42"/>
      <c r="S4" s="42"/>
      <c r="T4" s="42"/>
      <c r="U4" s="42"/>
      <c r="V4" s="42"/>
      <c r="W4" s="42"/>
      <c r="X4" s="42"/>
      <c r="Y4" s="42"/>
      <c r="Z4" s="42"/>
      <c r="AA4" s="42"/>
      <c r="AB4" s="42"/>
      <c r="AC4" s="42"/>
      <c r="AD4" s="42"/>
      <c r="AE4" s="42"/>
      <c r="AF4" s="42"/>
      <c r="AG4" s="42"/>
    </row>
    <row r="5" spans="1:33" ht="15.6" x14ac:dyDescent="0.3">
      <c r="A5" s="42"/>
      <c r="B5" s="42"/>
      <c r="C5" s="42"/>
      <c r="D5" s="42"/>
      <c r="E5" s="46" t="s">
        <v>79</v>
      </c>
      <c r="F5" s="42"/>
      <c r="G5" s="46"/>
      <c r="H5" s="42"/>
      <c r="I5" s="47">
        <f>Inputs!B17+Inputs!B18</f>
        <v>3782</v>
      </c>
      <c r="J5" s="42"/>
      <c r="K5" s="42"/>
      <c r="L5" s="110"/>
      <c r="M5" s="42"/>
      <c r="N5" s="110"/>
      <c r="O5" s="42"/>
      <c r="P5" s="42"/>
      <c r="Q5" s="42"/>
      <c r="R5" s="42"/>
      <c r="S5" s="42"/>
      <c r="T5" s="42"/>
      <c r="U5" s="42"/>
      <c r="V5" s="42"/>
      <c r="W5" s="42"/>
      <c r="X5" s="42"/>
      <c r="Y5" s="42"/>
      <c r="Z5" s="42"/>
      <c r="AA5" s="42"/>
      <c r="AB5" s="42"/>
      <c r="AC5" s="42"/>
      <c r="AD5" s="42"/>
      <c r="AE5" s="42"/>
      <c r="AF5" s="42"/>
      <c r="AG5" s="42"/>
    </row>
    <row r="6" spans="1:33" ht="16.2" thickBot="1" x14ac:dyDescent="0.35">
      <c r="A6" s="42"/>
      <c r="B6" s="42"/>
      <c r="C6" s="42"/>
      <c r="D6" s="42"/>
      <c r="E6" s="46" t="s">
        <v>47</v>
      </c>
      <c r="F6" s="42"/>
      <c r="G6" s="46"/>
      <c r="H6" s="42"/>
      <c r="I6" s="48">
        <f>Inputs!B22</f>
        <v>5000</v>
      </c>
      <c r="J6" s="42"/>
      <c r="K6" s="42"/>
      <c r="L6" s="110"/>
      <c r="M6" s="42"/>
      <c r="N6" s="110"/>
      <c r="O6" s="42"/>
      <c r="P6" s="42"/>
      <c r="Q6" s="42"/>
      <c r="R6" s="42"/>
      <c r="S6" s="42"/>
      <c r="T6" s="42"/>
      <c r="U6" s="42"/>
      <c r="V6" s="42"/>
      <c r="W6" s="42"/>
      <c r="X6" s="42"/>
      <c r="Y6" s="42"/>
      <c r="Z6" s="42"/>
      <c r="AA6" s="42"/>
      <c r="AB6" s="42"/>
      <c r="AC6" s="42"/>
      <c r="AD6" s="42"/>
      <c r="AE6" s="42"/>
      <c r="AF6" s="42"/>
      <c r="AG6" s="42"/>
    </row>
    <row r="7" spans="1:33" ht="18.600000000000001" thickBot="1" x14ac:dyDescent="0.4">
      <c r="A7" s="42"/>
      <c r="B7" s="42"/>
      <c r="C7" s="42"/>
      <c r="D7" s="42"/>
      <c r="E7" s="41" t="s">
        <v>48</v>
      </c>
      <c r="F7" s="42"/>
      <c r="G7" s="41"/>
      <c r="H7" s="42"/>
      <c r="I7" s="49">
        <f>Inputs!B23</f>
        <v>41782</v>
      </c>
      <c r="J7" s="42"/>
      <c r="K7" s="42"/>
      <c r="L7" s="110"/>
      <c r="M7" s="42"/>
      <c r="N7" s="110"/>
      <c r="O7" s="42"/>
      <c r="P7" s="42"/>
      <c r="Q7" s="42"/>
      <c r="R7" s="42"/>
      <c r="S7" s="42"/>
      <c r="T7" s="42"/>
      <c r="U7" s="42"/>
      <c r="V7" s="42"/>
      <c r="W7" s="42"/>
      <c r="X7" s="42"/>
      <c r="Y7" s="42"/>
      <c r="Z7" s="42"/>
      <c r="AA7" s="42"/>
      <c r="AB7" s="42"/>
      <c r="AC7" s="42"/>
      <c r="AD7" s="42"/>
      <c r="AE7" s="42"/>
      <c r="AF7" s="42"/>
      <c r="AG7" s="42"/>
    </row>
    <row r="8" spans="1:33" ht="18.600000000000001" thickTop="1" x14ac:dyDescent="0.35">
      <c r="A8" s="41" t="s">
        <v>49</v>
      </c>
      <c r="B8" s="42"/>
      <c r="C8" s="42"/>
      <c r="D8" s="42"/>
      <c r="E8" s="42"/>
      <c r="F8" s="42"/>
      <c r="G8" s="42"/>
      <c r="H8" s="42"/>
      <c r="I8" s="42"/>
      <c r="J8" s="42"/>
      <c r="K8" s="42"/>
      <c r="L8" s="110"/>
      <c r="M8" s="42"/>
      <c r="N8" s="110"/>
      <c r="O8" s="42"/>
      <c r="P8" s="42"/>
      <c r="Q8" s="42"/>
      <c r="R8" s="42"/>
      <c r="S8" s="42"/>
      <c r="T8" s="42"/>
      <c r="U8" s="42"/>
      <c r="V8" s="42"/>
      <c r="W8" s="42"/>
      <c r="X8" s="42"/>
      <c r="Y8" s="42"/>
      <c r="Z8" s="42"/>
      <c r="AA8" s="42"/>
      <c r="AB8" s="42"/>
      <c r="AC8" s="42"/>
      <c r="AD8" s="42"/>
      <c r="AE8" s="42"/>
      <c r="AF8" s="42"/>
      <c r="AG8" s="42"/>
    </row>
    <row r="9" spans="1:33" x14ac:dyDescent="0.3">
      <c r="A9" s="42"/>
      <c r="B9" s="42"/>
      <c r="C9" s="42"/>
      <c r="D9" s="42"/>
      <c r="E9" s="42"/>
      <c r="F9" s="42"/>
      <c r="G9" s="42"/>
      <c r="H9" s="42"/>
      <c r="I9" s="42"/>
      <c r="J9" s="42"/>
      <c r="K9" s="42"/>
      <c r="L9" s="110"/>
      <c r="M9" s="42"/>
      <c r="N9" s="110"/>
      <c r="O9" s="42"/>
      <c r="P9" s="42"/>
      <c r="Q9" s="42"/>
      <c r="R9" s="42"/>
      <c r="S9" s="42"/>
      <c r="T9" s="42"/>
      <c r="U9" s="42"/>
      <c r="V9" s="42"/>
      <c r="W9" s="42"/>
      <c r="X9" s="42"/>
      <c r="Y9" s="42"/>
      <c r="Z9" s="42"/>
      <c r="AA9" s="42"/>
      <c r="AB9" s="42"/>
      <c r="AC9" s="42"/>
      <c r="AD9" s="42"/>
      <c r="AE9" s="42"/>
      <c r="AF9" s="42"/>
      <c r="AG9" s="42"/>
    </row>
    <row r="10" spans="1:33" ht="15.6" x14ac:dyDescent="0.3">
      <c r="A10" s="50" t="s">
        <v>52</v>
      </c>
      <c r="B10" s="46"/>
      <c r="C10" s="46" t="s">
        <v>80</v>
      </c>
      <c r="D10" s="46"/>
      <c r="E10" s="42" t="s">
        <v>85</v>
      </c>
      <c r="F10" s="42"/>
      <c r="G10" s="42" t="s">
        <v>86</v>
      </c>
      <c r="H10" s="42"/>
      <c r="I10" s="42" t="s">
        <v>87</v>
      </c>
      <c r="J10" s="42"/>
      <c r="K10" s="42" t="s">
        <v>88</v>
      </c>
      <c r="L10" s="110"/>
      <c r="M10" s="42" t="s">
        <v>99</v>
      </c>
      <c r="N10" s="110"/>
      <c r="O10" s="42" t="s">
        <v>100</v>
      </c>
      <c r="P10" s="42"/>
      <c r="Q10" s="42" t="s">
        <v>101</v>
      </c>
      <c r="R10" s="42"/>
      <c r="S10" s="42" t="s">
        <v>102</v>
      </c>
      <c r="T10" s="42"/>
      <c r="U10" s="42" t="s">
        <v>103</v>
      </c>
      <c r="V10" s="42"/>
      <c r="W10" s="42" t="s">
        <v>104</v>
      </c>
      <c r="X10" s="42"/>
      <c r="Y10" s="42" t="s">
        <v>105</v>
      </c>
      <c r="Z10" s="42"/>
      <c r="AA10" s="42" t="s">
        <v>106</v>
      </c>
      <c r="AB10" s="42"/>
      <c r="AC10" s="42" t="s">
        <v>107</v>
      </c>
      <c r="AD10" s="42"/>
      <c r="AE10" s="42" t="s">
        <v>108</v>
      </c>
      <c r="AF10" s="42"/>
      <c r="AG10" s="42" t="s">
        <v>109</v>
      </c>
    </row>
    <row r="11" spans="1:33" ht="15.6" x14ac:dyDescent="0.3">
      <c r="A11" s="46" t="s">
        <v>51</v>
      </c>
      <c r="B11" s="46"/>
      <c r="C11" s="51">
        <f>Inputs!B34*12</f>
        <v>20712</v>
      </c>
      <c r="D11" s="51"/>
      <c r="E11" s="74">
        <f>C11*(1+Inputs!$B$38)</f>
        <v>21747.600000000002</v>
      </c>
      <c r="F11" s="74"/>
      <c r="G11" s="74">
        <f>E11*(1+Inputs!$B$38)</f>
        <v>22834.980000000003</v>
      </c>
      <c r="H11" s="74"/>
      <c r="I11" s="74">
        <f>G11*(1+Inputs!$B$38)</f>
        <v>23976.729000000003</v>
      </c>
      <c r="J11" s="74"/>
      <c r="K11" s="74">
        <f>I11*(1+Inputs!$B$38)</f>
        <v>25175.565450000006</v>
      </c>
      <c r="L11" s="111"/>
      <c r="M11" s="74">
        <f>K11*(1+Inputs!$B$38)</f>
        <v>26434.343722500005</v>
      </c>
      <c r="N11" s="111"/>
      <c r="O11" s="74">
        <f>M11*(1+Inputs!$B$38)</f>
        <v>27756.060908625008</v>
      </c>
      <c r="P11" s="42"/>
      <c r="Q11" s="74">
        <f>O11*(1+Inputs!$B$38)</f>
        <v>29143.863954056258</v>
      </c>
      <c r="R11" s="42"/>
      <c r="S11" s="74">
        <f>Q11*(1+Inputs!$B$38)</f>
        <v>30601.057151759072</v>
      </c>
      <c r="T11" s="42"/>
      <c r="U11" s="74">
        <f>S11*(1+Inputs!$B$38)</f>
        <v>32131.110009347027</v>
      </c>
      <c r="V11" s="42"/>
      <c r="W11" s="74">
        <f>U11*(1+Inputs!$B$38)</f>
        <v>33737.665509814382</v>
      </c>
      <c r="X11" s="42"/>
      <c r="Y11" s="74">
        <f>W11*(1+Inputs!$B$38)</f>
        <v>35424.548785305102</v>
      </c>
      <c r="Z11" s="42"/>
      <c r="AA11" s="74">
        <f>Y11*(1+Inputs!$B$38)</f>
        <v>37195.776224570356</v>
      </c>
      <c r="AB11" s="42"/>
      <c r="AC11" s="74">
        <f>AA11*(1+Inputs!$B$38)</f>
        <v>39055.565035798878</v>
      </c>
      <c r="AD11" s="42"/>
      <c r="AE11" s="74">
        <f>AC11*(1+Inputs!$B$38)</f>
        <v>41008.343287588825</v>
      </c>
      <c r="AF11" s="42"/>
      <c r="AG11" s="74">
        <f>AE11*(1+Inputs!$B$38)</f>
        <v>43058.760451968265</v>
      </c>
    </row>
    <row r="12" spans="1:33" ht="16.2" thickBot="1" x14ac:dyDescent="0.35">
      <c r="A12" s="46" t="s">
        <v>50</v>
      </c>
      <c r="B12" s="54">
        <f>Inputs!B36</f>
        <v>0.03</v>
      </c>
      <c r="C12" s="55">
        <f>-C11*Inputs!B36</f>
        <v>-621.36</v>
      </c>
      <c r="D12" s="51"/>
      <c r="E12" s="88">
        <f>-E11*Inputs!$B$36</f>
        <v>-652.428</v>
      </c>
      <c r="F12" s="74"/>
      <c r="G12" s="88">
        <f>-G11*Inputs!$B$36</f>
        <v>-685.04940000000011</v>
      </c>
      <c r="H12" s="74"/>
      <c r="I12" s="88">
        <f>-I11*Inputs!$B$36</f>
        <v>-719.30187000000001</v>
      </c>
      <c r="J12" s="74"/>
      <c r="K12" s="88">
        <f>-K11*Inputs!$B$36</f>
        <v>-755.26696350000009</v>
      </c>
      <c r="L12" s="111"/>
      <c r="M12" s="88">
        <f>-M11*Inputs!$B$36</f>
        <v>-793.03031167500012</v>
      </c>
      <c r="N12" s="111"/>
      <c r="O12" s="88">
        <f>-O11*Inputs!$B$36</f>
        <v>-832.68182725875022</v>
      </c>
      <c r="P12" s="42"/>
      <c r="Q12" s="88">
        <f>-Q11*Inputs!$B$36</f>
        <v>-874.31591862168773</v>
      </c>
      <c r="R12" s="42"/>
      <c r="S12" s="88">
        <f>-S11*Inputs!$B$36</f>
        <v>-918.03171455277209</v>
      </c>
      <c r="T12" s="42"/>
      <c r="U12" s="88">
        <f>-U11*Inputs!$B$36</f>
        <v>-963.93330028041078</v>
      </c>
      <c r="V12" s="42"/>
      <c r="W12" s="88">
        <f>-W11*Inputs!$B$36</f>
        <v>-1012.1299652944314</v>
      </c>
      <c r="X12" s="42"/>
      <c r="Y12" s="88">
        <f>-Y11*Inputs!$B$36</f>
        <v>-1062.736463559153</v>
      </c>
      <c r="Z12" s="42"/>
      <c r="AA12" s="88">
        <f>-AA11*Inputs!$B$36</f>
        <v>-1115.8732867371107</v>
      </c>
      <c r="AB12" s="42"/>
      <c r="AC12" s="88">
        <f>-AC11*Inputs!$B$36</f>
        <v>-1171.6669510739664</v>
      </c>
      <c r="AD12" s="42"/>
      <c r="AE12" s="88">
        <f>-AE11*Inputs!$B$36</f>
        <v>-1230.2502986276647</v>
      </c>
      <c r="AF12" s="42"/>
      <c r="AG12" s="88">
        <f>-AG11*Inputs!$B$36</f>
        <v>-1291.7628135590478</v>
      </c>
    </row>
    <row r="13" spans="1:33" ht="15.6" x14ac:dyDescent="0.3">
      <c r="A13" s="44" t="s">
        <v>59</v>
      </c>
      <c r="B13" s="44"/>
      <c r="C13" s="56">
        <f>SUM(C11:C12)</f>
        <v>20090.64</v>
      </c>
      <c r="D13" s="51"/>
      <c r="E13" s="56">
        <f>SUM(E11:E12)</f>
        <v>21095.172000000002</v>
      </c>
      <c r="F13" s="74"/>
      <c r="G13" s="56">
        <f>SUM(G11:G12)</f>
        <v>22149.930600000003</v>
      </c>
      <c r="H13" s="74"/>
      <c r="I13" s="56">
        <f>SUM(I11:I12)</f>
        <v>23257.427130000004</v>
      </c>
      <c r="J13" s="74"/>
      <c r="K13" s="56">
        <f>SUM(K11:K12)</f>
        <v>24420.298486500007</v>
      </c>
      <c r="L13" s="112"/>
      <c r="M13" s="56">
        <f>SUM(M11:M12)</f>
        <v>25641.313410825005</v>
      </c>
      <c r="N13" s="112"/>
      <c r="O13" s="56">
        <f>SUM(O11:O12)</f>
        <v>26923.379081366256</v>
      </c>
      <c r="P13" s="42"/>
      <c r="Q13" s="56">
        <f>SUM(Q11:Q12)</f>
        <v>28269.548035434571</v>
      </c>
      <c r="R13" s="42"/>
      <c r="S13" s="56">
        <f>SUM(S11:S12)</f>
        <v>29683.025437206299</v>
      </c>
      <c r="T13" s="42"/>
      <c r="U13" s="56">
        <f>SUM(U11:U12)</f>
        <v>31167.176709066614</v>
      </c>
      <c r="V13" s="42"/>
      <c r="W13" s="56">
        <f>SUM(W11:W12)</f>
        <v>32725.535544519949</v>
      </c>
      <c r="X13" s="42"/>
      <c r="Y13" s="56">
        <f>SUM(Y11:Y12)</f>
        <v>34361.812321745951</v>
      </c>
      <c r="Z13" s="42"/>
      <c r="AA13" s="56">
        <f>SUM(AA11:AA12)</f>
        <v>36079.902937833249</v>
      </c>
      <c r="AB13" s="42"/>
      <c r="AC13" s="56">
        <f>SUM(AC11:AC12)</f>
        <v>37883.898084724911</v>
      </c>
      <c r="AD13" s="42"/>
      <c r="AE13" s="56">
        <f>SUM(AE11:AE12)</f>
        <v>39778.092988961158</v>
      </c>
      <c r="AF13" s="42"/>
      <c r="AG13" s="56">
        <f>SUM(AG11:AG12)</f>
        <v>41766.997638409215</v>
      </c>
    </row>
    <row r="14" spans="1:33" ht="15.6" x14ac:dyDescent="0.3">
      <c r="A14" s="46"/>
      <c r="B14" s="46"/>
      <c r="C14" s="51"/>
      <c r="D14" s="46"/>
      <c r="E14" s="42"/>
      <c r="F14" s="42"/>
      <c r="G14" s="42"/>
      <c r="H14" s="42"/>
      <c r="I14" s="42"/>
      <c r="J14" s="42"/>
      <c r="K14" s="42"/>
      <c r="L14" s="110"/>
      <c r="M14" s="42"/>
      <c r="N14" s="110"/>
      <c r="O14" s="42"/>
      <c r="P14" s="42"/>
      <c r="Q14" s="42"/>
      <c r="R14" s="42"/>
      <c r="S14" s="42"/>
      <c r="T14" s="42"/>
      <c r="U14" s="42"/>
      <c r="V14" s="42"/>
      <c r="W14" s="42"/>
      <c r="X14" s="42"/>
      <c r="Y14" s="42"/>
      <c r="Z14" s="42"/>
      <c r="AA14" s="42"/>
      <c r="AB14" s="42"/>
      <c r="AC14" s="42"/>
      <c r="AD14" s="42"/>
      <c r="AE14" s="42"/>
      <c r="AF14" s="42"/>
      <c r="AG14" s="42"/>
    </row>
    <row r="15" spans="1:33" ht="15.6" x14ac:dyDescent="0.3">
      <c r="A15" s="50" t="s">
        <v>53</v>
      </c>
      <c r="B15" s="46"/>
      <c r="C15" s="51"/>
      <c r="D15" s="46"/>
      <c r="E15" s="42"/>
      <c r="F15" s="42"/>
      <c r="G15" s="42"/>
      <c r="H15" s="42"/>
      <c r="I15" s="42"/>
      <c r="J15" s="42"/>
      <c r="K15" s="42"/>
      <c r="L15" s="110"/>
      <c r="M15" s="42"/>
      <c r="N15" s="110"/>
      <c r="O15" s="42"/>
      <c r="P15" s="42"/>
      <c r="Q15" s="42"/>
      <c r="R15" s="42"/>
      <c r="S15" s="42"/>
      <c r="T15" s="42"/>
      <c r="U15" s="42"/>
      <c r="V15" s="42"/>
      <c r="W15" s="42"/>
      <c r="X15" s="42"/>
      <c r="Y15" s="42"/>
      <c r="Z15" s="42"/>
      <c r="AA15" s="42"/>
      <c r="AB15" s="42"/>
      <c r="AC15" s="42"/>
      <c r="AD15" s="42"/>
      <c r="AE15" s="42"/>
      <c r="AF15" s="42"/>
      <c r="AG15" s="42"/>
    </row>
    <row r="16" spans="1:33" ht="15.6" x14ac:dyDescent="0.3">
      <c r="A16" s="46" t="s">
        <v>18</v>
      </c>
      <c r="B16" s="46"/>
      <c r="C16" s="51">
        <f>Inputs!B43</f>
        <v>1116.3399999999999</v>
      </c>
      <c r="D16" s="51"/>
      <c r="E16" s="74">
        <f>C16*(1+Inputs!$B$40)</f>
        <v>1183.3204000000001</v>
      </c>
      <c r="F16" s="74"/>
      <c r="G16" s="74">
        <f>E16*(1+Inputs!$B$40)</f>
        <v>1254.3196240000002</v>
      </c>
      <c r="H16" s="74"/>
      <c r="I16" s="74">
        <f>G16*(1+Inputs!$B$40)</f>
        <v>1329.5788014400002</v>
      </c>
      <c r="J16" s="74"/>
      <c r="K16" s="74">
        <f>I16*(1+Inputs!$B$40)</f>
        <v>1409.3535295264003</v>
      </c>
      <c r="L16" s="111"/>
      <c r="M16" s="74">
        <f>K16*(1+Inputs!$B$40)</f>
        <v>1493.9147412979844</v>
      </c>
      <c r="N16" s="111"/>
      <c r="O16" s="74">
        <f>M16*(1+Inputs!$B$40)</f>
        <v>1583.5496257758634</v>
      </c>
      <c r="P16" s="42"/>
      <c r="Q16" s="74">
        <f>O16*(1+Inputs!$B$40)</f>
        <v>1678.5626033224153</v>
      </c>
      <c r="R16" s="42"/>
      <c r="S16" s="74">
        <f>Q16*(1+Inputs!$B$40)</f>
        <v>1779.2763595217602</v>
      </c>
      <c r="T16" s="42"/>
      <c r="U16" s="74">
        <f>S16*(1+Inputs!$B$40)</f>
        <v>1886.032941093066</v>
      </c>
      <c r="V16" s="42"/>
      <c r="W16" s="74">
        <f>U16*(1+Inputs!$B$40)</f>
        <v>1999.1949175586501</v>
      </c>
      <c r="X16" s="42"/>
      <c r="Y16" s="74">
        <f>W16*(1+Inputs!$B$40)</f>
        <v>2119.1466126121691</v>
      </c>
      <c r="Z16" s="42"/>
      <c r="AA16" s="74">
        <f>Y16*(1+Inputs!$B$40)</f>
        <v>2246.2954093688995</v>
      </c>
      <c r="AB16" s="42"/>
      <c r="AC16" s="74">
        <f>AA16*(1+Inputs!$B$40)</f>
        <v>2381.0731339310337</v>
      </c>
      <c r="AD16" s="42"/>
      <c r="AE16" s="74">
        <f>AC16*(1+Inputs!$B$40)</f>
        <v>2523.9375219668959</v>
      </c>
      <c r="AF16" s="42"/>
      <c r="AG16" s="74">
        <f>AE16*(1+Inputs!$B$40)</f>
        <v>2675.3737732849099</v>
      </c>
    </row>
    <row r="17" spans="1:33" ht="15.6" x14ac:dyDescent="0.3">
      <c r="A17" s="46" t="s">
        <v>19</v>
      </c>
      <c r="B17" s="46"/>
      <c r="C17" s="51">
        <f>Inputs!B44</f>
        <v>216</v>
      </c>
      <c r="D17" s="51"/>
      <c r="E17" s="74">
        <f>C17*(1.03)</f>
        <v>222.48000000000002</v>
      </c>
      <c r="F17" s="74"/>
      <c r="G17" s="74">
        <f>E17*(1.03)</f>
        <v>229.15440000000004</v>
      </c>
      <c r="H17" s="74"/>
      <c r="I17" s="74">
        <f>G17*(1.03)</f>
        <v>236.02903200000006</v>
      </c>
      <c r="J17" s="74"/>
      <c r="K17" s="74">
        <f>I17*(1.03)</f>
        <v>243.10990296000006</v>
      </c>
      <c r="L17" s="111"/>
      <c r="M17" s="74">
        <f>K17*(1.03)</f>
        <v>250.40320004880007</v>
      </c>
      <c r="N17" s="111"/>
      <c r="O17" s="74">
        <f>M17*(1.03)</f>
        <v>257.91529605026409</v>
      </c>
      <c r="P17" s="42"/>
      <c r="Q17" s="74">
        <f>O17*(1.03)</f>
        <v>265.65275493177199</v>
      </c>
      <c r="R17" s="42"/>
      <c r="S17" s="74">
        <f>Q17*(1.03)</f>
        <v>273.62233757972518</v>
      </c>
      <c r="T17" s="42"/>
      <c r="U17" s="74">
        <f>S17*(1.03)</f>
        <v>281.83100770711695</v>
      </c>
      <c r="V17" s="42"/>
      <c r="W17" s="74">
        <f>U17*(1.03)</f>
        <v>290.28593793833045</v>
      </c>
      <c r="X17" s="42"/>
      <c r="Y17" s="74">
        <f>W17*(1.03)</f>
        <v>298.99451607648035</v>
      </c>
      <c r="Z17" s="42"/>
      <c r="AA17" s="74">
        <f>Y17*(1.03)</f>
        <v>307.96435155877475</v>
      </c>
      <c r="AB17" s="42"/>
      <c r="AC17" s="74">
        <f>AA17*(1.03)</f>
        <v>317.20328210553799</v>
      </c>
      <c r="AD17" s="42"/>
      <c r="AE17" s="74">
        <f>AC17*(1.03)</f>
        <v>326.71938056870414</v>
      </c>
      <c r="AF17" s="42"/>
      <c r="AG17" s="74">
        <f>AE17*(1.03)</f>
        <v>336.52096198576527</v>
      </c>
    </row>
    <row r="18" spans="1:33" ht="15.6" x14ac:dyDescent="0.3">
      <c r="A18" s="46" t="s">
        <v>20</v>
      </c>
      <c r="B18" s="46"/>
      <c r="C18" s="51">
        <f>Inputs!B45</f>
        <v>1449.8400000000001</v>
      </c>
      <c r="D18" s="51"/>
      <c r="E18" s="74">
        <f>C18*(1.03)</f>
        <v>1493.3352000000002</v>
      </c>
      <c r="F18" s="74"/>
      <c r="G18" s="74">
        <f>E18*(1.03)</f>
        <v>1538.1352560000003</v>
      </c>
      <c r="H18" s="74"/>
      <c r="I18" s="74">
        <f>G18*(1.03)</f>
        <v>1584.2793136800003</v>
      </c>
      <c r="J18" s="74"/>
      <c r="K18" s="74">
        <f>I18*(1.03)</f>
        <v>1631.8076930904003</v>
      </c>
      <c r="L18" s="111"/>
      <c r="M18" s="74">
        <f>K18*(1.03)</f>
        <v>1680.7619238831123</v>
      </c>
      <c r="N18" s="111"/>
      <c r="O18" s="74">
        <f>M18*(1.03)</f>
        <v>1731.1847815996057</v>
      </c>
      <c r="P18" s="42"/>
      <c r="Q18" s="74">
        <f>O18*(1.03)</f>
        <v>1783.120325047594</v>
      </c>
      <c r="R18" s="42"/>
      <c r="S18" s="74">
        <f>Q18*(1.03)</f>
        <v>1836.6139347990218</v>
      </c>
      <c r="T18" s="42"/>
      <c r="U18" s="74">
        <f>S18*(1.03)</f>
        <v>1891.7123528429925</v>
      </c>
      <c r="V18" s="42"/>
      <c r="W18" s="74">
        <f>U18*(1.03)</f>
        <v>1948.4637234282823</v>
      </c>
      <c r="X18" s="42"/>
      <c r="Y18" s="74">
        <f>W18*(1.03)</f>
        <v>2006.9176351311307</v>
      </c>
      <c r="Z18" s="42"/>
      <c r="AA18" s="74">
        <f>Y18*(1.03)</f>
        <v>2067.1251641850649</v>
      </c>
      <c r="AB18" s="42"/>
      <c r="AC18" s="74">
        <f>AA18*(1.03)</f>
        <v>2129.1389191106168</v>
      </c>
      <c r="AD18" s="42"/>
      <c r="AE18" s="74">
        <f>AC18*(1.03)</f>
        <v>2193.0130866839354</v>
      </c>
      <c r="AF18" s="42"/>
      <c r="AG18" s="74">
        <f>AE18*(1.03)</f>
        <v>2258.8034792844537</v>
      </c>
    </row>
    <row r="19" spans="1:33" ht="15.6" x14ac:dyDescent="0.3">
      <c r="A19" s="46" t="s">
        <v>21</v>
      </c>
      <c r="B19" s="46"/>
      <c r="C19" s="51">
        <f>Inputs!B46</f>
        <v>1035.6000000000001</v>
      </c>
      <c r="D19" s="51"/>
      <c r="E19" s="74">
        <f t="shared" ref="E19:E24" si="0">C19*1.03</f>
        <v>1066.6680000000001</v>
      </c>
      <c r="F19" s="74"/>
      <c r="G19" s="74">
        <f t="shared" ref="G19:G24" si="1">E19*1.03</f>
        <v>1098.6680400000002</v>
      </c>
      <c r="H19" s="74"/>
      <c r="I19" s="74">
        <f t="shared" ref="I19:I24" si="2">G19*1.03</f>
        <v>1131.6280812000002</v>
      </c>
      <c r="J19" s="74"/>
      <c r="K19" s="74">
        <f t="shared" ref="K19:K24" si="3">I19*1.03</f>
        <v>1165.5769236360002</v>
      </c>
      <c r="L19" s="111"/>
      <c r="M19" s="74">
        <f t="shared" ref="M19:M24" si="4">K19*1.03</f>
        <v>1200.5442313450801</v>
      </c>
      <c r="N19" s="111"/>
      <c r="O19" s="74">
        <f t="shared" ref="O19:O24" si="5">M19*1.03</f>
        <v>1236.5605582854325</v>
      </c>
      <c r="P19" s="42"/>
      <c r="Q19" s="74">
        <f t="shared" ref="Q19:Q24" si="6">O19*1.03</f>
        <v>1273.6573750339955</v>
      </c>
      <c r="R19" s="42"/>
      <c r="S19" s="74">
        <f t="shared" ref="S19:S24" si="7">Q19*1.03</f>
        <v>1311.8670962850154</v>
      </c>
      <c r="T19" s="42"/>
      <c r="U19" s="74">
        <f t="shared" ref="U19:U24" si="8">S19*1.03</f>
        <v>1351.2231091735659</v>
      </c>
      <c r="V19" s="42"/>
      <c r="W19" s="74">
        <f t="shared" ref="W19:W24" si="9">U19*1.03</f>
        <v>1391.7598024487729</v>
      </c>
      <c r="X19" s="42"/>
      <c r="Y19" s="74">
        <f t="shared" ref="Y19:Y24" si="10">W19*1.03</f>
        <v>1433.5125965222362</v>
      </c>
      <c r="Z19" s="42"/>
      <c r="AA19" s="74">
        <f t="shared" ref="AA19:AA24" si="11">Y19*1.03</f>
        <v>1476.5179744179034</v>
      </c>
      <c r="AB19" s="42"/>
      <c r="AC19" s="74">
        <f t="shared" ref="AC19:AC24" si="12">AA19*1.03</f>
        <v>1520.8135136504404</v>
      </c>
      <c r="AD19" s="42"/>
      <c r="AE19" s="74">
        <f t="shared" ref="AE19:AE24" si="13">AC19*1.03</f>
        <v>1566.4379190599536</v>
      </c>
      <c r="AF19" s="42"/>
      <c r="AG19" s="74">
        <f t="shared" ref="AG19:AG24" si="14">AE19*1.03</f>
        <v>1613.4310566317522</v>
      </c>
    </row>
    <row r="20" spans="1:33" ht="15.6" x14ac:dyDescent="0.3">
      <c r="A20" s="46" t="s">
        <v>26</v>
      </c>
      <c r="B20" s="46"/>
      <c r="C20" s="51">
        <f>Inputs!B47</f>
        <v>0</v>
      </c>
      <c r="D20" s="51"/>
      <c r="E20" s="74">
        <f t="shared" si="0"/>
        <v>0</v>
      </c>
      <c r="F20" s="74"/>
      <c r="G20" s="74">
        <f t="shared" si="1"/>
        <v>0</v>
      </c>
      <c r="H20" s="74"/>
      <c r="I20" s="74">
        <f t="shared" si="2"/>
        <v>0</v>
      </c>
      <c r="J20" s="74"/>
      <c r="K20" s="74">
        <f t="shared" si="3"/>
        <v>0</v>
      </c>
      <c r="L20" s="111"/>
      <c r="M20" s="74">
        <f t="shared" si="4"/>
        <v>0</v>
      </c>
      <c r="N20" s="111"/>
      <c r="O20" s="74">
        <f t="shared" si="5"/>
        <v>0</v>
      </c>
      <c r="P20" s="42"/>
      <c r="Q20" s="74">
        <f t="shared" si="6"/>
        <v>0</v>
      </c>
      <c r="R20" s="42"/>
      <c r="S20" s="74">
        <f t="shared" si="7"/>
        <v>0</v>
      </c>
      <c r="T20" s="42"/>
      <c r="U20" s="74">
        <f t="shared" si="8"/>
        <v>0</v>
      </c>
      <c r="V20" s="42"/>
      <c r="W20" s="74">
        <f t="shared" si="9"/>
        <v>0</v>
      </c>
      <c r="X20" s="42"/>
      <c r="Y20" s="74">
        <f t="shared" si="10"/>
        <v>0</v>
      </c>
      <c r="Z20" s="42"/>
      <c r="AA20" s="74">
        <f t="shared" si="11"/>
        <v>0</v>
      </c>
      <c r="AB20" s="42"/>
      <c r="AC20" s="74">
        <f t="shared" si="12"/>
        <v>0</v>
      </c>
      <c r="AD20" s="42"/>
      <c r="AE20" s="74">
        <f t="shared" si="13"/>
        <v>0</v>
      </c>
      <c r="AF20" s="42"/>
      <c r="AG20" s="74">
        <f t="shared" si="14"/>
        <v>0</v>
      </c>
    </row>
    <row r="21" spans="1:33" ht="15.6" x14ac:dyDescent="0.3">
      <c r="A21" s="46" t="s">
        <v>54</v>
      </c>
      <c r="B21" s="46"/>
      <c r="C21" s="51">
        <f>Inputs!B48</f>
        <v>0</v>
      </c>
      <c r="D21" s="51"/>
      <c r="E21" s="74">
        <f t="shared" si="0"/>
        <v>0</v>
      </c>
      <c r="F21" s="74"/>
      <c r="G21" s="74">
        <f t="shared" si="1"/>
        <v>0</v>
      </c>
      <c r="H21" s="74"/>
      <c r="I21" s="74">
        <f t="shared" si="2"/>
        <v>0</v>
      </c>
      <c r="J21" s="74"/>
      <c r="K21" s="74">
        <f t="shared" si="3"/>
        <v>0</v>
      </c>
      <c r="L21" s="111"/>
      <c r="M21" s="74">
        <f t="shared" si="4"/>
        <v>0</v>
      </c>
      <c r="N21" s="111"/>
      <c r="O21" s="74">
        <f t="shared" si="5"/>
        <v>0</v>
      </c>
      <c r="P21" s="42"/>
      <c r="Q21" s="74">
        <f t="shared" si="6"/>
        <v>0</v>
      </c>
      <c r="R21" s="42"/>
      <c r="S21" s="74">
        <f t="shared" si="7"/>
        <v>0</v>
      </c>
      <c r="T21" s="42"/>
      <c r="U21" s="74">
        <f t="shared" si="8"/>
        <v>0</v>
      </c>
      <c r="V21" s="42"/>
      <c r="W21" s="74">
        <f t="shared" si="9"/>
        <v>0</v>
      </c>
      <c r="X21" s="42"/>
      <c r="Y21" s="74">
        <f t="shared" si="10"/>
        <v>0</v>
      </c>
      <c r="Z21" s="42"/>
      <c r="AA21" s="74">
        <f t="shared" si="11"/>
        <v>0</v>
      </c>
      <c r="AB21" s="42"/>
      <c r="AC21" s="74">
        <f t="shared" si="12"/>
        <v>0</v>
      </c>
      <c r="AD21" s="42"/>
      <c r="AE21" s="74">
        <f t="shared" si="13"/>
        <v>0</v>
      </c>
      <c r="AF21" s="42"/>
      <c r="AG21" s="74">
        <f t="shared" si="14"/>
        <v>0</v>
      </c>
    </row>
    <row r="22" spans="1:33" ht="15.6" x14ac:dyDescent="0.3">
      <c r="A22" s="46" t="s">
        <v>55</v>
      </c>
      <c r="B22" s="46"/>
      <c r="C22" s="51">
        <f>Inputs!B49</f>
        <v>0</v>
      </c>
      <c r="D22" s="51"/>
      <c r="E22" s="74">
        <f t="shared" si="0"/>
        <v>0</v>
      </c>
      <c r="F22" s="74"/>
      <c r="G22" s="74">
        <f t="shared" si="1"/>
        <v>0</v>
      </c>
      <c r="H22" s="74"/>
      <c r="I22" s="74">
        <f t="shared" si="2"/>
        <v>0</v>
      </c>
      <c r="J22" s="74"/>
      <c r="K22" s="74">
        <f t="shared" si="3"/>
        <v>0</v>
      </c>
      <c r="L22" s="111"/>
      <c r="M22" s="74">
        <f t="shared" si="4"/>
        <v>0</v>
      </c>
      <c r="N22" s="111"/>
      <c r="O22" s="74">
        <f t="shared" si="5"/>
        <v>0</v>
      </c>
      <c r="P22" s="42"/>
      <c r="Q22" s="74">
        <f t="shared" si="6"/>
        <v>0</v>
      </c>
      <c r="R22" s="42"/>
      <c r="S22" s="74">
        <f t="shared" si="7"/>
        <v>0</v>
      </c>
      <c r="T22" s="42"/>
      <c r="U22" s="74">
        <f t="shared" si="8"/>
        <v>0</v>
      </c>
      <c r="V22" s="42"/>
      <c r="W22" s="74">
        <f t="shared" si="9"/>
        <v>0</v>
      </c>
      <c r="X22" s="42"/>
      <c r="Y22" s="74">
        <f t="shared" si="10"/>
        <v>0</v>
      </c>
      <c r="Z22" s="42"/>
      <c r="AA22" s="74">
        <f t="shared" si="11"/>
        <v>0</v>
      </c>
      <c r="AB22" s="42"/>
      <c r="AC22" s="74">
        <f t="shared" si="12"/>
        <v>0</v>
      </c>
      <c r="AD22" s="42"/>
      <c r="AE22" s="74">
        <f t="shared" si="13"/>
        <v>0</v>
      </c>
      <c r="AF22" s="42"/>
      <c r="AG22" s="74">
        <f t="shared" si="14"/>
        <v>0</v>
      </c>
    </row>
    <row r="23" spans="1:33" ht="15.6" x14ac:dyDescent="0.3">
      <c r="A23" s="46" t="s">
        <v>56</v>
      </c>
      <c r="B23" s="46"/>
      <c r="C23" s="51">
        <f>Inputs!B50</f>
        <v>0</v>
      </c>
      <c r="D23" s="51"/>
      <c r="E23" s="74">
        <f t="shared" si="0"/>
        <v>0</v>
      </c>
      <c r="F23" s="74"/>
      <c r="G23" s="74">
        <f t="shared" si="1"/>
        <v>0</v>
      </c>
      <c r="H23" s="74"/>
      <c r="I23" s="74">
        <f t="shared" si="2"/>
        <v>0</v>
      </c>
      <c r="J23" s="74"/>
      <c r="K23" s="74">
        <f t="shared" si="3"/>
        <v>0</v>
      </c>
      <c r="L23" s="111"/>
      <c r="M23" s="74">
        <f t="shared" si="4"/>
        <v>0</v>
      </c>
      <c r="N23" s="111"/>
      <c r="O23" s="74">
        <f t="shared" si="5"/>
        <v>0</v>
      </c>
      <c r="P23" s="42"/>
      <c r="Q23" s="74">
        <f t="shared" si="6"/>
        <v>0</v>
      </c>
      <c r="R23" s="42"/>
      <c r="S23" s="74">
        <f t="shared" si="7"/>
        <v>0</v>
      </c>
      <c r="T23" s="42"/>
      <c r="U23" s="74">
        <f t="shared" si="8"/>
        <v>0</v>
      </c>
      <c r="V23" s="42"/>
      <c r="W23" s="74">
        <f t="shared" si="9"/>
        <v>0</v>
      </c>
      <c r="X23" s="42"/>
      <c r="Y23" s="74">
        <f t="shared" si="10"/>
        <v>0</v>
      </c>
      <c r="Z23" s="42"/>
      <c r="AA23" s="74">
        <f t="shared" si="11"/>
        <v>0</v>
      </c>
      <c r="AB23" s="42"/>
      <c r="AC23" s="74">
        <f t="shared" si="12"/>
        <v>0</v>
      </c>
      <c r="AD23" s="42"/>
      <c r="AE23" s="74">
        <f t="shared" si="13"/>
        <v>0</v>
      </c>
      <c r="AF23" s="42"/>
      <c r="AG23" s="74">
        <f t="shared" si="14"/>
        <v>0</v>
      </c>
    </row>
    <row r="24" spans="1:33" ht="15.6" x14ac:dyDescent="0.3">
      <c r="A24" s="46" t="s">
        <v>29</v>
      </c>
      <c r="B24" s="46"/>
      <c r="C24" s="51">
        <f>Inputs!B51</f>
        <v>0</v>
      </c>
      <c r="D24" s="51"/>
      <c r="E24" s="74">
        <f t="shared" si="0"/>
        <v>0</v>
      </c>
      <c r="F24" s="74"/>
      <c r="G24" s="74">
        <f t="shared" si="1"/>
        <v>0</v>
      </c>
      <c r="H24" s="74"/>
      <c r="I24" s="74">
        <f t="shared" si="2"/>
        <v>0</v>
      </c>
      <c r="J24" s="74"/>
      <c r="K24" s="74">
        <f t="shared" si="3"/>
        <v>0</v>
      </c>
      <c r="L24" s="111"/>
      <c r="M24" s="74">
        <f t="shared" si="4"/>
        <v>0</v>
      </c>
      <c r="N24" s="111"/>
      <c r="O24" s="74">
        <f t="shared" si="5"/>
        <v>0</v>
      </c>
      <c r="P24" s="42"/>
      <c r="Q24" s="74">
        <f t="shared" si="6"/>
        <v>0</v>
      </c>
      <c r="R24" s="42"/>
      <c r="S24" s="74">
        <f t="shared" si="7"/>
        <v>0</v>
      </c>
      <c r="T24" s="42"/>
      <c r="U24" s="74">
        <f t="shared" si="8"/>
        <v>0</v>
      </c>
      <c r="V24" s="42"/>
      <c r="W24" s="74">
        <f t="shared" si="9"/>
        <v>0</v>
      </c>
      <c r="X24" s="42"/>
      <c r="Y24" s="74">
        <f t="shared" si="10"/>
        <v>0</v>
      </c>
      <c r="Z24" s="42"/>
      <c r="AA24" s="74">
        <f t="shared" si="11"/>
        <v>0</v>
      </c>
      <c r="AB24" s="42"/>
      <c r="AC24" s="74">
        <f t="shared" si="12"/>
        <v>0</v>
      </c>
      <c r="AD24" s="42"/>
      <c r="AE24" s="74">
        <f t="shared" si="13"/>
        <v>0</v>
      </c>
      <c r="AF24" s="42"/>
      <c r="AG24" s="74">
        <f t="shared" si="14"/>
        <v>0</v>
      </c>
    </row>
    <row r="25" spans="1:33" ht="15.6" x14ac:dyDescent="0.3">
      <c r="A25" s="46" t="str">
        <f>Inputs!A52</f>
        <v>HOA Dues</v>
      </c>
      <c r="B25" s="46"/>
      <c r="C25" s="51">
        <f>Inputs!B52</f>
        <v>2160</v>
      </c>
      <c r="D25" s="51"/>
      <c r="E25" s="74">
        <f t="shared" ref="E25:E30" si="15">C25*1.03</f>
        <v>2224.8000000000002</v>
      </c>
      <c r="F25" s="74"/>
      <c r="G25" s="74">
        <f t="shared" ref="G25:G30" si="16">E25*1.03</f>
        <v>2291.5440000000003</v>
      </c>
      <c r="H25" s="74"/>
      <c r="I25" s="74">
        <f t="shared" ref="I25:I30" si="17">G25*1.03</f>
        <v>2360.2903200000005</v>
      </c>
      <c r="J25" s="74"/>
      <c r="K25" s="74">
        <f t="shared" ref="K25:Y30" si="18">I25*1.03</f>
        <v>2431.0990296000004</v>
      </c>
      <c r="L25" s="111"/>
      <c r="M25" s="74">
        <f t="shared" si="18"/>
        <v>2504.0320004880004</v>
      </c>
      <c r="N25" s="111"/>
      <c r="O25" s="74">
        <f t="shared" si="18"/>
        <v>2579.1529605026403</v>
      </c>
      <c r="P25" s="42"/>
      <c r="Q25" s="74">
        <f t="shared" si="18"/>
        <v>2656.5275493177196</v>
      </c>
      <c r="R25" s="42"/>
      <c r="S25" s="74">
        <f t="shared" si="18"/>
        <v>2736.2233757972513</v>
      </c>
      <c r="T25" s="42"/>
      <c r="U25" s="74">
        <f t="shared" si="18"/>
        <v>2818.310077071169</v>
      </c>
      <c r="V25" s="42"/>
      <c r="W25" s="74">
        <f t="shared" si="18"/>
        <v>2902.8593793833043</v>
      </c>
      <c r="X25" s="42"/>
      <c r="Y25" s="74">
        <f t="shared" si="18"/>
        <v>2989.9451607648034</v>
      </c>
      <c r="Z25" s="42"/>
      <c r="AA25" s="74">
        <f t="shared" ref="AA25:AG30" si="19">Y25*1.03</f>
        <v>3079.6435155877475</v>
      </c>
      <c r="AB25" s="42"/>
      <c r="AC25" s="74">
        <f t="shared" si="19"/>
        <v>3172.0328210553798</v>
      </c>
      <c r="AD25" s="42"/>
      <c r="AE25" s="74">
        <f t="shared" si="19"/>
        <v>3267.1938056870413</v>
      </c>
      <c r="AF25" s="42"/>
      <c r="AG25" s="74">
        <f t="shared" si="19"/>
        <v>3365.2096198576528</v>
      </c>
    </row>
    <row r="26" spans="1:33" ht="15.6" x14ac:dyDescent="0.3">
      <c r="A26" s="46" t="str">
        <f>Inputs!A53</f>
        <v>Other</v>
      </c>
      <c r="B26" s="46"/>
      <c r="C26" s="51">
        <f>Inputs!B53</f>
        <v>0</v>
      </c>
      <c r="D26" s="51"/>
      <c r="E26" s="74">
        <f t="shared" si="15"/>
        <v>0</v>
      </c>
      <c r="F26" s="74"/>
      <c r="G26" s="74">
        <f t="shared" si="16"/>
        <v>0</v>
      </c>
      <c r="H26" s="74"/>
      <c r="I26" s="74">
        <f t="shared" si="17"/>
        <v>0</v>
      </c>
      <c r="J26" s="74"/>
      <c r="K26" s="74">
        <f t="shared" si="18"/>
        <v>0</v>
      </c>
      <c r="L26" s="111"/>
      <c r="M26" s="74">
        <f t="shared" si="18"/>
        <v>0</v>
      </c>
      <c r="N26" s="111"/>
      <c r="O26" s="74">
        <f t="shared" si="18"/>
        <v>0</v>
      </c>
      <c r="P26" s="42"/>
      <c r="Q26" s="74">
        <f t="shared" si="18"/>
        <v>0</v>
      </c>
      <c r="R26" s="42"/>
      <c r="S26" s="74">
        <f t="shared" si="18"/>
        <v>0</v>
      </c>
      <c r="T26" s="42"/>
      <c r="U26" s="74">
        <f t="shared" si="18"/>
        <v>0</v>
      </c>
      <c r="V26" s="42"/>
      <c r="W26" s="74">
        <f t="shared" si="18"/>
        <v>0</v>
      </c>
      <c r="X26" s="42"/>
      <c r="Y26" s="74">
        <f t="shared" si="18"/>
        <v>0</v>
      </c>
      <c r="Z26" s="42"/>
      <c r="AA26" s="74">
        <f t="shared" si="19"/>
        <v>0</v>
      </c>
      <c r="AB26" s="42"/>
      <c r="AC26" s="74">
        <f t="shared" si="19"/>
        <v>0</v>
      </c>
      <c r="AD26" s="42"/>
      <c r="AE26" s="74">
        <f t="shared" si="19"/>
        <v>0</v>
      </c>
      <c r="AF26" s="42"/>
      <c r="AG26" s="74">
        <f t="shared" si="19"/>
        <v>0</v>
      </c>
    </row>
    <row r="27" spans="1:33" ht="15.6" x14ac:dyDescent="0.3">
      <c r="A27" s="46" t="str">
        <f>Inputs!A54</f>
        <v>Other</v>
      </c>
      <c r="B27" s="46"/>
      <c r="C27" s="51">
        <f>Inputs!B54</f>
        <v>0</v>
      </c>
      <c r="D27" s="51"/>
      <c r="E27" s="74">
        <f t="shared" si="15"/>
        <v>0</v>
      </c>
      <c r="F27" s="74"/>
      <c r="G27" s="74">
        <f t="shared" si="16"/>
        <v>0</v>
      </c>
      <c r="H27" s="74"/>
      <c r="I27" s="74">
        <f t="shared" si="17"/>
        <v>0</v>
      </c>
      <c r="J27" s="74"/>
      <c r="K27" s="74">
        <f t="shared" si="18"/>
        <v>0</v>
      </c>
      <c r="L27" s="111"/>
      <c r="M27" s="74">
        <f t="shared" si="18"/>
        <v>0</v>
      </c>
      <c r="N27" s="111"/>
      <c r="O27" s="74">
        <f t="shared" si="18"/>
        <v>0</v>
      </c>
      <c r="P27" s="42"/>
      <c r="Q27" s="74">
        <f t="shared" si="18"/>
        <v>0</v>
      </c>
      <c r="R27" s="42"/>
      <c r="S27" s="74">
        <f t="shared" si="18"/>
        <v>0</v>
      </c>
      <c r="T27" s="42"/>
      <c r="U27" s="74">
        <f t="shared" si="18"/>
        <v>0</v>
      </c>
      <c r="V27" s="42"/>
      <c r="W27" s="74">
        <f t="shared" si="18"/>
        <v>0</v>
      </c>
      <c r="X27" s="42"/>
      <c r="Y27" s="74">
        <f t="shared" si="18"/>
        <v>0</v>
      </c>
      <c r="Z27" s="42"/>
      <c r="AA27" s="74">
        <f t="shared" si="19"/>
        <v>0</v>
      </c>
      <c r="AB27" s="42"/>
      <c r="AC27" s="74">
        <f t="shared" si="19"/>
        <v>0</v>
      </c>
      <c r="AD27" s="42"/>
      <c r="AE27" s="74">
        <f t="shared" si="19"/>
        <v>0</v>
      </c>
      <c r="AF27" s="42"/>
      <c r="AG27" s="74">
        <f t="shared" si="19"/>
        <v>0</v>
      </c>
    </row>
    <row r="28" spans="1:33" ht="15.6" x14ac:dyDescent="0.3">
      <c r="A28" s="46" t="str">
        <f>Inputs!A55</f>
        <v>Other</v>
      </c>
      <c r="B28" s="46"/>
      <c r="C28" s="51">
        <f>Inputs!B55</f>
        <v>0</v>
      </c>
      <c r="D28" s="51"/>
      <c r="E28" s="74">
        <f t="shared" si="15"/>
        <v>0</v>
      </c>
      <c r="F28" s="74"/>
      <c r="G28" s="74">
        <f t="shared" si="16"/>
        <v>0</v>
      </c>
      <c r="H28" s="74"/>
      <c r="I28" s="74">
        <f t="shared" si="17"/>
        <v>0</v>
      </c>
      <c r="J28" s="74"/>
      <c r="K28" s="74">
        <f t="shared" si="18"/>
        <v>0</v>
      </c>
      <c r="L28" s="111"/>
      <c r="M28" s="74">
        <f t="shared" si="18"/>
        <v>0</v>
      </c>
      <c r="N28" s="111"/>
      <c r="O28" s="74">
        <f t="shared" si="18"/>
        <v>0</v>
      </c>
      <c r="P28" s="42"/>
      <c r="Q28" s="74">
        <f t="shared" si="18"/>
        <v>0</v>
      </c>
      <c r="R28" s="42"/>
      <c r="S28" s="74">
        <f t="shared" si="18"/>
        <v>0</v>
      </c>
      <c r="T28" s="42"/>
      <c r="U28" s="74">
        <f t="shared" si="18"/>
        <v>0</v>
      </c>
      <c r="V28" s="42"/>
      <c r="W28" s="74">
        <f t="shared" si="18"/>
        <v>0</v>
      </c>
      <c r="X28" s="42"/>
      <c r="Y28" s="74">
        <f t="shared" si="18"/>
        <v>0</v>
      </c>
      <c r="Z28" s="42"/>
      <c r="AA28" s="74">
        <f t="shared" si="19"/>
        <v>0</v>
      </c>
      <c r="AB28" s="42"/>
      <c r="AC28" s="74">
        <f t="shared" si="19"/>
        <v>0</v>
      </c>
      <c r="AD28" s="42"/>
      <c r="AE28" s="74">
        <f t="shared" si="19"/>
        <v>0</v>
      </c>
      <c r="AF28" s="42"/>
      <c r="AG28" s="74">
        <f t="shared" si="19"/>
        <v>0</v>
      </c>
    </row>
    <row r="29" spans="1:33" ht="15.6" x14ac:dyDescent="0.3">
      <c r="A29" s="46" t="str">
        <f>Inputs!A56</f>
        <v>Other</v>
      </c>
      <c r="B29" s="46"/>
      <c r="C29" s="51">
        <f>Inputs!B56</f>
        <v>0</v>
      </c>
      <c r="D29" s="51"/>
      <c r="E29" s="74">
        <f t="shared" si="15"/>
        <v>0</v>
      </c>
      <c r="F29" s="74"/>
      <c r="G29" s="74">
        <f t="shared" si="16"/>
        <v>0</v>
      </c>
      <c r="H29" s="74"/>
      <c r="I29" s="74">
        <f t="shared" si="17"/>
        <v>0</v>
      </c>
      <c r="J29" s="74"/>
      <c r="K29" s="74">
        <f t="shared" si="18"/>
        <v>0</v>
      </c>
      <c r="L29" s="111"/>
      <c r="M29" s="74">
        <f t="shared" si="18"/>
        <v>0</v>
      </c>
      <c r="N29" s="111"/>
      <c r="O29" s="74">
        <f t="shared" si="18"/>
        <v>0</v>
      </c>
      <c r="P29" s="42"/>
      <c r="Q29" s="74">
        <f t="shared" si="18"/>
        <v>0</v>
      </c>
      <c r="R29" s="42"/>
      <c r="S29" s="74">
        <f t="shared" si="18"/>
        <v>0</v>
      </c>
      <c r="T29" s="42"/>
      <c r="U29" s="74">
        <f t="shared" si="18"/>
        <v>0</v>
      </c>
      <c r="V29" s="42"/>
      <c r="W29" s="74">
        <f t="shared" si="18"/>
        <v>0</v>
      </c>
      <c r="X29" s="42"/>
      <c r="Y29" s="74">
        <f t="shared" si="18"/>
        <v>0</v>
      </c>
      <c r="Z29" s="42"/>
      <c r="AA29" s="74">
        <f t="shared" si="19"/>
        <v>0</v>
      </c>
      <c r="AB29" s="42"/>
      <c r="AC29" s="74">
        <f t="shared" si="19"/>
        <v>0</v>
      </c>
      <c r="AD29" s="42"/>
      <c r="AE29" s="74">
        <f t="shared" si="19"/>
        <v>0</v>
      </c>
      <c r="AF29" s="42"/>
      <c r="AG29" s="74">
        <f t="shared" si="19"/>
        <v>0</v>
      </c>
    </row>
    <row r="30" spans="1:33" ht="16.2" thickBot="1" x14ac:dyDescent="0.35">
      <c r="A30" s="46" t="str">
        <f>Inputs!A57</f>
        <v>Other</v>
      </c>
      <c r="B30" s="46"/>
      <c r="C30" s="55">
        <f>Inputs!B57</f>
        <v>0</v>
      </c>
      <c r="D30" s="51"/>
      <c r="E30" s="88">
        <f t="shared" si="15"/>
        <v>0</v>
      </c>
      <c r="F30" s="74"/>
      <c r="G30" s="88">
        <f t="shared" si="16"/>
        <v>0</v>
      </c>
      <c r="H30" s="74"/>
      <c r="I30" s="88">
        <f t="shared" si="17"/>
        <v>0</v>
      </c>
      <c r="J30" s="74"/>
      <c r="K30" s="88">
        <f t="shared" si="18"/>
        <v>0</v>
      </c>
      <c r="L30" s="111"/>
      <c r="M30" s="88">
        <f t="shared" si="18"/>
        <v>0</v>
      </c>
      <c r="N30" s="111"/>
      <c r="O30" s="88">
        <f t="shared" si="18"/>
        <v>0</v>
      </c>
      <c r="P30" s="42"/>
      <c r="Q30" s="88">
        <f t="shared" si="18"/>
        <v>0</v>
      </c>
      <c r="R30" s="42"/>
      <c r="S30" s="88">
        <f t="shared" si="18"/>
        <v>0</v>
      </c>
      <c r="T30" s="42"/>
      <c r="U30" s="88">
        <f t="shared" si="18"/>
        <v>0</v>
      </c>
      <c r="V30" s="42"/>
      <c r="W30" s="88">
        <f t="shared" si="18"/>
        <v>0</v>
      </c>
      <c r="X30" s="42"/>
      <c r="Y30" s="88">
        <f t="shared" si="18"/>
        <v>0</v>
      </c>
      <c r="Z30" s="42"/>
      <c r="AA30" s="88">
        <f t="shared" si="19"/>
        <v>0</v>
      </c>
      <c r="AB30" s="42"/>
      <c r="AC30" s="88">
        <f t="shared" si="19"/>
        <v>0</v>
      </c>
      <c r="AD30" s="42"/>
      <c r="AE30" s="88">
        <f t="shared" si="19"/>
        <v>0</v>
      </c>
      <c r="AF30" s="42"/>
      <c r="AG30" s="88">
        <f t="shared" si="19"/>
        <v>0</v>
      </c>
    </row>
    <row r="31" spans="1:33" ht="15.6" x14ac:dyDescent="0.3">
      <c r="A31" s="44" t="s">
        <v>58</v>
      </c>
      <c r="B31" s="46"/>
      <c r="C31" s="56">
        <f>SUM(C16:C30)</f>
        <v>5977.7800000000007</v>
      </c>
      <c r="D31" s="51"/>
      <c r="E31" s="56">
        <f>SUM(E16:E30)</f>
        <v>6190.6036000000004</v>
      </c>
      <c r="F31" s="74"/>
      <c r="G31" s="56">
        <f>SUM(G16:G30)</f>
        <v>6411.8213200000009</v>
      </c>
      <c r="H31" s="74"/>
      <c r="I31" s="56">
        <f>SUM(I16:I30)</f>
        <v>6641.8055483200023</v>
      </c>
      <c r="J31" s="74"/>
      <c r="K31" s="56">
        <f>SUM(K16:K30)</f>
        <v>6880.9470788128019</v>
      </c>
      <c r="L31" s="112"/>
      <c r="M31" s="56">
        <f>SUM(M16:M30)</f>
        <v>7129.6560970629771</v>
      </c>
      <c r="N31" s="112"/>
      <c r="O31" s="56">
        <f>SUM(O16:O30)</f>
        <v>7388.3632222138058</v>
      </c>
      <c r="P31" s="42"/>
      <c r="Q31" s="56">
        <f>SUM(Q16:Q30)</f>
        <v>7657.5206076534969</v>
      </c>
      <c r="R31" s="42"/>
      <c r="S31" s="56">
        <f>SUM(S16:S30)</f>
        <v>7937.603103982774</v>
      </c>
      <c r="T31" s="42"/>
      <c r="U31" s="56">
        <f>SUM(U16:U30)</f>
        <v>8229.1094878879103</v>
      </c>
      <c r="V31" s="42"/>
      <c r="W31" s="56">
        <f>SUM(W16:W30)</f>
        <v>8532.563760757339</v>
      </c>
      <c r="X31" s="42"/>
      <c r="Y31" s="56">
        <f>SUM(Y16:Y30)</f>
        <v>8848.5165211068197</v>
      </c>
      <c r="Z31" s="42"/>
      <c r="AA31" s="56">
        <f>SUM(AA16:AA30)</f>
        <v>9177.5464151183896</v>
      </c>
      <c r="AB31" s="42"/>
      <c r="AC31" s="56">
        <f>SUM(AC16:AC30)</f>
        <v>9520.2616698530092</v>
      </c>
      <c r="AD31" s="42"/>
      <c r="AE31" s="56">
        <f>SUM(AE16:AE30)</f>
        <v>9877.3017139665317</v>
      </c>
      <c r="AF31" s="42"/>
      <c r="AG31" s="56">
        <f>SUM(AG16:AG30)</f>
        <v>10249.338891044534</v>
      </c>
    </row>
    <row r="32" spans="1:33" ht="15.6" x14ac:dyDescent="0.3">
      <c r="A32" s="46"/>
      <c r="B32" s="46"/>
      <c r="C32" s="51"/>
      <c r="D32" s="51"/>
      <c r="E32" s="74"/>
      <c r="F32" s="74"/>
      <c r="G32" s="74"/>
      <c r="H32" s="74"/>
      <c r="I32" s="74"/>
      <c r="J32" s="74"/>
      <c r="K32" s="74"/>
      <c r="L32" s="111"/>
      <c r="M32" s="74"/>
      <c r="N32" s="111"/>
      <c r="O32" s="74"/>
      <c r="P32" s="42"/>
      <c r="Q32" s="74"/>
      <c r="R32" s="42"/>
      <c r="S32" s="74"/>
      <c r="T32" s="42"/>
      <c r="U32" s="74"/>
      <c r="V32" s="42"/>
      <c r="W32" s="74"/>
      <c r="X32" s="42"/>
      <c r="Y32" s="74"/>
      <c r="Z32" s="42"/>
      <c r="AA32" s="74"/>
      <c r="AB32" s="42"/>
      <c r="AC32" s="74"/>
      <c r="AD32" s="42"/>
      <c r="AE32" s="74"/>
      <c r="AF32" s="42"/>
      <c r="AG32" s="74"/>
    </row>
    <row r="33" spans="1:33" ht="15.6" x14ac:dyDescent="0.3">
      <c r="A33" s="44" t="s">
        <v>60</v>
      </c>
      <c r="B33" s="46"/>
      <c r="C33" s="56">
        <f>C13-C31</f>
        <v>14112.859999999999</v>
      </c>
      <c r="D33" s="51"/>
      <c r="E33" s="56">
        <f>E13-E31</f>
        <v>14904.568400000002</v>
      </c>
      <c r="F33" s="74"/>
      <c r="G33" s="56">
        <f>G13-G31</f>
        <v>15738.109280000002</v>
      </c>
      <c r="H33" s="74"/>
      <c r="I33" s="56">
        <f>I13-I31</f>
        <v>16615.621581680003</v>
      </c>
      <c r="J33" s="74"/>
      <c r="K33" s="56">
        <f>K13-K31</f>
        <v>17539.351407687205</v>
      </c>
      <c r="L33" s="112"/>
      <c r="M33" s="56">
        <f>M13-M31</f>
        <v>18511.657313762029</v>
      </c>
      <c r="N33" s="112"/>
      <c r="O33" s="56">
        <f>O13-O31</f>
        <v>19535.015859152452</v>
      </c>
      <c r="P33" s="42"/>
      <c r="Q33" s="56">
        <f>Q13-Q31</f>
        <v>20612.027427781075</v>
      </c>
      <c r="R33" s="42"/>
      <c r="S33" s="56">
        <f>S13-S31</f>
        <v>21745.422333223527</v>
      </c>
      <c r="T33" s="42"/>
      <c r="U33" s="56">
        <f>U13-U31</f>
        <v>22938.067221178702</v>
      </c>
      <c r="V33" s="42"/>
      <c r="W33" s="56">
        <f>W13-W31</f>
        <v>24192.971783762609</v>
      </c>
      <c r="X33" s="42"/>
      <c r="Y33" s="56">
        <f>Y13-Y31</f>
        <v>25513.295800639131</v>
      </c>
      <c r="Z33" s="42"/>
      <c r="AA33" s="56">
        <f>AA13-AA31</f>
        <v>26902.356522714857</v>
      </c>
      <c r="AB33" s="42"/>
      <c r="AC33" s="56">
        <f>AC13-AC31</f>
        <v>28363.6364148719</v>
      </c>
      <c r="AD33" s="42"/>
      <c r="AE33" s="56">
        <f>AE13-AE31</f>
        <v>29900.791274994626</v>
      </c>
      <c r="AF33" s="42"/>
      <c r="AG33" s="56">
        <f>AG13-AG31</f>
        <v>31517.65874736468</v>
      </c>
    </row>
    <row r="34" spans="1:33" x14ac:dyDescent="0.3">
      <c r="A34" s="42"/>
      <c r="B34" s="42"/>
      <c r="C34" s="74"/>
      <c r="D34" s="74"/>
      <c r="E34" s="74"/>
      <c r="F34" s="74"/>
      <c r="G34" s="74"/>
      <c r="H34" s="74"/>
      <c r="I34" s="74"/>
      <c r="J34" s="74"/>
      <c r="K34" s="74"/>
      <c r="L34" s="111"/>
      <c r="M34" s="74"/>
      <c r="N34" s="111"/>
      <c r="O34" s="74"/>
      <c r="P34" s="42"/>
      <c r="Q34" s="74"/>
      <c r="R34" s="42"/>
      <c r="S34" s="74"/>
      <c r="T34" s="42"/>
      <c r="U34" s="74"/>
      <c r="V34" s="42"/>
      <c r="W34" s="74"/>
      <c r="X34" s="42"/>
      <c r="Y34" s="74"/>
      <c r="Z34" s="42"/>
      <c r="AA34" s="74"/>
      <c r="AB34" s="42"/>
      <c r="AC34" s="74"/>
      <c r="AD34" s="42"/>
      <c r="AE34" s="74"/>
      <c r="AF34" s="42"/>
      <c r="AG34" s="74"/>
    </row>
    <row r="35" spans="1:33" ht="15.6" x14ac:dyDescent="0.3">
      <c r="A35" s="46" t="s">
        <v>61</v>
      </c>
      <c r="B35" s="42"/>
      <c r="C35" s="51">
        <f>PMT(Inputs!B25/12,Inputs!B26*12,Inputs!B20,0)*12</f>
        <v>-7908.678482525278</v>
      </c>
      <c r="D35" s="74"/>
      <c r="E35" s="51">
        <f>IF(C40&gt;0,PMT(Inputs!$B$25/12,Inputs!B26*12,Inputs!$B$20,0)*12,0)</f>
        <v>-7908.678482525278</v>
      </c>
      <c r="F35" s="74"/>
      <c r="G35" s="51">
        <f>IF(E40&gt;0,PMT(Inputs!$B$25/12,Inputs!B26*12,Inputs!$B$20,0)*12,0)</f>
        <v>-7908.678482525278</v>
      </c>
      <c r="H35" s="74"/>
      <c r="I35" s="51">
        <f>IF(G40&gt;0,PMT(Inputs!$B$25/12,Inputs!B26*12,Inputs!$B$20,0)*12,0)</f>
        <v>-7908.678482525278</v>
      </c>
      <c r="J35" s="74"/>
      <c r="K35" s="51">
        <f>IF(I40&gt;0,PMT(Inputs!$B$25/12,Inputs!B26*12,Inputs!$B$20,0)*12,)</f>
        <v>-7908.678482525278</v>
      </c>
      <c r="L35" s="113"/>
      <c r="M35" s="51">
        <f>IF(K40&gt;0,PMT(Inputs!B25/12,Inputs!B26*12,Inputs!B20,0)*12,0)</f>
        <v>-7908.678482525278</v>
      </c>
      <c r="N35" s="113"/>
      <c r="O35" s="51">
        <f>IF(M40&gt;0,PMT(Inputs!B25/12,Inputs!B26*12,Inputs!B20,0)*12,)</f>
        <v>-7908.678482525278</v>
      </c>
      <c r="P35" s="42"/>
      <c r="Q35" s="51">
        <f>IF(O40&gt;0,PMT(Inputs!B25/12,Inputs!B26*12,Inputs!B20,0)*12,)</f>
        <v>-7908.678482525278</v>
      </c>
      <c r="R35" s="42"/>
      <c r="S35" s="51">
        <f>IF(Q40&gt;0,PMT(Inputs!B25/12,Inputs!B26*12,Inputs!B20,0)*12,0)</f>
        <v>-7908.678482525278</v>
      </c>
      <c r="T35" s="42"/>
      <c r="U35" s="51">
        <f>IF(S40&gt;0,PMT(Inputs!B25/12,Inputs!B26*12,Inputs!B20,0)*12,0)</f>
        <v>-7908.678482525278</v>
      </c>
      <c r="V35" s="42"/>
      <c r="W35" s="51">
        <f>IF(U40&gt;0,PMT(Inputs!B25/12,Inputs!B26*12,Inputs!B20,0)*12,0)</f>
        <v>-7908.678482525278</v>
      </c>
      <c r="X35" s="42"/>
      <c r="Y35" s="51">
        <f>IF(W40&gt;0,PMT(Inputs!B25/12,Inputs!B26*12,Inputs!B20,0)*12,0)</f>
        <v>0</v>
      </c>
      <c r="Z35" s="42"/>
      <c r="AA35" s="51">
        <f>IF(Y40&gt;0,PMT(Inputs!B25/12,Inputs!B26*12,Inputs!B20,0)*12,0)</f>
        <v>0</v>
      </c>
      <c r="AB35" s="42"/>
      <c r="AC35" s="51">
        <f>IF(AA40&gt;0,PMT(Inputs!B25/12,Inputs!B26*12,Inputs!B20,0)*12,0)</f>
        <v>0</v>
      </c>
      <c r="AD35" s="42"/>
      <c r="AE35" s="51">
        <f>IF(AC40&gt;0,PMT(Inputs!B25/12,Inputs!B26*12,Inputs!B20,0)*12,0)</f>
        <v>0</v>
      </c>
      <c r="AF35" s="42"/>
      <c r="AG35" s="51">
        <f>IF(AE40&gt;0,PMT(Inputs!B25/12,Inputs!B26*12,Inputs!B20,0)*12,0)</f>
        <v>0</v>
      </c>
    </row>
    <row r="36" spans="1:33" ht="16.2" thickBot="1" x14ac:dyDescent="0.35">
      <c r="A36" s="42"/>
      <c r="B36" s="42"/>
      <c r="C36" s="74"/>
      <c r="D36" s="74"/>
      <c r="E36" s="74"/>
      <c r="F36" s="74"/>
      <c r="G36" s="74"/>
      <c r="H36" s="74"/>
      <c r="I36" s="74"/>
      <c r="J36" s="74"/>
      <c r="K36" s="74"/>
      <c r="L36" s="111"/>
      <c r="M36" s="51"/>
      <c r="N36" s="111"/>
      <c r="O36" s="74"/>
      <c r="P36" s="42"/>
      <c r="Q36" s="74"/>
      <c r="R36" s="42"/>
      <c r="S36" s="74"/>
      <c r="T36" s="42"/>
      <c r="U36" s="74"/>
      <c r="V36" s="42"/>
      <c r="W36" s="74"/>
      <c r="X36" s="42"/>
      <c r="Y36" s="74"/>
      <c r="Z36" s="42"/>
      <c r="AA36" s="74"/>
      <c r="AB36" s="42"/>
      <c r="AC36" s="74"/>
      <c r="AD36" s="42"/>
      <c r="AE36" s="74"/>
      <c r="AF36" s="42"/>
      <c r="AG36" s="74"/>
    </row>
    <row r="37" spans="1:33" ht="18.600000000000001" thickBot="1" x14ac:dyDescent="0.4">
      <c r="A37" s="41" t="s">
        <v>69</v>
      </c>
      <c r="B37" s="62"/>
      <c r="C37" s="75">
        <f>C33+C35</f>
        <v>6204.1815174747207</v>
      </c>
      <c r="D37" s="74"/>
      <c r="E37" s="75">
        <f>E33+E35</f>
        <v>6995.8899174747239</v>
      </c>
      <c r="F37" s="74"/>
      <c r="G37" s="75">
        <f>G33+G35</f>
        <v>7829.4307974747244</v>
      </c>
      <c r="H37" s="74"/>
      <c r="I37" s="75">
        <f>I33+I35</f>
        <v>8706.9430991547251</v>
      </c>
      <c r="J37" s="74"/>
      <c r="K37" s="75">
        <f>K33+K35</f>
        <v>9630.6729251619272</v>
      </c>
      <c r="L37" s="114"/>
      <c r="M37" s="75">
        <f>M33+M35</f>
        <v>10602.978831236751</v>
      </c>
      <c r="N37" s="114"/>
      <c r="O37" s="75">
        <f>O33+O35</f>
        <v>11626.337376627174</v>
      </c>
      <c r="P37" s="42"/>
      <c r="Q37" s="75">
        <f>Q33+Q35</f>
        <v>12703.348945255797</v>
      </c>
      <c r="R37" s="42"/>
      <c r="S37" s="75">
        <f>S33+S35</f>
        <v>13836.743850698249</v>
      </c>
      <c r="T37" s="42"/>
      <c r="U37" s="75">
        <f>U33+U35</f>
        <v>15029.388738653424</v>
      </c>
      <c r="V37" s="42"/>
      <c r="W37" s="75">
        <f>W33+W35</f>
        <v>16284.293301237331</v>
      </c>
      <c r="X37" s="42"/>
      <c r="Y37" s="75">
        <f>Y33+Y35</f>
        <v>25513.295800639131</v>
      </c>
      <c r="Z37" s="42"/>
      <c r="AA37" s="75">
        <f>AA33+AA35</f>
        <v>26902.356522714857</v>
      </c>
      <c r="AB37" s="42"/>
      <c r="AC37" s="75">
        <f>AC33+AC35</f>
        <v>28363.6364148719</v>
      </c>
      <c r="AD37" s="42"/>
      <c r="AE37" s="75">
        <f>AE33+AE35</f>
        <v>29900.791274994626</v>
      </c>
      <c r="AF37" s="42"/>
      <c r="AG37" s="75">
        <f>AG33+AG35</f>
        <v>31517.65874736468</v>
      </c>
    </row>
    <row r="38" spans="1:33" ht="15" thickTop="1" x14ac:dyDescent="0.3">
      <c r="A38" s="42"/>
      <c r="B38" s="42"/>
      <c r="C38" s="74"/>
      <c r="D38" s="74"/>
      <c r="E38" s="74"/>
      <c r="F38" s="74"/>
      <c r="G38" s="74"/>
      <c r="H38" s="74"/>
      <c r="I38" s="74"/>
      <c r="J38" s="74"/>
      <c r="K38" s="74"/>
      <c r="L38" s="111"/>
      <c r="M38" s="74"/>
      <c r="N38" s="111"/>
      <c r="O38" s="74"/>
      <c r="P38" s="42"/>
      <c r="Q38" s="74"/>
      <c r="R38" s="42"/>
      <c r="S38" s="74"/>
      <c r="T38" s="42"/>
      <c r="U38" s="74"/>
      <c r="V38" s="42"/>
      <c r="W38" s="74"/>
      <c r="X38" s="42"/>
      <c r="Y38" s="74"/>
      <c r="Z38" s="42"/>
      <c r="AA38" s="74"/>
      <c r="AB38" s="42"/>
      <c r="AC38" s="74"/>
      <c r="AD38" s="42"/>
      <c r="AE38" s="74"/>
      <c r="AF38" s="42"/>
      <c r="AG38" s="74"/>
    </row>
    <row r="39" spans="1:33" ht="15.6" x14ac:dyDescent="0.3">
      <c r="A39" s="42" t="s">
        <v>81</v>
      </c>
      <c r="B39" s="42"/>
      <c r="C39" s="51">
        <f>Inputs!B16*(1+Inputs!B40)</f>
        <v>174900</v>
      </c>
      <c r="D39" s="51"/>
      <c r="E39" s="51">
        <f>C39*(1+Inputs!$B$40)</f>
        <v>185394</v>
      </c>
      <c r="F39" s="51"/>
      <c r="G39" s="51">
        <f>E39*(1+Inputs!$B$40)</f>
        <v>196517.64</v>
      </c>
      <c r="H39" s="51"/>
      <c r="I39" s="51">
        <f>G39*(1+Inputs!$B$40)</f>
        <v>208308.69840000002</v>
      </c>
      <c r="J39" s="51"/>
      <c r="K39" s="51">
        <f>I39*(1+Inputs!$B$40)</f>
        <v>220807.22030400005</v>
      </c>
      <c r="L39" s="113"/>
      <c r="M39" s="51">
        <f>K39*(1+Inputs!$B$40)</f>
        <v>234055.65352224006</v>
      </c>
      <c r="N39" s="113"/>
      <c r="O39" s="51">
        <f>M39*(1+Inputs!$B$40)</f>
        <v>248098.99273357447</v>
      </c>
      <c r="P39" s="42"/>
      <c r="Q39" s="51">
        <f>O39*(1+Inputs!$B$40)</f>
        <v>262984.93229758897</v>
      </c>
      <c r="R39" s="42"/>
      <c r="S39" s="51">
        <f>Q39*(1+Inputs!$B$40)</f>
        <v>278764.02823544433</v>
      </c>
      <c r="T39" s="42"/>
      <c r="U39" s="51">
        <f>S39*(1+Inputs!$B$40)</f>
        <v>295489.869929571</v>
      </c>
      <c r="V39" s="42"/>
      <c r="W39" s="51">
        <f>U39*(1+Inputs!$B$40)</f>
        <v>313219.2621253453</v>
      </c>
      <c r="X39" s="42"/>
      <c r="Y39" s="51">
        <f>W39*(1+Inputs!$B$40)</f>
        <v>332012.41785286606</v>
      </c>
      <c r="Z39" s="42"/>
      <c r="AA39" s="51">
        <f>Y39*(1+Inputs!$B$40)</f>
        <v>351933.16292403801</v>
      </c>
      <c r="AB39" s="42"/>
      <c r="AC39" s="51">
        <f>AA39*(1+Inputs!$B$40)</f>
        <v>373049.1526994803</v>
      </c>
      <c r="AD39" s="42"/>
      <c r="AE39" s="51">
        <f>AC39*(1+Inputs!$B$40)</f>
        <v>395432.10186144913</v>
      </c>
      <c r="AF39" s="42"/>
      <c r="AG39" s="51">
        <f>AE39*(1+Inputs!$B$40)</f>
        <v>419158.02797313611</v>
      </c>
    </row>
    <row r="40" spans="1:33" ht="15.6" x14ac:dyDescent="0.3">
      <c r="A40" s="42" t="s">
        <v>82</v>
      </c>
      <c r="B40" s="42"/>
      <c r="C40" s="78">
        <f>IF((Inputs!B20+CUMPRINC(Inputs!$B$25/12,Inputs!B26*12,Inputs!$B$20,1,12,0)-C37)&gt;0,Inputs!B20+CUMPRINC(Inputs!$B$25/12,Inputs!B26*12,Inputs!$B$20,1,12,0)-C37,0)</f>
        <v>123618.83105810016</v>
      </c>
      <c r="D40" s="51"/>
      <c r="E40" s="108">
        <f>IF((C40+CUMPRINC(Inputs!$B$25/12,Inputs!B26*12,Inputs!$B$20,13,24,0)-E37)&gt;0,(C40+CUMPRINC(Inputs!$B$25/12,Inputs!B26*12,Inputs!$B$20,13,24,0)-E37),0)</f>
        <v>114348.7772906211</v>
      </c>
      <c r="F40" s="51"/>
      <c r="G40" s="78">
        <f>IF((E40+CUMPRINC(Inputs!$B$25/12,Inputs!B26*12,Inputs!$B$20,25,36,0)-G37)&gt;0,E40+CUMPRINC(Inputs!$B$25/12,Inputs!B26*12,Inputs!$B$20,25,36,0)-G37,0)</f>
        <v>104143.66845355813</v>
      </c>
      <c r="H40" s="51"/>
      <c r="I40" s="108">
        <f>IF((G40+CUMPRINC(Inputs!$B$25/12,Inputs!B26*12,Inputs!$B$20,37,48,0)-I37)&gt;0,G40+CUMPRINC(Inputs!$B$25/12,Inputs!B26*12,Inputs!$B$20,37,48,0)-I37,0)</f>
        <v>92955.001731995493</v>
      </c>
      <c r="J40" s="51"/>
      <c r="K40" s="78">
        <f>IF((I40+CUMPRINC(Inputs!$B$25/12,Inputs!B26*12,Inputs!$B$20,49,60,0)-K37)&gt;0,I40+CUMPRINC(Inputs!$B$25/12,Inputs!B26*12,Inputs!$B$20,49,60,0)-K37,0)</f>
        <v>80731.825935912173</v>
      </c>
      <c r="L40" s="113"/>
      <c r="M40" s="123">
        <f>IF((K40+CUMPRINC(Inputs!$B$25/12,Inputs!B26*12,Inputs!$B$20,61,72,0)-M37)&gt;0,K40+CUMPRINC(Inputs!$B$25/12,Inputs!B26*12,Inputs!$B$20,61,72,0)-M37,0)</f>
        <v>67420.620018045011</v>
      </c>
      <c r="N40" s="113"/>
      <c r="O40" s="78">
        <f>IF((M40+CUMPRINC(Inputs!$B$25/12,Inputs!B26*12,Inputs!$B$20,73,84,0)-O37)&gt;0,M40+CUMPRINC(Inputs!$B$25/12,Inputs!B26*12,Inputs!$B$20,73,84,0)-O37,0)</f>
        <v>52965.165638298779</v>
      </c>
      <c r="P40" s="42"/>
      <c r="Q40" s="108">
        <f>IF((O40+CUMPRINC(Inputs!$B$25/12,Inputs!B26*12,Inputs!$B$20,85,96,0)-Q37)&gt;0,O40+CUMPRINC(Inputs!$B$25/12,Inputs!B26*12,Inputs!$B$20,85,96,0)-Q37,0)</f>
        <v>37306.413485959696</v>
      </c>
      <c r="R40" s="42"/>
      <c r="S40" s="78">
        <f>IF((Q40+CUMPRINC(Inputs!$B$25/12,Inputs!B26*12,Inputs!$B$20,97,108,0)-S37)&gt;0,Q40+CUMPRINC(Inputs!$B$25/12,Inputs!B26*12,Inputs!$B$20,97,108,0)-S37,0)</f>
        <v>20382.343057106991</v>
      </c>
      <c r="T40" s="42"/>
      <c r="U40" s="108">
        <f>IF((S40+CUMPRINC(Inputs!$B$25/12,Inputs!B26*12,Inputs!$B$20,109,120,0)-U37)&gt;0,S40+CUMPRINC(Inputs!$B$25/12,Inputs!B26*12,Inputs!$B$20,109,120,0)-U37,0)</f>
        <v>2127.8155700978987</v>
      </c>
      <c r="V40" s="42"/>
      <c r="W40" s="78">
        <f>IF((U40+CUMPRINC(Inputs!$B$25/12,Inputs!B26*12,Inputs!$B$20,121,132,0)-W37)&gt;0,U40+CUMPRINC(Inputs!$B$25/12,Inputs!B26*12,Inputs!$B$20,121,132,0)-W37,0)</f>
        <v>0</v>
      </c>
      <c r="X40" s="42"/>
      <c r="Y40" s="108">
        <f>IF((W40+CUMPRINC(Inputs!$B$25/12,Inputs!B26*12,Inputs!$B$20,133,144,0)-Y37)&gt;0,W40+CUMPRINC(Inputs!$B$25/12,Inputs!B26*12,Inputs!$B$20,133,144,0)-Y37,0)</f>
        <v>0</v>
      </c>
      <c r="Z40" s="42"/>
      <c r="AA40" s="78">
        <f>IF((Y40+CUMPRINC(Inputs!$B$25/12,Inputs!B26*12,Inputs!$B$20,145,156,0)-AA37)&gt;0,Y40+CUMPRINC(Inputs!$B$25/12,Inputs!B26*12,Inputs!$B$20,145,156,0)-AA37,0)</f>
        <v>0</v>
      </c>
      <c r="AB40" s="42"/>
      <c r="AC40" s="108">
        <f>IF((AA40+CUMPRINC(Inputs!$B$25/12,Inputs!B26*12,Inputs!$B$20,158,169,0)-AC37)&gt;0,AA40+CUMPRINC(Inputs!$B$25/12,Inputs!B26*12,Inputs!$B$20,158,169,0)-AC37,0)</f>
        <v>0</v>
      </c>
      <c r="AD40" s="42"/>
      <c r="AE40" s="78">
        <f>IF((AC40+CUMPRINC(Inputs!$B$25/12,Inputs!B26*12,Inputs!$B$20,169,180,0)-AE37)&gt;0,AC40+CUMPRINC(Inputs!$B$25/12,Inputs!B26*12,Inputs!$B$20,169,180,0)-AE37,0)</f>
        <v>0</v>
      </c>
      <c r="AF40" s="42"/>
      <c r="AG40" s="78">
        <f>IF((AE40+CUMPRINC(Inputs!$B$25/12,Inputs!B26*12,Inputs!$B$20,169,180,0)-AG37)&gt;0,AE40+CUMPRINC(Inputs!$B$25/12,Inputs!B26*12,Inputs!$B$20,169,180,0)-AG37,0)</f>
        <v>0</v>
      </c>
    </row>
    <row r="41" spans="1:33" ht="16.2" thickBot="1" x14ac:dyDescent="0.35">
      <c r="A41" s="42" t="s">
        <v>83</v>
      </c>
      <c r="B41" s="42"/>
      <c r="C41" s="79">
        <f>C39-C40</f>
        <v>51281.168941899843</v>
      </c>
      <c r="D41" s="51"/>
      <c r="E41" s="79">
        <f>E39-E40</f>
        <v>71045.222709378897</v>
      </c>
      <c r="F41" s="51"/>
      <c r="G41" s="79">
        <f>G39-G40</f>
        <v>92373.971546441884</v>
      </c>
      <c r="H41" s="51"/>
      <c r="I41" s="79">
        <f>I39-I40</f>
        <v>115353.69666800453</v>
      </c>
      <c r="J41" s="51"/>
      <c r="K41" s="79">
        <f>K39-K40</f>
        <v>140075.39436808787</v>
      </c>
      <c r="L41" s="113"/>
      <c r="M41" s="79">
        <f>M39-M40</f>
        <v>166635.03350419505</v>
      </c>
      <c r="N41" s="113"/>
      <c r="O41" s="79">
        <f>O39-O40</f>
        <v>195133.82709527569</v>
      </c>
      <c r="P41" s="42"/>
      <c r="Q41" s="79">
        <f>Q39-Q40</f>
        <v>225678.51881162927</v>
      </c>
      <c r="R41" s="42"/>
      <c r="S41" s="79">
        <f>S39-S40</f>
        <v>258381.68517833733</v>
      </c>
      <c r="T41" s="42"/>
      <c r="U41" s="79">
        <f>U39-U40</f>
        <v>293362.05435947311</v>
      </c>
      <c r="V41" s="42"/>
      <c r="W41" s="79">
        <f>W39-W40</f>
        <v>313219.2621253453</v>
      </c>
      <c r="X41" s="42"/>
      <c r="Y41" s="79">
        <f>Y39-Y40</f>
        <v>332012.41785286606</v>
      </c>
      <c r="Z41" s="42"/>
      <c r="AA41" s="79">
        <f>AA39-AA40</f>
        <v>351933.16292403801</v>
      </c>
      <c r="AB41" s="42"/>
      <c r="AC41" s="79">
        <f>AC39-AC40</f>
        <v>373049.1526994803</v>
      </c>
      <c r="AD41" s="42"/>
      <c r="AE41" s="79">
        <f>AE39-AE40</f>
        <v>395432.10186144913</v>
      </c>
      <c r="AF41" s="42"/>
      <c r="AG41" s="79">
        <f>AG39-AG40</f>
        <v>419158.02797313611</v>
      </c>
    </row>
    <row r="42" spans="1:33" ht="18.600000000000001" thickBot="1" x14ac:dyDescent="0.4">
      <c r="A42" s="122" t="s">
        <v>84</v>
      </c>
      <c r="B42" s="42"/>
      <c r="C42" s="80">
        <f>IF(C40&gt;0,C41,C41+C37)</f>
        <v>51281.168941899843</v>
      </c>
      <c r="D42" s="51"/>
      <c r="E42" s="80">
        <f>IF(E40&gt;0,E41,E41+E37)</f>
        <v>71045.222709378897</v>
      </c>
      <c r="F42" s="51"/>
      <c r="G42" s="80">
        <f>IF(G40&gt;0,G41,G41+G37)</f>
        <v>92373.971546441884</v>
      </c>
      <c r="H42" s="51"/>
      <c r="I42" s="80">
        <f>IF(I40&gt;0,I41,I41+I37)</f>
        <v>115353.69666800453</v>
      </c>
      <c r="J42" s="51"/>
      <c r="K42" s="80">
        <f>IF(K40&gt;0,K41,K41+K37)</f>
        <v>140075.39436808787</v>
      </c>
      <c r="L42" s="114"/>
      <c r="M42" s="80">
        <f>IF(M40&gt;0,M41,M41+M37)</f>
        <v>166635.03350419505</v>
      </c>
      <c r="N42" s="114"/>
      <c r="O42" s="80">
        <f>IF(O40&gt;0,O41,O41+O37)</f>
        <v>195133.82709527569</v>
      </c>
      <c r="P42" s="42"/>
      <c r="Q42" s="80">
        <f>IF(Q40&gt;0,Q41,Q41+Q37)</f>
        <v>225678.51881162927</v>
      </c>
      <c r="R42" s="42"/>
      <c r="S42" s="80">
        <f>IF(S40&gt;0,S41,S41+S37)</f>
        <v>258381.68517833733</v>
      </c>
      <c r="T42" s="42"/>
      <c r="U42" s="80">
        <f>IF(U40&gt;0,U41,U41+U37)</f>
        <v>293362.05435947311</v>
      </c>
      <c r="V42" s="42"/>
      <c r="W42" s="80">
        <f>IF(W40&gt;0,W41,W41+W37)</f>
        <v>329503.55542658264</v>
      </c>
      <c r="X42" s="42"/>
      <c r="Y42" s="80">
        <f>IF(Y40&gt;0,Y41,Y41+Y37)</f>
        <v>357525.7136535052</v>
      </c>
      <c r="Z42" s="42"/>
      <c r="AA42" s="80">
        <f>IF(AA40&gt;0,AA41,AA41+AA37)</f>
        <v>378835.51944675285</v>
      </c>
      <c r="AB42" s="42"/>
      <c r="AC42" s="80">
        <f>IF(AC40&gt;0,AC41,AC41+AC37)</f>
        <v>401412.7891143522</v>
      </c>
      <c r="AD42" s="42"/>
      <c r="AE42" s="80">
        <f>IF(AE40&gt;0,AE41,AE41+AE37)</f>
        <v>425332.89313644374</v>
      </c>
      <c r="AF42" s="42"/>
      <c r="AG42" s="80">
        <f>IF(AG40&gt;0,AG41,AG41+AG37)</f>
        <v>450675.68672050082</v>
      </c>
    </row>
    <row r="43" spans="1:33" ht="16.2" hidden="1" thickTop="1" x14ac:dyDescent="0.3">
      <c r="A43" s="122" t="s">
        <v>89</v>
      </c>
      <c r="B43" s="42"/>
      <c r="C43" s="51">
        <f>$I$7</f>
        <v>41782</v>
      </c>
      <c r="D43" s="51"/>
      <c r="E43" s="51">
        <f>$I$7</f>
        <v>41782</v>
      </c>
      <c r="F43" s="51"/>
      <c r="G43" s="51">
        <f>$I$7</f>
        <v>41782</v>
      </c>
      <c r="H43" s="51"/>
      <c r="I43" s="51">
        <f>$I$7</f>
        <v>41782</v>
      </c>
      <c r="J43" s="51"/>
      <c r="K43" s="51">
        <f>$I$7</f>
        <v>41782</v>
      </c>
      <c r="L43" s="113"/>
      <c r="M43" s="51">
        <f>$I$7</f>
        <v>41782</v>
      </c>
      <c r="N43" s="113"/>
      <c r="O43" s="51">
        <f>$I$7</f>
        <v>41782</v>
      </c>
      <c r="P43" s="42"/>
      <c r="Q43" s="51">
        <f>$I$7</f>
        <v>41782</v>
      </c>
      <c r="R43" s="42"/>
      <c r="S43" s="51">
        <f>$I$7</f>
        <v>41782</v>
      </c>
      <c r="T43" s="42"/>
      <c r="U43" s="51">
        <f>$I$7</f>
        <v>41782</v>
      </c>
      <c r="V43" s="42"/>
      <c r="W43" s="51">
        <f>$I$7</f>
        <v>41782</v>
      </c>
      <c r="X43" s="42"/>
      <c r="Y43" s="51">
        <f>$I$7</f>
        <v>41782</v>
      </c>
      <c r="Z43" s="42"/>
      <c r="AA43" s="51">
        <f>$I$7</f>
        <v>41782</v>
      </c>
      <c r="AB43" s="42"/>
      <c r="AC43" s="51">
        <f>$I$7</f>
        <v>41782</v>
      </c>
      <c r="AD43" s="42"/>
      <c r="AE43" s="51">
        <f>$I$7</f>
        <v>41782</v>
      </c>
      <c r="AF43" s="42"/>
      <c r="AG43" s="51">
        <f>$I$7</f>
        <v>41782</v>
      </c>
    </row>
    <row r="44" spans="1:33" ht="16.2" thickTop="1" x14ac:dyDescent="0.3">
      <c r="A44" s="122" t="s">
        <v>90</v>
      </c>
      <c r="B44" s="42"/>
      <c r="C44" s="81">
        <f>IF(C40&gt;0,(C41-C43)/$I$7,(C41-C43+C37)/$I$7)</f>
        <v>0.22735074773586336</v>
      </c>
      <c r="D44" s="51"/>
      <c r="E44" s="81">
        <f>IF(E40&gt;0,(E41-E43)/$I$7,(E41-E43+E37)/$I$7)</f>
        <v>0.70037869679237219</v>
      </c>
      <c r="F44" s="51"/>
      <c r="G44" s="81">
        <f>IF(G40&gt;0,(G41-G43)/$I$7,(G41-G43+G37)/$I$7)</f>
        <v>1.2108556686238543</v>
      </c>
      <c r="H44" s="51"/>
      <c r="I44" s="81">
        <f>IF(I40&gt;0,(I41-I43)/$I$7,(I41-I43+I37)/$I$7)</f>
        <v>1.7608466963765386</v>
      </c>
      <c r="J44" s="51"/>
      <c r="K44" s="81">
        <f>IF(K40&gt;0,(K41-K43)/$I$7,(K41-K43+K37)/$I$7)</f>
        <v>2.3525296627276786</v>
      </c>
      <c r="L44" s="115"/>
      <c r="M44" s="81">
        <f>IF(M40&gt;0,(M41-M43)/$I$7,(M41-M43+M37)/$I$7)</f>
        <v>2.9882014624526123</v>
      </c>
      <c r="N44" s="115"/>
      <c r="O44" s="81">
        <f>IF(O40&gt;0,(O41-O43)/$I$7,(O41-O43+O37)/$I$7)</f>
        <v>3.6702845027829132</v>
      </c>
      <c r="P44" s="42"/>
      <c r="Q44" s="81">
        <f>IF(Q40&gt;0,(Q41-Q43)/$I$7,(Q41-Q43+Q37)/$I$7)</f>
        <v>4.4013335601845114</v>
      </c>
      <c r="R44" s="42"/>
      <c r="S44" s="81">
        <f>IF(S40&gt;0,(S41-S43)/$I$7,(S41-S43+S37)/$I$7)</f>
        <v>5.1840430132195046</v>
      </c>
      <c r="T44" s="42"/>
      <c r="U44" s="81">
        <f>IF(U40&gt;0,(U41-U43)/$I$7,(U41-U43+U37)/$I$7)</f>
        <v>6.021254472248172</v>
      </c>
      <c r="V44" s="42"/>
      <c r="W44" s="81">
        <f>IF(W40&gt;0,(W41-W43)/$I$7,(W41-W43+W37)/$I$7)</f>
        <v>6.8862561731507022</v>
      </c>
      <c r="X44" s="42"/>
      <c r="Y44" s="81">
        <f>IF(Y40&gt;0,(Y41-Y43)/$I$7,(Y41-Y43+Y37)/$I$7)</f>
        <v>7.5569315411781437</v>
      </c>
      <c r="Z44" s="42"/>
      <c r="AA44" s="81">
        <f>IF(AA40&gt;0,(AA41-AA43)/$I$7,(AA41-AA43+AA37)/$I$7)</f>
        <v>8.0669551349086408</v>
      </c>
      <c r="AB44" s="42"/>
      <c r="AC44" s="81">
        <f>IF(AC40&gt;0,(AC41-AC43)/$I$7,(AC41-AC43+AC37)/$I$7)</f>
        <v>8.6073138938861753</v>
      </c>
      <c r="AD44" s="42"/>
      <c r="AE44" s="81">
        <f>IF(AE40&gt;0,(AE41-AE43)/$I$7,(AE41-AE43+AE37)/$I$7)</f>
        <v>9.1798117164435347</v>
      </c>
      <c r="AF44" s="42"/>
      <c r="AG44" s="81">
        <f>IF(AG40&gt;0,(AG41-AG43)/$I$7,(AG41-AG43+AG37)/$I$7)</f>
        <v>9.7863598372624772</v>
      </c>
    </row>
    <row r="45" spans="1:33" ht="15.6" x14ac:dyDescent="0.3">
      <c r="A45" s="42"/>
      <c r="B45" s="42"/>
      <c r="C45" s="77"/>
      <c r="D45" s="51"/>
      <c r="E45" s="77"/>
      <c r="F45" s="51"/>
      <c r="G45" s="77"/>
      <c r="H45" s="51"/>
      <c r="I45" s="77"/>
      <c r="J45" s="51"/>
      <c r="K45" s="77"/>
      <c r="L45" s="116"/>
      <c r="M45" s="77"/>
      <c r="N45" s="116"/>
      <c r="O45" s="77"/>
      <c r="P45" s="42"/>
      <c r="Q45" s="77"/>
      <c r="R45" s="42"/>
      <c r="S45" s="77"/>
      <c r="T45" s="42"/>
      <c r="U45" s="77"/>
      <c r="V45" s="42"/>
      <c r="W45" s="77"/>
      <c r="X45" s="42"/>
      <c r="Y45" s="77"/>
      <c r="Z45" s="42"/>
      <c r="AA45" s="77"/>
      <c r="AB45" s="42"/>
      <c r="AC45" s="77"/>
      <c r="AD45" s="42"/>
      <c r="AE45" s="77"/>
      <c r="AF45" s="42"/>
      <c r="AG45" s="77"/>
    </row>
    <row r="46" spans="1:33" ht="16.2" thickBot="1" x14ac:dyDescent="0.35">
      <c r="A46" s="122" t="s">
        <v>110</v>
      </c>
      <c r="B46" s="42"/>
      <c r="C46" s="85">
        <f>IF(C40&gt;0,0,C37)</f>
        <v>0</v>
      </c>
      <c r="D46" s="82"/>
      <c r="E46" s="85">
        <f>IF(E40&gt;0,0,E37)</f>
        <v>0</v>
      </c>
      <c r="F46" s="82"/>
      <c r="G46" s="85">
        <f>IF(G40&gt;0,0,G37)</f>
        <v>0</v>
      </c>
      <c r="H46" s="82"/>
      <c r="I46" s="85">
        <f>IF(I40&gt;0,0,I37)</f>
        <v>0</v>
      </c>
      <c r="J46" s="82"/>
      <c r="K46" s="85">
        <f>IF(K40&gt;0,0,K37)</f>
        <v>0</v>
      </c>
      <c r="L46" s="117"/>
      <c r="M46" s="85">
        <f>IF(M40&gt;0,0,M37)</f>
        <v>0</v>
      </c>
      <c r="N46" s="117"/>
      <c r="O46" s="85">
        <f>IF(O40&gt;0,0,O37)</f>
        <v>0</v>
      </c>
      <c r="P46" s="42"/>
      <c r="Q46" s="85">
        <f>IF(Q40&gt;0,0,Q37)</f>
        <v>0</v>
      </c>
      <c r="R46" s="42"/>
      <c r="S46" s="85">
        <f>IF(S40&gt;0,0,S37)</f>
        <v>0</v>
      </c>
      <c r="T46" s="42"/>
      <c r="U46" s="85">
        <f>IF(U40&gt;0,0,U37)</f>
        <v>0</v>
      </c>
      <c r="V46" s="42"/>
      <c r="W46" s="85">
        <f>IF(W40&gt;0,0,W37)</f>
        <v>16284.293301237331</v>
      </c>
      <c r="X46" s="42"/>
      <c r="Y46" s="85">
        <f>IF(Y40&gt;0,0,Y37)</f>
        <v>25513.295800639131</v>
      </c>
      <c r="Z46" s="42"/>
      <c r="AA46" s="85">
        <f>IF(AA40&gt;0,0,AA37)</f>
        <v>26902.356522714857</v>
      </c>
      <c r="AB46" s="42"/>
      <c r="AC46" s="85">
        <f>IF(AC40&gt;0,0,AC37)</f>
        <v>28363.6364148719</v>
      </c>
      <c r="AD46" s="42"/>
      <c r="AE46" s="85">
        <f>IF(AE40&gt;0,0,AE37)</f>
        <v>29900.791274994626</v>
      </c>
      <c r="AF46" s="42"/>
      <c r="AG46" s="85">
        <f>IF(AG40&gt;0,0,AG37)</f>
        <v>31517.65874736468</v>
      </c>
    </row>
    <row r="47" spans="1:33" ht="16.2" thickTop="1" x14ac:dyDescent="0.3">
      <c r="A47" s="122" t="s">
        <v>92</v>
      </c>
      <c r="B47" s="42"/>
      <c r="C47" s="83">
        <f>C46/$I$7</f>
        <v>0</v>
      </c>
      <c r="D47" s="84"/>
      <c r="E47" s="83">
        <f>E46/$I$7</f>
        <v>0</v>
      </c>
      <c r="F47" s="84"/>
      <c r="G47" s="83">
        <f>G46/$I$7</f>
        <v>0</v>
      </c>
      <c r="H47" s="84"/>
      <c r="I47" s="83">
        <f>I46/$I$7</f>
        <v>0</v>
      </c>
      <c r="J47" s="84"/>
      <c r="K47" s="83">
        <f>K46/$I$7</f>
        <v>0</v>
      </c>
      <c r="L47" s="118"/>
      <c r="M47" s="83">
        <f>M46/$I$7</f>
        <v>0</v>
      </c>
      <c r="N47" s="118"/>
      <c r="O47" s="83">
        <f>O46/$I$7</f>
        <v>0</v>
      </c>
      <c r="P47" s="42"/>
      <c r="Q47" s="83">
        <f>Q46/$I$7</f>
        <v>0</v>
      </c>
      <c r="R47" s="42"/>
      <c r="S47" s="83">
        <f>S46/$I$7</f>
        <v>0</v>
      </c>
      <c r="T47" s="42"/>
      <c r="U47" s="83">
        <f>U46/$I$7</f>
        <v>0</v>
      </c>
      <c r="V47" s="42"/>
      <c r="W47" s="83">
        <f>W46/$I$7</f>
        <v>0.38974422720878205</v>
      </c>
      <c r="X47" s="42"/>
      <c r="Y47" s="83">
        <f>Y46/$I$7</f>
        <v>0.61062887847970726</v>
      </c>
      <c r="Z47" s="42"/>
      <c r="AA47" s="83">
        <f>AA46/$I$7</f>
        <v>0.64387431244829973</v>
      </c>
      <c r="AB47" s="42"/>
      <c r="AC47" s="83">
        <f>AC46/$I$7</f>
        <v>0.67884822207821316</v>
      </c>
      <c r="AD47" s="42"/>
      <c r="AE47" s="83">
        <f>AE46/$I$7</f>
        <v>0.71563810432709363</v>
      </c>
      <c r="AF47" s="42"/>
      <c r="AG47" s="83">
        <f>AG46/$I$7</f>
        <v>0.75433580841904835</v>
      </c>
    </row>
    <row r="48" spans="1:33" ht="15.6" x14ac:dyDescent="0.3">
      <c r="A48" s="42"/>
      <c r="B48" s="42"/>
      <c r="C48" s="83"/>
      <c r="D48" s="84"/>
      <c r="E48" s="83"/>
      <c r="F48" s="84"/>
      <c r="G48" s="83"/>
      <c r="H48" s="84"/>
      <c r="I48" s="83"/>
      <c r="J48" s="84"/>
      <c r="K48" s="83"/>
      <c r="L48" s="118"/>
      <c r="M48" s="83"/>
      <c r="N48" s="118"/>
      <c r="O48" s="83"/>
      <c r="P48" s="42"/>
      <c r="Q48" s="83"/>
      <c r="R48" s="42"/>
      <c r="S48" s="83"/>
      <c r="T48" s="42"/>
      <c r="U48" s="83"/>
      <c r="V48" s="42"/>
      <c r="W48" s="83"/>
      <c r="X48" s="42"/>
      <c r="Y48" s="83"/>
      <c r="Z48" s="42"/>
      <c r="AA48" s="83"/>
      <c r="AB48" s="42"/>
      <c r="AC48" s="83"/>
      <c r="AD48" s="42"/>
      <c r="AE48" s="83"/>
      <c r="AF48" s="42"/>
      <c r="AG48" s="83"/>
    </row>
    <row r="49" spans="1:33" ht="16.2" thickBot="1" x14ac:dyDescent="0.35">
      <c r="A49" s="122" t="s">
        <v>111</v>
      </c>
      <c r="B49" s="42"/>
      <c r="C49" s="85">
        <f>C41-C43+C46</f>
        <v>9499.168941899843</v>
      </c>
      <c r="D49" s="84"/>
      <c r="E49" s="85">
        <f>E41-E43+E46</f>
        <v>29263.222709378897</v>
      </c>
      <c r="F49" s="82"/>
      <c r="G49" s="85">
        <f>G41-G43+G46</f>
        <v>50591.971546441884</v>
      </c>
      <c r="H49" s="82"/>
      <c r="I49" s="85">
        <f>I41-I43+I46</f>
        <v>73571.69666800453</v>
      </c>
      <c r="J49" s="82"/>
      <c r="K49" s="85">
        <f>K41-K43+K46</f>
        <v>98293.394368087873</v>
      </c>
      <c r="L49" s="117"/>
      <c r="M49" s="85">
        <f>M41-M43+M46</f>
        <v>124853.03350419505</v>
      </c>
      <c r="N49" s="117"/>
      <c r="O49" s="85">
        <f>O41-O43+O46</f>
        <v>153351.82709527569</v>
      </c>
      <c r="P49" s="42"/>
      <c r="Q49" s="85">
        <f>Q41-Q43+Q46</f>
        <v>183896.51881162927</v>
      </c>
      <c r="R49" s="42"/>
      <c r="S49" s="85">
        <f>S41-S43+S46</f>
        <v>216599.68517833733</v>
      </c>
      <c r="T49" s="42"/>
      <c r="U49" s="85">
        <f>U41-U43+U46</f>
        <v>251580.05435947311</v>
      </c>
      <c r="V49" s="42"/>
      <c r="W49" s="85">
        <f>W41-W43+W46</f>
        <v>287721.55542658264</v>
      </c>
      <c r="X49" s="42"/>
      <c r="Y49" s="85">
        <f>Y41-Y43+Y46</f>
        <v>315743.7136535052</v>
      </c>
      <c r="Z49" s="42"/>
      <c r="AA49" s="85">
        <f>AA41-AA43+AA46</f>
        <v>337053.51944675285</v>
      </c>
      <c r="AB49" s="42"/>
      <c r="AC49" s="85">
        <f>AC41-AC43+AC46</f>
        <v>359630.7891143522</v>
      </c>
      <c r="AD49" s="42"/>
      <c r="AE49" s="85">
        <f>AE41-AE43+AE46</f>
        <v>383550.89313644374</v>
      </c>
      <c r="AF49" s="42"/>
      <c r="AG49" s="85">
        <f>AG41-AG43+AG46</f>
        <v>408893.68672050082</v>
      </c>
    </row>
    <row r="50" spans="1:33" ht="16.2" thickTop="1" x14ac:dyDescent="0.3">
      <c r="A50" s="122" t="s">
        <v>91</v>
      </c>
      <c r="B50" s="42"/>
      <c r="C50" s="83">
        <f>C49/$I$7</f>
        <v>0.22735074773586336</v>
      </c>
      <c r="D50" s="84"/>
      <c r="E50" s="83">
        <f>E49/$I$7</f>
        <v>0.70037869679237219</v>
      </c>
      <c r="F50" s="84"/>
      <c r="G50" s="83">
        <f>G49/$I$7</f>
        <v>1.2108556686238543</v>
      </c>
      <c r="H50" s="84"/>
      <c r="I50" s="83">
        <f>I49/$I$7</f>
        <v>1.7608466963765386</v>
      </c>
      <c r="J50" s="84"/>
      <c r="K50" s="83">
        <f>K49/$I$7</f>
        <v>2.3525296627276786</v>
      </c>
      <c r="L50" s="118"/>
      <c r="M50" s="83">
        <f>M49/$I$7</f>
        <v>2.9882014624526123</v>
      </c>
      <c r="N50" s="118"/>
      <c r="O50" s="83">
        <f>O49/$I$7</f>
        <v>3.6702845027829132</v>
      </c>
      <c r="P50" s="42"/>
      <c r="Q50" s="83">
        <f>Q49/$I$7</f>
        <v>4.4013335601845114</v>
      </c>
      <c r="R50" s="42"/>
      <c r="S50" s="83">
        <f>S49/$I$7</f>
        <v>5.1840430132195046</v>
      </c>
      <c r="T50" s="42"/>
      <c r="U50" s="83">
        <f>U49/$I$7</f>
        <v>6.021254472248172</v>
      </c>
      <c r="V50" s="42"/>
      <c r="W50" s="83">
        <f>W49/$I$7</f>
        <v>6.8862561731507022</v>
      </c>
      <c r="X50" s="42"/>
      <c r="Y50" s="83">
        <f>Y49/$I$7</f>
        <v>7.5569315411781437</v>
      </c>
      <c r="Z50" s="42"/>
      <c r="AA50" s="83">
        <f>AA49/$I$7</f>
        <v>8.0669551349086408</v>
      </c>
      <c r="AB50" s="42"/>
      <c r="AC50" s="83">
        <f>AC49/$I$7</f>
        <v>8.6073138938861753</v>
      </c>
      <c r="AD50" s="42"/>
      <c r="AE50" s="83">
        <f>AE49/$I$7</f>
        <v>9.1798117164435347</v>
      </c>
      <c r="AF50" s="42"/>
      <c r="AG50" s="83">
        <f>AG49/$I$7</f>
        <v>9.7863598372624772</v>
      </c>
    </row>
    <row r="51" spans="1:33" x14ac:dyDescent="0.3">
      <c r="A51" s="42"/>
      <c r="B51" s="42"/>
      <c r="C51" s="76"/>
      <c r="D51" s="74"/>
      <c r="E51" s="76"/>
      <c r="F51" s="74"/>
      <c r="G51" s="76"/>
      <c r="H51" s="74"/>
      <c r="I51" s="76"/>
      <c r="J51" s="74"/>
      <c r="K51" s="76"/>
      <c r="L51" s="119"/>
      <c r="M51" s="76"/>
      <c r="N51" s="119"/>
      <c r="O51" s="76"/>
      <c r="P51" s="42"/>
      <c r="Q51" s="76"/>
      <c r="R51" s="42"/>
      <c r="S51" s="76"/>
      <c r="T51" s="42"/>
      <c r="U51" s="76"/>
      <c r="V51" s="42"/>
      <c r="W51" s="76"/>
      <c r="X51" s="42"/>
      <c r="Y51" s="76"/>
      <c r="Z51" s="42"/>
      <c r="AA51" s="76"/>
      <c r="AB51" s="42"/>
      <c r="AC51" s="76"/>
      <c r="AD51" s="42"/>
      <c r="AE51" s="76"/>
      <c r="AF51" s="42"/>
      <c r="AG51" s="76"/>
    </row>
    <row r="52" spans="1:33" ht="15.75" customHeight="1" x14ac:dyDescent="0.3">
      <c r="A52" s="42"/>
      <c r="B52" s="71"/>
      <c r="C52" s="109"/>
      <c r="D52" s="71"/>
      <c r="E52" s="42"/>
      <c r="F52" s="42"/>
      <c r="G52" s="42"/>
      <c r="H52" s="42"/>
      <c r="I52" s="42"/>
      <c r="J52" s="42"/>
      <c r="K52" s="42"/>
      <c r="L52" s="110"/>
      <c r="M52" s="42"/>
      <c r="N52" s="110"/>
      <c r="O52" s="42"/>
      <c r="P52" s="42"/>
      <c r="Q52" s="42"/>
      <c r="R52" s="42"/>
      <c r="S52" s="42"/>
      <c r="T52" s="42"/>
      <c r="U52" s="42"/>
      <c r="V52" s="42"/>
      <c r="W52" s="42"/>
      <c r="X52" s="42"/>
      <c r="Y52" s="42"/>
      <c r="Z52" s="42"/>
      <c r="AA52" s="42"/>
      <c r="AB52" s="42"/>
      <c r="AC52" s="42"/>
      <c r="AD52" s="42"/>
      <c r="AE52" s="42"/>
      <c r="AF52" s="42"/>
      <c r="AG52" s="42"/>
    </row>
    <row r="53" spans="1:33" ht="19.5" customHeight="1" x14ac:dyDescent="0.3">
      <c r="A53" s="155" t="str">
        <f>Inputs!A68</f>
        <v xml:space="preserve">This sheet is for informational purposes only.  This is not a commitment, approval or guarantee to lend.  The figures included in this worksheet are entirely dependent on the information that you input.  These figures and calculations are considered accurate, but not guaranteed.  Joe Massey and Castle &amp; Cooke Mortgage do not represent, warrant or guarantee these numbers.  Matt Pillmore and VIP Financial Education do not represent, warrant or guarantee these numbers.  All information is for preliminary analysis and calculations only.  Please contact your tax advisor, CPA, financial planner, attorney, insurance agent, real estate agent or other properly licensed professional for additional information as needed.  </v>
      </c>
      <c r="B53" s="155"/>
      <c r="C53" s="155"/>
      <c r="D53" s="155"/>
      <c r="E53" s="155"/>
      <c r="F53" s="155"/>
      <c r="G53" s="155"/>
      <c r="H53" s="155"/>
      <c r="I53" s="155"/>
      <c r="J53" s="155"/>
      <c r="K53" s="155"/>
      <c r="L53" s="120"/>
      <c r="M53" s="42"/>
      <c r="N53" s="110"/>
      <c r="O53" s="42"/>
      <c r="P53" s="42"/>
      <c r="Q53" s="42"/>
      <c r="R53" s="42"/>
      <c r="S53" s="42"/>
      <c r="T53" s="42"/>
      <c r="U53" s="42"/>
      <c r="V53" s="42"/>
      <c r="W53" s="42"/>
      <c r="X53" s="42"/>
      <c r="Y53" s="42"/>
      <c r="Z53" s="42"/>
      <c r="AA53" s="42"/>
      <c r="AB53" s="42"/>
      <c r="AC53" s="42"/>
      <c r="AD53" s="42"/>
      <c r="AE53" s="42"/>
      <c r="AF53" s="42"/>
      <c r="AG53" s="42"/>
    </row>
    <row r="54" spans="1:33" x14ac:dyDescent="0.3">
      <c r="A54" s="155"/>
      <c r="B54" s="155"/>
      <c r="C54" s="155"/>
      <c r="D54" s="155"/>
      <c r="E54" s="155"/>
      <c r="F54" s="155"/>
      <c r="G54" s="155"/>
      <c r="H54" s="155"/>
      <c r="I54" s="155"/>
      <c r="J54" s="155"/>
      <c r="K54" s="155"/>
      <c r="L54" s="120"/>
      <c r="M54" s="42"/>
      <c r="N54" s="110"/>
      <c r="O54" s="42"/>
      <c r="P54" s="42"/>
      <c r="Q54" s="42"/>
      <c r="R54" s="42"/>
      <c r="S54" s="42"/>
      <c r="T54" s="42"/>
      <c r="U54" s="42"/>
      <c r="V54" s="42"/>
      <c r="W54" s="42"/>
      <c r="X54" s="42"/>
      <c r="Y54" s="42"/>
      <c r="Z54" s="42"/>
      <c r="AA54" s="42"/>
      <c r="AB54" s="42"/>
      <c r="AC54" s="42"/>
      <c r="AD54" s="42"/>
      <c r="AE54" s="42"/>
      <c r="AF54" s="42"/>
      <c r="AG54" s="42"/>
    </row>
    <row r="55" spans="1:33" x14ac:dyDescent="0.3">
      <c r="A55" s="155"/>
      <c r="B55" s="155"/>
      <c r="C55" s="155"/>
      <c r="D55" s="155"/>
      <c r="E55" s="155"/>
      <c r="F55" s="155"/>
      <c r="G55" s="155"/>
      <c r="H55" s="155"/>
      <c r="I55" s="155"/>
      <c r="J55" s="155"/>
      <c r="K55" s="155"/>
      <c r="L55" s="120"/>
      <c r="M55" s="42"/>
      <c r="N55" s="110"/>
      <c r="O55" s="42"/>
      <c r="P55" s="42"/>
      <c r="Q55" s="42"/>
      <c r="R55" s="42"/>
      <c r="S55" s="42"/>
      <c r="T55" s="42"/>
      <c r="U55" s="42"/>
      <c r="V55" s="42"/>
      <c r="W55" s="42"/>
      <c r="X55" s="42"/>
      <c r="Y55" s="42"/>
      <c r="Z55" s="42"/>
      <c r="AA55" s="42"/>
      <c r="AB55" s="42"/>
      <c r="AC55" s="42"/>
      <c r="AD55" s="42"/>
      <c r="AE55" s="42"/>
      <c r="AF55" s="42"/>
      <c r="AG55" s="42"/>
    </row>
    <row r="56" spans="1:33" x14ac:dyDescent="0.3">
      <c r="A56" s="87"/>
      <c r="B56" s="87"/>
      <c r="C56" s="87"/>
      <c r="D56" s="87"/>
    </row>
  </sheetData>
  <sheetProtection algorithmName="SHA-512" hashValue="fqzWiQbxWjLQyYh8LkvmRnahQXJiTyfFZXEnWr7ErBLpR9JbKkYM4j7hSFyh9kDTgeZwfhuXzfLGQw99EYKKtg==" saltValue="tmPTqyl5Q5w3rkf4H+hhzg==" spinCount="100000" sheet="1" objects="1" scenarios="1" selectLockedCells="1"/>
  <mergeCells count="1">
    <mergeCell ref="A53:K55"/>
  </mergeCells>
  <pageMargins left="0.7" right="0.7" top="0.75" bottom="0.75" header="0.3" footer="0.3"/>
  <pageSetup scale="6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0"/>
  <sheetViews>
    <sheetView zoomScaleNormal="100" zoomScaleSheetLayoutView="100" workbookViewId="0"/>
  </sheetViews>
  <sheetFormatPr defaultColWidth="9.109375" defaultRowHeight="14.4" x14ac:dyDescent="0.3"/>
  <cols>
    <col min="1" max="1" width="16.44140625" style="7" customWidth="1"/>
    <col min="2" max="2" width="20.44140625" style="7" customWidth="1"/>
    <col min="3" max="3" width="17.44140625" style="7" customWidth="1"/>
    <col min="4" max="4" width="8.33203125" style="7" customWidth="1"/>
    <col min="5" max="5" width="21.5546875" style="7" customWidth="1"/>
    <col min="6" max="6" width="8.33203125" style="7" customWidth="1"/>
    <col min="7" max="7" width="17.44140625" style="7" customWidth="1"/>
    <col min="8" max="8" width="8" style="7" customWidth="1"/>
    <col min="9" max="9" width="15.5546875" style="7" customWidth="1"/>
    <col min="10" max="10" width="8" style="7" customWidth="1"/>
    <col min="11" max="11" width="24.5546875" style="7" customWidth="1"/>
    <col min="12" max="16384" width="9.109375" style="7"/>
  </cols>
  <sheetData>
    <row r="1" spans="1:14" ht="18" x14ac:dyDescent="0.35">
      <c r="A1" s="8" t="s">
        <v>70</v>
      </c>
      <c r="B1" s="9"/>
      <c r="C1" s="13" t="str">
        <f>'Cash-Flow'!C1</f>
        <v>123 Main St</v>
      </c>
      <c r="D1" s="9"/>
      <c r="E1" s="9"/>
      <c r="F1" s="9"/>
      <c r="G1" s="9"/>
      <c r="H1" s="9"/>
      <c r="I1" s="9"/>
      <c r="J1" s="9"/>
      <c r="K1" s="9"/>
      <c r="L1" s="9"/>
      <c r="M1" s="9"/>
      <c r="N1" s="9"/>
    </row>
    <row r="2" spans="1:14" x14ac:dyDescent="0.3">
      <c r="A2" s="9"/>
      <c r="B2" s="9"/>
      <c r="C2" s="9"/>
      <c r="D2" s="9"/>
      <c r="E2" s="14" t="s">
        <v>75</v>
      </c>
      <c r="F2" s="15"/>
      <c r="G2" s="14" t="s">
        <v>75</v>
      </c>
      <c r="H2" s="15"/>
      <c r="I2" s="14" t="s">
        <v>75</v>
      </c>
      <c r="J2" s="15"/>
      <c r="K2" s="14" t="s">
        <v>75</v>
      </c>
      <c r="L2" s="9"/>
      <c r="M2" s="9"/>
      <c r="N2" s="9"/>
    </row>
    <row r="3" spans="1:14" ht="24" customHeight="1" x14ac:dyDescent="0.3">
      <c r="A3" s="158" t="s">
        <v>71</v>
      </c>
      <c r="B3" s="9"/>
      <c r="C3" s="159" t="s">
        <v>72</v>
      </c>
      <c r="D3" s="9"/>
      <c r="E3" s="161" t="s">
        <v>76</v>
      </c>
      <c r="F3" s="9"/>
      <c r="G3" s="161" t="s">
        <v>73</v>
      </c>
      <c r="H3" s="9"/>
      <c r="I3" s="161" t="s">
        <v>74</v>
      </c>
      <c r="J3" s="9"/>
      <c r="K3" s="163" t="s">
        <v>77</v>
      </c>
      <c r="L3" s="9"/>
      <c r="M3" s="9"/>
      <c r="N3" s="9"/>
    </row>
    <row r="4" spans="1:14" ht="19.5" customHeight="1" x14ac:dyDescent="0.3">
      <c r="A4" s="158"/>
      <c r="B4" s="9"/>
      <c r="C4" s="160"/>
      <c r="D4" s="9"/>
      <c r="E4" s="162"/>
      <c r="F4" s="9"/>
      <c r="G4" s="162"/>
      <c r="H4" s="9"/>
      <c r="I4" s="162"/>
      <c r="J4" s="9"/>
      <c r="K4" s="164"/>
      <c r="L4" s="9"/>
      <c r="M4" s="9"/>
      <c r="N4" s="9"/>
    </row>
    <row r="5" spans="1:14" ht="7.5" customHeight="1" x14ac:dyDescent="0.3">
      <c r="A5" s="9"/>
      <c r="B5" s="9"/>
      <c r="C5" s="9"/>
      <c r="D5" s="9"/>
      <c r="E5" s="9"/>
      <c r="F5" s="9"/>
      <c r="G5" s="9"/>
      <c r="H5" s="9"/>
      <c r="I5" s="9"/>
      <c r="J5" s="9"/>
      <c r="K5" s="9"/>
      <c r="L5" s="9"/>
      <c r="M5" s="9"/>
      <c r="N5" s="9"/>
    </row>
    <row r="6" spans="1:14" ht="15.6" x14ac:dyDescent="0.3">
      <c r="A6" s="10" t="s">
        <v>44</v>
      </c>
      <c r="B6" s="9"/>
      <c r="C6" s="9"/>
      <c r="D6" s="9"/>
      <c r="E6" s="9"/>
      <c r="F6" s="9"/>
      <c r="G6" s="9"/>
      <c r="H6" s="9"/>
      <c r="I6" s="9"/>
      <c r="J6" s="9"/>
      <c r="K6" s="9"/>
      <c r="L6" s="9"/>
      <c r="M6" s="9"/>
      <c r="N6" s="9"/>
    </row>
    <row r="7" spans="1:14" ht="15.6" x14ac:dyDescent="0.3">
      <c r="A7" s="11" t="s">
        <v>3</v>
      </c>
      <c r="B7" s="9"/>
      <c r="C7" s="16">
        <f>Inputs!B16</f>
        <v>165000</v>
      </c>
      <c r="D7" s="9"/>
      <c r="E7" s="17">
        <f>Inputs!B16*(1-Inputs!E61)</f>
        <v>156750</v>
      </c>
      <c r="F7" s="9"/>
      <c r="G7" s="16">
        <f>Inputs!B16</f>
        <v>165000</v>
      </c>
      <c r="H7" s="9"/>
      <c r="I7" s="16">
        <f>Inputs!B16</f>
        <v>165000</v>
      </c>
      <c r="J7" s="9"/>
      <c r="K7" s="18">
        <f t="shared" ref="K7:K13" si="0">E7</f>
        <v>156750</v>
      </c>
      <c r="L7" s="9"/>
      <c r="M7" s="9"/>
      <c r="N7" s="9"/>
    </row>
    <row r="8" spans="1:14" ht="15.6" x14ac:dyDescent="0.3">
      <c r="A8" s="11" t="s">
        <v>45</v>
      </c>
      <c r="B8" s="9"/>
      <c r="C8" s="16">
        <f>Inputs!B20</f>
        <v>132000</v>
      </c>
      <c r="D8" s="9"/>
      <c r="E8" s="17">
        <f>E7-E9</f>
        <v>125400</v>
      </c>
      <c r="F8" s="9"/>
      <c r="G8" s="16">
        <f>Inputs!B20</f>
        <v>132000</v>
      </c>
      <c r="H8" s="9"/>
      <c r="I8" s="16">
        <f>Inputs!B20</f>
        <v>132000</v>
      </c>
      <c r="J8" s="9"/>
      <c r="K8" s="18">
        <f t="shared" si="0"/>
        <v>125400</v>
      </c>
      <c r="L8" s="9"/>
      <c r="M8" s="9"/>
      <c r="N8" s="9"/>
    </row>
    <row r="9" spans="1:14" ht="15.6" x14ac:dyDescent="0.3">
      <c r="A9" s="11" t="s">
        <v>46</v>
      </c>
      <c r="B9" s="9"/>
      <c r="C9" s="16">
        <f>Inputs!B19</f>
        <v>33000</v>
      </c>
      <c r="D9" s="9"/>
      <c r="E9" s="17">
        <f>E7*Inputs!B14</f>
        <v>31350</v>
      </c>
      <c r="F9" s="9"/>
      <c r="G9" s="16">
        <f>Inputs!B19</f>
        <v>33000</v>
      </c>
      <c r="H9" s="9"/>
      <c r="I9" s="16">
        <f>Inputs!B19</f>
        <v>33000</v>
      </c>
      <c r="J9" s="9"/>
      <c r="K9" s="18">
        <f t="shared" si="0"/>
        <v>31350</v>
      </c>
      <c r="L9" s="9"/>
      <c r="M9" s="9"/>
      <c r="N9" s="9"/>
    </row>
    <row r="10" spans="1:14" ht="15.6" x14ac:dyDescent="0.3">
      <c r="A10" s="11" t="s">
        <v>78</v>
      </c>
      <c r="B10" s="9"/>
      <c r="C10" s="16">
        <f>Inputs!B17</f>
        <v>972</v>
      </c>
      <c r="D10" s="9"/>
      <c r="E10" s="17">
        <f>Inputs!B17</f>
        <v>972</v>
      </c>
      <c r="F10" s="9"/>
      <c r="G10" s="16">
        <f>Inputs!B17</f>
        <v>972</v>
      </c>
      <c r="H10" s="9"/>
      <c r="I10" s="16">
        <f>Inputs!B17</f>
        <v>972</v>
      </c>
      <c r="J10" s="9"/>
      <c r="K10" s="18">
        <f t="shared" si="0"/>
        <v>972</v>
      </c>
      <c r="L10" s="9"/>
      <c r="M10" s="9"/>
      <c r="N10" s="9"/>
    </row>
    <row r="11" spans="1:14" ht="15.6" x14ac:dyDescent="0.3">
      <c r="A11" s="11" t="s">
        <v>127</v>
      </c>
      <c r="B11" s="9"/>
      <c r="C11" s="16">
        <f>Inputs!B18</f>
        <v>2810</v>
      </c>
      <c r="D11" s="9"/>
      <c r="E11" s="19">
        <f>1490+(IF((1-E8/E7)&lt;0.1999,(E8*0.03),(IF((1-E8/E7)&lt;0.2499,(E8*0.01),((1-E8/E7)*(1-E8/E7)*0)))))</f>
        <v>2744</v>
      </c>
      <c r="F11" s="9"/>
      <c r="G11" s="16">
        <f>Inputs!B18</f>
        <v>2810</v>
      </c>
      <c r="H11" s="9"/>
      <c r="I11" s="16">
        <f>Inputs!B18</f>
        <v>2810</v>
      </c>
      <c r="J11" s="9"/>
      <c r="K11" s="18">
        <f t="shared" si="0"/>
        <v>2744</v>
      </c>
      <c r="L11" s="9"/>
      <c r="M11" s="9"/>
      <c r="N11" s="9"/>
    </row>
    <row r="12" spans="1:14" ht="16.2" thickBot="1" x14ac:dyDescent="0.35">
      <c r="A12" s="11" t="s">
        <v>47</v>
      </c>
      <c r="B12" s="9"/>
      <c r="C12" s="16">
        <f>Inputs!B22</f>
        <v>5000</v>
      </c>
      <c r="D12" s="9"/>
      <c r="E12" s="17">
        <f>Inputs!B22</f>
        <v>5000</v>
      </c>
      <c r="F12" s="9"/>
      <c r="G12" s="16">
        <f>Inputs!B22</f>
        <v>5000</v>
      </c>
      <c r="H12" s="9"/>
      <c r="I12" s="16">
        <f>Inputs!B22</f>
        <v>5000</v>
      </c>
      <c r="J12" s="9"/>
      <c r="K12" s="18">
        <f t="shared" si="0"/>
        <v>5000</v>
      </c>
      <c r="L12" s="9"/>
      <c r="M12" s="9"/>
      <c r="N12" s="9"/>
    </row>
    <row r="13" spans="1:14" ht="16.2" thickBot="1" x14ac:dyDescent="0.35">
      <c r="A13" s="10" t="s">
        <v>48</v>
      </c>
      <c r="B13" s="9"/>
      <c r="C13" s="20">
        <f>Inputs!B23</f>
        <v>41782</v>
      </c>
      <c r="D13" s="9"/>
      <c r="E13" s="20">
        <f>E9+E10+E11+E12</f>
        <v>40066</v>
      </c>
      <c r="F13" s="9"/>
      <c r="G13" s="20">
        <f>Inputs!B23</f>
        <v>41782</v>
      </c>
      <c r="H13" s="9"/>
      <c r="I13" s="20">
        <f>Inputs!B23</f>
        <v>41782</v>
      </c>
      <c r="J13" s="9"/>
      <c r="K13" s="21">
        <f t="shared" si="0"/>
        <v>40066</v>
      </c>
      <c r="L13" s="9"/>
      <c r="M13" s="9"/>
      <c r="N13" s="9"/>
    </row>
    <row r="14" spans="1:14" ht="15" thickTop="1" x14ac:dyDescent="0.3">
      <c r="A14" s="9"/>
      <c r="B14" s="9"/>
      <c r="C14" s="9"/>
      <c r="D14" s="9"/>
      <c r="E14" s="9"/>
      <c r="F14" s="9"/>
      <c r="G14" s="9"/>
      <c r="H14" s="9"/>
      <c r="I14" s="9"/>
      <c r="J14" s="9"/>
      <c r="K14" s="9"/>
      <c r="L14" s="9"/>
      <c r="M14" s="9"/>
      <c r="N14" s="9"/>
    </row>
    <row r="15" spans="1:14" ht="15.6" x14ac:dyDescent="0.3">
      <c r="A15" s="10" t="s">
        <v>49</v>
      </c>
      <c r="B15" s="9"/>
      <c r="C15" s="9"/>
      <c r="D15" s="9"/>
      <c r="E15" s="9"/>
      <c r="F15" s="9"/>
      <c r="G15" s="9"/>
      <c r="H15" s="9"/>
      <c r="I15" s="9"/>
      <c r="J15" s="9"/>
      <c r="K15" s="9"/>
      <c r="L15" s="9"/>
      <c r="M15" s="9"/>
      <c r="N15" s="9"/>
    </row>
    <row r="16" spans="1:14" ht="15.6" x14ac:dyDescent="0.3">
      <c r="A16" s="12" t="s">
        <v>52</v>
      </c>
      <c r="B16" s="9"/>
      <c r="C16" s="9"/>
      <c r="D16" s="9"/>
      <c r="E16" s="9"/>
      <c r="F16" s="9"/>
      <c r="G16" s="9"/>
      <c r="H16" s="9"/>
      <c r="I16" s="9"/>
      <c r="J16" s="9"/>
      <c r="K16" s="9"/>
      <c r="L16" s="9"/>
      <c r="M16" s="9"/>
      <c r="N16" s="9"/>
    </row>
    <row r="17" spans="1:14" ht="15.6" x14ac:dyDescent="0.3">
      <c r="A17" s="11" t="s">
        <v>51</v>
      </c>
      <c r="B17" s="9"/>
      <c r="C17" s="16">
        <f>Inputs!B34*12</f>
        <v>20712</v>
      </c>
      <c r="D17" s="9"/>
      <c r="E17" s="16">
        <f>C17</f>
        <v>20712</v>
      </c>
      <c r="F17" s="9"/>
      <c r="G17" s="17">
        <f>C17*(1+Inputs!E63)</f>
        <v>21747.600000000002</v>
      </c>
      <c r="H17" s="9"/>
      <c r="I17" s="16">
        <f>C17</f>
        <v>20712</v>
      </c>
      <c r="J17" s="9"/>
      <c r="K17" s="17">
        <f>G17</f>
        <v>21747.600000000002</v>
      </c>
      <c r="L17" s="9"/>
      <c r="M17" s="9"/>
      <c r="N17" s="9"/>
    </row>
    <row r="18" spans="1:14" ht="16.2" thickBot="1" x14ac:dyDescent="0.35">
      <c r="A18" s="11" t="s">
        <v>50</v>
      </c>
      <c r="B18" s="9"/>
      <c r="C18" s="22">
        <f>-C17*Inputs!B36</f>
        <v>-621.36</v>
      </c>
      <c r="D18" s="9"/>
      <c r="E18" s="16">
        <f>C18</f>
        <v>-621.36</v>
      </c>
      <c r="F18" s="9"/>
      <c r="G18" s="16">
        <f>-G17*Inputs!B36</f>
        <v>-652.428</v>
      </c>
      <c r="H18" s="9"/>
      <c r="I18" s="16">
        <f>C18</f>
        <v>-621.36</v>
      </c>
      <c r="J18" s="9"/>
      <c r="K18" s="16">
        <f>G18</f>
        <v>-652.428</v>
      </c>
      <c r="L18" s="9"/>
      <c r="M18" s="9"/>
      <c r="N18" s="9"/>
    </row>
    <row r="19" spans="1:14" ht="15.6" x14ac:dyDescent="0.3">
      <c r="A19" s="10" t="s">
        <v>59</v>
      </c>
      <c r="B19" s="9"/>
      <c r="C19" s="23">
        <f>SUM(C17:C18)</f>
        <v>20090.64</v>
      </c>
      <c r="D19" s="9"/>
      <c r="E19" s="24">
        <f t="shared" ref="E19:E39" si="1">C19</f>
        <v>20090.64</v>
      </c>
      <c r="F19" s="9"/>
      <c r="G19" s="24">
        <f>SUM(G17:G18)</f>
        <v>21095.172000000002</v>
      </c>
      <c r="H19" s="9"/>
      <c r="I19" s="24">
        <f>SUM(I17:I18)</f>
        <v>20090.64</v>
      </c>
      <c r="J19" s="9"/>
      <c r="K19" s="24">
        <f>SUM(K17:K18)</f>
        <v>21095.172000000002</v>
      </c>
      <c r="L19" s="9"/>
      <c r="M19" s="9"/>
      <c r="N19" s="9"/>
    </row>
    <row r="20" spans="1:14" ht="15.6" x14ac:dyDescent="0.3">
      <c r="A20" s="11"/>
      <c r="B20" s="9"/>
      <c r="C20" s="16"/>
      <c r="D20" s="9"/>
      <c r="E20" s="16"/>
      <c r="F20" s="9"/>
      <c r="G20" s="17"/>
      <c r="H20" s="9"/>
      <c r="I20" s="9"/>
      <c r="J20" s="9"/>
      <c r="K20" s="9"/>
      <c r="L20" s="9"/>
      <c r="M20" s="9"/>
      <c r="N20" s="9"/>
    </row>
    <row r="21" spans="1:14" ht="15.6" x14ac:dyDescent="0.3">
      <c r="A21" s="12" t="s">
        <v>53</v>
      </c>
      <c r="B21" s="9"/>
      <c r="C21" s="16"/>
      <c r="D21" s="9"/>
      <c r="E21" s="16"/>
      <c r="F21" s="9"/>
      <c r="G21" s="17"/>
      <c r="H21" s="9"/>
      <c r="I21" s="9"/>
      <c r="J21" s="9"/>
      <c r="K21" s="9"/>
      <c r="L21" s="9"/>
      <c r="M21" s="9"/>
      <c r="N21" s="9"/>
    </row>
    <row r="22" spans="1:14" ht="15.6" x14ac:dyDescent="0.3">
      <c r="A22" s="11" t="s">
        <v>18</v>
      </c>
      <c r="B22" s="9"/>
      <c r="C22" s="16">
        <f>Inputs!B43</f>
        <v>1116.3399999999999</v>
      </c>
      <c r="D22" s="9"/>
      <c r="E22" s="16">
        <f t="shared" si="1"/>
        <v>1116.3399999999999</v>
      </c>
      <c r="F22" s="9"/>
      <c r="G22" s="16">
        <f>E22</f>
        <v>1116.3399999999999</v>
      </c>
      <c r="H22" s="16"/>
      <c r="I22" s="16">
        <f>Inputs!B43</f>
        <v>1116.3399999999999</v>
      </c>
      <c r="J22" s="16"/>
      <c r="K22" s="16">
        <f>I22</f>
        <v>1116.3399999999999</v>
      </c>
      <c r="L22" s="9"/>
      <c r="M22" s="9"/>
      <c r="N22" s="9"/>
    </row>
    <row r="23" spans="1:14" ht="15.6" x14ac:dyDescent="0.3">
      <c r="A23" s="11" t="s">
        <v>19</v>
      </c>
      <c r="B23" s="9"/>
      <c r="C23" s="16">
        <f>Inputs!B44</f>
        <v>216</v>
      </c>
      <c r="D23" s="9"/>
      <c r="E23" s="16">
        <f t="shared" si="1"/>
        <v>216</v>
      </c>
      <c r="F23" s="9"/>
      <c r="G23" s="16">
        <f>E23</f>
        <v>216</v>
      </c>
      <c r="H23" s="16"/>
      <c r="I23" s="16">
        <f>Inputs!B44*(1-Inputs!$E$62)</f>
        <v>205.2</v>
      </c>
      <c r="J23" s="16"/>
      <c r="K23" s="16">
        <f>I23</f>
        <v>205.2</v>
      </c>
      <c r="L23" s="9"/>
      <c r="M23" s="9"/>
      <c r="N23" s="9"/>
    </row>
    <row r="24" spans="1:14" ht="15.6" x14ac:dyDescent="0.3">
      <c r="A24" s="11" t="s">
        <v>20</v>
      </c>
      <c r="B24" s="9"/>
      <c r="C24" s="16">
        <f>Inputs!B45</f>
        <v>1449.8400000000001</v>
      </c>
      <c r="D24" s="9"/>
      <c r="E24" s="16">
        <f t="shared" si="1"/>
        <v>1449.8400000000001</v>
      </c>
      <c r="F24" s="9"/>
      <c r="G24" s="16">
        <f>E24</f>
        <v>1449.8400000000001</v>
      </c>
      <c r="H24" s="16"/>
      <c r="I24" s="16">
        <f>Inputs!B45*(1-Inputs!$E$62)</f>
        <v>1377.3480000000002</v>
      </c>
      <c r="J24" s="16"/>
      <c r="K24" s="16">
        <f>I24</f>
        <v>1377.3480000000002</v>
      </c>
      <c r="L24" s="9"/>
      <c r="M24" s="9"/>
      <c r="N24" s="9"/>
    </row>
    <row r="25" spans="1:14" ht="15.6" x14ac:dyDescent="0.3">
      <c r="A25" s="11" t="s">
        <v>21</v>
      </c>
      <c r="B25" s="9"/>
      <c r="C25" s="16">
        <f>Inputs!B46</f>
        <v>1035.6000000000001</v>
      </c>
      <c r="D25" s="9"/>
      <c r="E25" s="16">
        <f t="shared" si="1"/>
        <v>1035.6000000000001</v>
      </c>
      <c r="F25" s="9"/>
      <c r="G25" s="16">
        <f t="shared" ref="G25:G36" si="2">E25</f>
        <v>1035.6000000000001</v>
      </c>
      <c r="H25" s="16"/>
      <c r="I25" s="16">
        <f>Inputs!B46*(1-Inputs!$E$62)</f>
        <v>983.82</v>
      </c>
      <c r="J25" s="16"/>
      <c r="K25" s="16">
        <f>I25</f>
        <v>983.82</v>
      </c>
      <c r="L25" s="9"/>
      <c r="M25" s="9"/>
      <c r="N25" s="9"/>
    </row>
    <row r="26" spans="1:14" ht="15.6" x14ac:dyDescent="0.3">
      <c r="A26" s="11" t="s">
        <v>26</v>
      </c>
      <c r="B26" s="9"/>
      <c r="C26" s="16">
        <f>Inputs!B47</f>
        <v>0</v>
      </c>
      <c r="D26" s="9"/>
      <c r="E26" s="16">
        <f t="shared" si="1"/>
        <v>0</v>
      </c>
      <c r="F26" s="9"/>
      <c r="G26" s="16">
        <f t="shared" si="2"/>
        <v>0</v>
      </c>
      <c r="H26" s="16"/>
      <c r="I26" s="16">
        <f>Inputs!B47*(1-Inputs!$E$62)</f>
        <v>0</v>
      </c>
      <c r="J26" s="16"/>
      <c r="K26" s="16">
        <f t="shared" ref="K26:K36" si="3">I26</f>
        <v>0</v>
      </c>
      <c r="L26" s="9"/>
      <c r="M26" s="9"/>
      <c r="N26" s="9"/>
    </row>
    <row r="27" spans="1:14" ht="15.6" x14ac:dyDescent="0.3">
      <c r="A27" s="11" t="s">
        <v>54</v>
      </c>
      <c r="B27" s="9"/>
      <c r="C27" s="16">
        <f>Inputs!B48</f>
        <v>0</v>
      </c>
      <c r="D27" s="9"/>
      <c r="E27" s="16">
        <f t="shared" si="1"/>
        <v>0</v>
      </c>
      <c r="F27" s="9"/>
      <c r="G27" s="16">
        <f t="shared" si="2"/>
        <v>0</v>
      </c>
      <c r="H27" s="16"/>
      <c r="I27" s="16">
        <f>Inputs!B48*(1-Inputs!$E$62)</f>
        <v>0</v>
      </c>
      <c r="J27" s="16"/>
      <c r="K27" s="16">
        <f t="shared" si="3"/>
        <v>0</v>
      </c>
      <c r="L27" s="9"/>
      <c r="M27" s="9"/>
      <c r="N27" s="9"/>
    </row>
    <row r="28" spans="1:14" ht="15.6" x14ac:dyDescent="0.3">
      <c r="A28" s="11" t="s">
        <v>55</v>
      </c>
      <c r="B28" s="9"/>
      <c r="C28" s="16">
        <f>Inputs!B49</f>
        <v>0</v>
      </c>
      <c r="D28" s="9"/>
      <c r="E28" s="16">
        <f t="shared" si="1"/>
        <v>0</v>
      </c>
      <c r="F28" s="9"/>
      <c r="G28" s="16">
        <f t="shared" si="2"/>
        <v>0</v>
      </c>
      <c r="H28" s="16"/>
      <c r="I28" s="16">
        <f>Inputs!B49*(1-Inputs!$E$62)</f>
        <v>0</v>
      </c>
      <c r="J28" s="16"/>
      <c r="K28" s="16">
        <f t="shared" si="3"/>
        <v>0</v>
      </c>
      <c r="L28" s="9"/>
      <c r="M28" s="9"/>
      <c r="N28" s="9"/>
    </row>
    <row r="29" spans="1:14" ht="15.6" x14ac:dyDescent="0.3">
      <c r="A29" s="11" t="s">
        <v>56</v>
      </c>
      <c r="B29" s="9"/>
      <c r="C29" s="16">
        <f>Inputs!B50</f>
        <v>0</v>
      </c>
      <c r="D29" s="9"/>
      <c r="E29" s="16">
        <f t="shared" si="1"/>
        <v>0</v>
      </c>
      <c r="F29" s="9"/>
      <c r="G29" s="16">
        <f t="shared" si="2"/>
        <v>0</v>
      </c>
      <c r="H29" s="16"/>
      <c r="I29" s="16">
        <f>Inputs!B50*(1-Inputs!$E$62)</f>
        <v>0</v>
      </c>
      <c r="J29" s="16"/>
      <c r="K29" s="16">
        <f t="shared" si="3"/>
        <v>0</v>
      </c>
      <c r="L29" s="9"/>
      <c r="M29" s="9"/>
      <c r="N29" s="9"/>
    </row>
    <row r="30" spans="1:14" ht="15.6" x14ac:dyDescent="0.3">
      <c r="A30" s="11" t="s">
        <v>29</v>
      </c>
      <c r="B30" s="9"/>
      <c r="C30" s="16">
        <f>Inputs!B51</f>
        <v>0</v>
      </c>
      <c r="D30" s="9"/>
      <c r="E30" s="16">
        <f t="shared" si="1"/>
        <v>0</v>
      </c>
      <c r="F30" s="9"/>
      <c r="G30" s="16">
        <f t="shared" si="2"/>
        <v>0</v>
      </c>
      <c r="H30" s="16"/>
      <c r="I30" s="16">
        <f>Inputs!B51*(1-Inputs!$E$62)</f>
        <v>0</v>
      </c>
      <c r="J30" s="16"/>
      <c r="K30" s="16">
        <f t="shared" si="3"/>
        <v>0</v>
      </c>
      <c r="L30" s="9"/>
      <c r="M30" s="9"/>
      <c r="N30" s="9"/>
    </row>
    <row r="31" spans="1:14" ht="15.6" x14ac:dyDescent="0.3">
      <c r="A31" s="11" t="str">
        <f>Inputs!A52</f>
        <v>HOA Dues</v>
      </c>
      <c r="B31" s="9"/>
      <c r="C31" s="16">
        <f>Inputs!B52</f>
        <v>2160</v>
      </c>
      <c r="D31" s="9"/>
      <c r="E31" s="16">
        <f t="shared" si="1"/>
        <v>2160</v>
      </c>
      <c r="F31" s="9"/>
      <c r="G31" s="16">
        <f t="shared" si="2"/>
        <v>2160</v>
      </c>
      <c r="H31" s="16"/>
      <c r="I31" s="16">
        <f>Inputs!B52*(1-Inputs!$E$62)</f>
        <v>2052</v>
      </c>
      <c r="J31" s="16"/>
      <c r="K31" s="16">
        <f t="shared" si="3"/>
        <v>2052</v>
      </c>
      <c r="L31" s="9"/>
      <c r="M31" s="9"/>
      <c r="N31" s="9"/>
    </row>
    <row r="32" spans="1:14" ht="15.6" x14ac:dyDescent="0.3">
      <c r="A32" s="11" t="str">
        <f>Inputs!A53</f>
        <v>Other</v>
      </c>
      <c r="B32" s="9"/>
      <c r="C32" s="16">
        <f>Inputs!B53</f>
        <v>0</v>
      </c>
      <c r="D32" s="9"/>
      <c r="E32" s="16">
        <f t="shared" si="1"/>
        <v>0</v>
      </c>
      <c r="F32" s="9"/>
      <c r="G32" s="16">
        <f t="shared" si="2"/>
        <v>0</v>
      </c>
      <c r="H32" s="16"/>
      <c r="I32" s="16">
        <f>Inputs!B53*(1-Inputs!$E$62)</f>
        <v>0</v>
      </c>
      <c r="J32" s="16"/>
      <c r="K32" s="16">
        <f t="shared" si="3"/>
        <v>0</v>
      </c>
      <c r="L32" s="9"/>
      <c r="M32" s="9"/>
      <c r="N32" s="9"/>
    </row>
    <row r="33" spans="1:14" ht="15.6" x14ac:dyDescent="0.3">
      <c r="A33" s="11" t="str">
        <f>Inputs!A54</f>
        <v>Other</v>
      </c>
      <c r="B33" s="9"/>
      <c r="C33" s="16">
        <f>Inputs!B54</f>
        <v>0</v>
      </c>
      <c r="D33" s="9"/>
      <c r="E33" s="16">
        <f t="shared" si="1"/>
        <v>0</v>
      </c>
      <c r="F33" s="9"/>
      <c r="G33" s="16">
        <f t="shared" si="2"/>
        <v>0</v>
      </c>
      <c r="H33" s="16"/>
      <c r="I33" s="16">
        <f>Inputs!B54*(1-Inputs!$E$62)</f>
        <v>0</v>
      </c>
      <c r="J33" s="16"/>
      <c r="K33" s="16">
        <f t="shared" si="3"/>
        <v>0</v>
      </c>
      <c r="L33" s="9"/>
      <c r="M33" s="9"/>
      <c r="N33" s="9"/>
    </row>
    <row r="34" spans="1:14" ht="15.6" x14ac:dyDescent="0.3">
      <c r="A34" s="11" t="str">
        <f>Inputs!A55</f>
        <v>Other</v>
      </c>
      <c r="B34" s="9"/>
      <c r="C34" s="16">
        <f>Inputs!B55</f>
        <v>0</v>
      </c>
      <c r="D34" s="9"/>
      <c r="E34" s="16">
        <f t="shared" si="1"/>
        <v>0</v>
      </c>
      <c r="F34" s="9"/>
      <c r="G34" s="16">
        <f t="shared" si="2"/>
        <v>0</v>
      </c>
      <c r="H34" s="16"/>
      <c r="I34" s="16">
        <f>Inputs!B55*(1-Inputs!$E$62)</f>
        <v>0</v>
      </c>
      <c r="J34" s="16"/>
      <c r="K34" s="16">
        <f t="shared" si="3"/>
        <v>0</v>
      </c>
      <c r="L34" s="9"/>
      <c r="M34" s="9"/>
      <c r="N34" s="9"/>
    </row>
    <row r="35" spans="1:14" ht="15.6" x14ac:dyDescent="0.3">
      <c r="A35" s="11" t="str">
        <f>Inputs!A56</f>
        <v>Other</v>
      </c>
      <c r="B35" s="9"/>
      <c r="C35" s="16">
        <f>Inputs!B56</f>
        <v>0</v>
      </c>
      <c r="D35" s="9"/>
      <c r="E35" s="16">
        <f t="shared" si="1"/>
        <v>0</v>
      </c>
      <c r="F35" s="9"/>
      <c r="G35" s="16">
        <f t="shared" si="2"/>
        <v>0</v>
      </c>
      <c r="H35" s="16"/>
      <c r="I35" s="16">
        <f>Inputs!B56*(1-Inputs!$E$62)</f>
        <v>0</v>
      </c>
      <c r="J35" s="16"/>
      <c r="K35" s="16">
        <f t="shared" si="3"/>
        <v>0</v>
      </c>
      <c r="L35" s="9"/>
      <c r="M35" s="9"/>
      <c r="N35" s="9"/>
    </row>
    <row r="36" spans="1:14" ht="16.2" thickBot="1" x14ac:dyDescent="0.35">
      <c r="A36" s="11" t="str">
        <f>Inputs!A57</f>
        <v>Other</v>
      </c>
      <c r="B36" s="9"/>
      <c r="C36" s="22">
        <f>Inputs!B57</f>
        <v>0</v>
      </c>
      <c r="D36" s="9"/>
      <c r="E36" s="16">
        <f t="shared" si="1"/>
        <v>0</v>
      </c>
      <c r="F36" s="9"/>
      <c r="G36" s="16">
        <f t="shared" si="2"/>
        <v>0</v>
      </c>
      <c r="H36" s="16"/>
      <c r="I36" s="16">
        <f>Inputs!B57*(1-Inputs!$E$62)</f>
        <v>0</v>
      </c>
      <c r="J36" s="16"/>
      <c r="K36" s="16">
        <f t="shared" si="3"/>
        <v>0</v>
      </c>
      <c r="L36" s="9"/>
      <c r="M36" s="9"/>
      <c r="N36" s="9"/>
    </row>
    <row r="37" spans="1:14" ht="15.6" x14ac:dyDescent="0.3">
      <c r="A37" s="10" t="s">
        <v>58</v>
      </c>
      <c r="B37" s="9"/>
      <c r="C37" s="23">
        <f>'Cash-Flow'!C37</f>
        <v>5977.7800000000007</v>
      </c>
      <c r="D37" s="9"/>
      <c r="E37" s="24">
        <f t="shared" si="1"/>
        <v>5977.7800000000007</v>
      </c>
      <c r="F37" s="9"/>
      <c r="G37" s="25">
        <f>E37</f>
        <v>5977.7800000000007</v>
      </c>
      <c r="H37" s="9"/>
      <c r="I37" s="25">
        <f>SUM(I22:I36)</f>
        <v>5734.7080000000005</v>
      </c>
      <c r="J37" s="9"/>
      <c r="K37" s="25">
        <f>SUM(K22:K36)</f>
        <v>5734.7080000000005</v>
      </c>
      <c r="L37" s="9"/>
      <c r="M37" s="9"/>
      <c r="N37" s="9"/>
    </row>
    <row r="38" spans="1:14" ht="15.6" x14ac:dyDescent="0.3">
      <c r="A38" s="11"/>
      <c r="B38" s="9"/>
      <c r="C38" s="16"/>
      <c r="D38" s="9"/>
      <c r="E38" s="16"/>
      <c r="F38" s="9"/>
      <c r="G38" s="17"/>
      <c r="H38" s="9"/>
      <c r="I38" s="9"/>
      <c r="J38" s="9"/>
      <c r="K38" s="9"/>
      <c r="L38" s="9"/>
      <c r="M38" s="9"/>
      <c r="N38" s="9"/>
    </row>
    <row r="39" spans="1:14" ht="15.6" x14ac:dyDescent="0.3">
      <c r="A39" s="10" t="s">
        <v>60</v>
      </c>
      <c r="B39" s="9"/>
      <c r="C39" s="23">
        <f>'Cash-Flow'!C39</f>
        <v>14112.859999999999</v>
      </c>
      <c r="D39" s="9"/>
      <c r="E39" s="23">
        <f t="shared" si="1"/>
        <v>14112.859999999999</v>
      </c>
      <c r="F39" s="9"/>
      <c r="G39" s="23">
        <f>G19-G37</f>
        <v>15117.392000000002</v>
      </c>
      <c r="H39" s="9"/>
      <c r="I39" s="23">
        <f>I19-I37</f>
        <v>14355.931999999999</v>
      </c>
      <c r="J39" s="9"/>
      <c r="K39" s="23">
        <f>K19-K37</f>
        <v>15360.464000000002</v>
      </c>
      <c r="L39" s="9"/>
      <c r="M39" s="9"/>
      <c r="N39" s="9"/>
    </row>
    <row r="40" spans="1:14" x14ac:dyDescent="0.3">
      <c r="A40" s="9"/>
      <c r="B40" s="9"/>
      <c r="C40" s="16"/>
      <c r="D40" s="9"/>
      <c r="E40" s="16"/>
      <c r="F40" s="9"/>
      <c r="G40" s="17"/>
      <c r="H40" s="9"/>
      <c r="I40" s="9"/>
      <c r="J40" s="9"/>
      <c r="K40" s="9"/>
      <c r="L40" s="9"/>
      <c r="M40" s="9"/>
      <c r="N40" s="9"/>
    </row>
    <row r="41" spans="1:14" ht="15.6" x14ac:dyDescent="0.3">
      <c r="A41" s="11" t="s">
        <v>61</v>
      </c>
      <c r="B41" s="9"/>
      <c r="C41" s="16">
        <f>'Cash-Flow'!C41</f>
        <v>-7908.678482525278</v>
      </c>
      <c r="D41" s="9"/>
      <c r="E41" s="26">
        <f>PMT(Inputs!B25/12,Inputs!B26*12,E8,0)*12</f>
        <v>-7513.2445583990138</v>
      </c>
      <c r="F41" s="9"/>
      <c r="G41" s="16">
        <f>C41</f>
        <v>-7908.678482525278</v>
      </c>
      <c r="H41" s="9"/>
      <c r="I41" s="16">
        <f>G41</f>
        <v>-7908.678482525278</v>
      </c>
      <c r="J41" s="9"/>
      <c r="K41" s="16">
        <f>E41</f>
        <v>-7513.2445583990138</v>
      </c>
      <c r="L41" s="9"/>
      <c r="M41" s="9"/>
      <c r="N41" s="9"/>
    </row>
    <row r="42" spans="1:14" ht="15" thickBot="1" x14ac:dyDescent="0.35">
      <c r="A42" s="9"/>
      <c r="B42" s="9"/>
      <c r="C42" s="16"/>
      <c r="D42" s="9"/>
      <c r="E42" s="16"/>
      <c r="F42" s="9"/>
      <c r="G42" s="17"/>
      <c r="H42" s="9"/>
      <c r="I42" s="9"/>
      <c r="J42" s="9"/>
      <c r="K42" s="9"/>
      <c r="L42" s="9"/>
      <c r="M42" s="9"/>
      <c r="N42" s="9"/>
    </row>
    <row r="43" spans="1:14" ht="16.2" thickBot="1" x14ac:dyDescent="0.35">
      <c r="A43" s="10" t="s">
        <v>69</v>
      </c>
      <c r="B43" s="11"/>
      <c r="C43" s="27">
        <f>'Cash-Flow'!C43</f>
        <v>6204.1815174747207</v>
      </c>
      <c r="D43" s="11"/>
      <c r="E43" s="27">
        <f>E39+E41</f>
        <v>6599.6154416009849</v>
      </c>
      <c r="F43" s="11"/>
      <c r="G43" s="27">
        <f>G39+G41</f>
        <v>7208.7135174747236</v>
      </c>
      <c r="H43" s="11"/>
      <c r="I43" s="27">
        <f>I39+I41</f>
        <v>6447.2535174747209</v>
      </c>
      <c r="J43" s="11"/>
      <c r="K43" s="27">
        <f>K39+K41</f>
        <v>7847.2194416009879</v>
      </c>
      <c r="L43" s="9"/>
      <c r="M43" s="9"/>
      <c r="N43" s="9"/>
    </row>
    <row r="44" spans="1:14" ht="15" thickTop="1" x14ac:dyDescent="0.3">
      <c r="A44" s="9"/>
      <c r="B44" s="9"/>
      <c r="C44" s="9"/>
      <c r="D44" s="9"/>
      <c r="E44" s="9"/>
      <c r="F44" s="9"/>
      <c r="G44" s="17"/>
      <c r="H44" s="9"/>
      <c r="I44" s="9"/>
      <c r="J44" s="9"/>
      <c r="K44" s="9"/>
      <c r="L44" s="9"/>
      <c r="M44" s="9"/>
      <c r="N44" s="9"/>
    </row>
    <row r="45" spans="1:14" ht="16.2" thickBot="1" x14ac:dyDescent="0.35">
      <c r="A45" s="28" t="s">
        <v>65</v>
      </c>
      <c r="B45" s="11"/>
      <c r="C45" s="29">
        <f>'Cash-Flow'!C45</f>
        <v>0.14848933793199753</v>
      </c>
      <c r="D45" s="11"/>
      <c r="E45" s="30">
        <f>E43/E13</f>
        <v>0.16471860034944805</v>
      </c>
      <c r="F45" s="11"/>
      <c r="G45" s="30">
        <f>G43/G13</f>
        <v>0.17253155706942519</v>
      </c>
      <c r="H45" s="11"/>
      <c r="I45" s="30">
        <f>I43/I13</f>
        <v>0.15430696274651096</v>
      </c>
      <c r="J45" s="11"/>
      <c r="K45" s="30">
        <f>K43/K13</f>
        <v>0.19585732145961632</v>
      </c>
      <c r="L45" s="9"/>
      <c r="M45" s="9"/>
      <c r="N45" s="9"/>
    </row>
    <row r="46" spans="1:14" ht="16.2" thickTop="1" x14ac:dyDescent="0.3">
      <c r="A46" s="11"/>
      <c r="B46" s="11"/>
      <c r="C46" s="11"/>
      <c r="D46" s="11"/>
      <c r="E46" s="11"/>
      <c r="F46" s="11"/>
      <c r="G46" s="31"/>
      <c r="H46" s="11"/>
      <c r="I46" s="11"/>
      <c r="J46" s="11"/>
      <c r="K46" s="11"/>
      <c r="L46" s="9"/>
      <c r="M46" s="9"/>
      <c r="N46" s="9"/>
    </row>
    <row r="47" spans="1:14" ht="16.2" thickBot="1" x14ac:dyDescent="0.35">
      <c r="A47" s="10" t="s">
        <v>67</v>
      </c>
      <c r="B47" s="11"/>
      <c r="C47" s="32">
        <f>'Cash-Flow'!C47</f>
        <v>8.3016823529411754E-2</v>
      </c>
      <c r="D47" s="11"/>
      <c r="E47" s="32">
        <f>E39/E7</f>
        <v>9.0034194577352469E-2</v>
      </c>
      <c r="F47" s="11"/>
      <c r="G47" s="32">
        <f>G39/G7</f>
        <v>9.1620557575757586E-2</v>
      </c>
      <c r="H47" s="11"/>
      <c r="I47" s="32">
        <f>I39/I7</f>
        <v>8.7005648484848472E-2</v>
      </c>
      <c r="J47" s="11"/>
      <c r="K47" s="32">
        <f>K39/K7</f>
        <v>9.7993390749601283E-2</v>
      </c>
      <c r="L47" s="9"/>
      <c r="M47" s="9"/>
      <c r="N47" s="9"/>
    </row>
    <row r="48" spans="1:14" ht="15" thickTop="1" x14ac:dyDescent="0.3">
      <c r="A48" s="9"/>
      <c r="B48" s="9"/>
      <c r="C48" s="9"/>
      <c r="D48" s="9"/>
      <c r="E48" s="9"/>
      <c r="F48" s="9"/>
      <c r="G48" s="9"/>
      <c r="H48" s="9"/>
      <c r="I48" s="9"/>
      <c r="J48" s="9"/>
      <c r="K48" s="9"/>
      <c r="L48" s="9"/>
      <c r="M48" s="9"/>
      <c r="N48" s="9"/>
    </row>
    <row r="49" spans="1:14" ht="20.25" customHeight="1" x14ac:dyDescent="0.3">
      <c r="A49" s="157" t="str">
        <f>Inputs!A68</f>
        <v xml:space="preserve">This sheet is for informational purposes only.  This is not a commitment, approval or guarantee to lend.  The figures included in this worksheet are entirely dependent on the information that you input.  These figures and calculations are considered accurate, but not guaranteed.  Joe Massey and Castle &amp; Cooke Mortgage do not represent, warrant or guarantee these numbers.  Matt Pillmore and VIP Financial Education do not represent, warrant or guarantee these numbers.  All information is for preliminary analysis and calculations only.  Please contact your tax advisor, CPA, financial planner, attorney, insurance agent, real estate agent or other properly licensed professional for additional information as needed.  </v>
      </c>
      <c r="B49" s="157"/>
      <c r="C49" s="157"/>
      <c r="D49" s="157"/>
      <c r="E49" s="157"/>
      <c r="F49" s="157"/>
      <c r="G49" s="157"/>
      <c r="H49" s="157"/>
      <c r="I49" s="157"/>
      <c r="J49" s="157"/>
      <c r="K49" s="157"/>
      <c r="L49" s="157"/>
      <c r="M49" s="157"/>
      <c r="N49" s="157"/>
    </row>
    <row r="50" spans="1:14" ht="16.5" customHeight="1" x14ac:dyDescent="0.3">
      <c r="A50" s="157"/>
      <c r="B50" s="157"/>
      <c r="C50" s="157"/>
      <c r="D50" s="157"/>
      <c r="E50" s="157"/>
      <c r="F50" s="157"/>
      <c r="G50" s="157"/>
      <c r="H50" s="157"/>
      <c r="I50" s="157"/>
      <c r="J50" s="157"/>
      <c r="K50" s="157"/>
      <c r="L50" s="157"/>
      <c r="M50" s="157"/>
      <c r="N50" s="157"/>
    </row>
  </sheetData>
  <sheetProtection algorithmName="SHA-512" hashValue="D8XbgIOv1q+qK3drxd1OW2VqaenOYJ9BPJnicTKVNih+NAup3z9SDZ1r5KSYzEarpUY8ylZVTdh9Cv25n8k5Uw==" saltValue="yAxPSBv957eoBtmybvOMqg==" spinCount="100000" sheet="1" objects="1" scenarios="1" selectLockedCells="1"/>
  <mergeCells count="7">
    <mergeCell ref="A49:N50"/>
    <mergeCell ref="A3:A4"/>
    <mergeCell ref="C3:C4"/>
    <mergeCell ref="E3:E4"/>
    <mergeCell ref="G3:G4"/>
    <mergeCell ref="I3:I4"/>
    <mergeCell ref="K3:K4"/>
  </mergeCells>
  <pageMargins left="0.7" right="0.7" top="0.75" bottom="0.75" header="0.3" footer="0.3"/>
  <pageSetup scale="6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Inputs</vt:lpstr>
      <vt:lpstr>Cash-Flow</vt:lpstr>
      <vt:lpstr>15 Year Analysis</vt:lpstr>
      <vt:lpstr>15 Year with Extra Principal</vt:lpstr>
      <vt:lpstr>15 Year with CF to Principal</vt:lpstr>
      <vt:lpstr>What-If</vt:lpstr>
      <vt:lpstr>NumberUnits</vt:lpstr>
      <vt:lpstr>'15 Year Analysis'!Print_Area</vt:lpstr>
      <vt:lpstr>'15 Year with CF to Principal'!Print_Area</vt:lpstr>
      <vt:lpstr>'15 Year with Extra Principal'!Print_Area</vt:lpstr>
      <vt:lpstr>Inputs!Print_Area</vt:lpstr>
      <vt:lpstr>'What-If'!Print_Area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dc:creator>
  <cp:lastModifiedBy>Joe Massey</cp:lastModifiedBy>
  <cp:lastPrinted>2011-05-27T16:36:31Z</cp:lastPrinted>
  <dcterms:created xsi:type="dcterms:W3CDTF">2011-04-22T00:17:17Z</dcterms:created>
  <dcterms:modified xsi:type="dcterms:W3CDTF">2018-01-08T15:45:20Z</dcterms:modified>
</cp:coreProperties>
</file>