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Nancy\Documents\Work\Bren\ESM219 - Microbial Processes in the Environment\assignments\Lab 6\"/>
    </mc:Choice>
  </mc:AlternateContent>
  <xr:revisionPtr revIDLastSave="0" documentId="13_ncr:1_{F94B4231-6B65-4FB5-9BDD-3AECBBCEDA8A}" xr6:coauthVersionLast="45" xr6:coauthVersionMax="45" xr10:uidLastSave="{00000000-0000-0000-0000-000000000000}"/>
  <bookViews>
    <workbookView xWindow="1455" yWindow="2625" windowWidth="21600" windowHeight="11385" activeTab="3" xr2:uid="{00000000-000D-0000-FFFF-FFFF00000000}"/>
  </bookViews>
  <sheets>
    <sheet name="Ethylene Std Curve" sheetId="1" r:id="rId1"/>
    <sheet name="Class Ethylene Data (2)" sheetId="5" r:id="rId2"/>
    <sheet name="Class Ethylene Data" sheetId="2" r:id="rId3"/>
    <sheet name="Plant biomass Data" sheetId="3" r:id="rId4"/>
    <sheet name="Example calculations" sheetId="4" r:id="rId5"/>
  </sheets>
  <definedNames>
    <definedName name="_xlnm._FilterDatabase" localSheetId="1" hidden="1">'Class Ethylene Data (2)'!$A$1:$Q$49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3" l="1"/>
  <c r="E2" i="3"/>
  <c r="F2" i="3"/>
  <c r="G2" i="3"/>
  <c r="H2" i="3"/>
  <c r="I2" i="3"/>
  <c r="J2" i="3"/>
  <c r="C2" i="3"/>
  <c r="K8" i="4"/>
  <c r="J8" i="4"/>
  <c r="I8" i="4"/>
  <c r="G8" i="4"/>
  <c r="F8" i="4"/>
  <c r="E8" i="4"/>
  <c r="D8" i="4"/>
  <c r="B2" i="4" l="1"/>
  <c r="D7" i="4" s="1"/>
  <c r="E7" i="4" s="1"/>
  <c r="F7" i="4" s="1"/>
  <c r="A19" i="4"/>
  <c r="A18" i="4"/>
  <c r="A17" i="4"/>
  <c r="A16" i="4"/>
  <c r="D10" i="4"/>
  <c r="E10" i="4" s="1"/>
  <c r="D9" i="4"/>
  <c r="E9" i="4" s="1"/>
  <c r="F9" i="4" s="1"/>
  <c r="E5" i="3"/>
  <c r="G6" i="3"/>
  <c r="G4" i="3"/>
  <c r="G9" i="4" l="1"/>
  <c r="J9" i="4" s="1"/>
  <c r="F10" i="4"/>
  <c r="I10" i="4" s="1"/>
  <c r="G10" i="4"/>
  <c r="J10" i="4" s="1"/>
  <c r="G7" i="4"/>
  <c r="J7" i="4" s="1"/>
  <c r="I9" i="4"/>
  <c r="I7" i="4"/>
  <c r="B17" i="4" l="1"/>
  <c r="C17" i="4" s="1"/>
  <c r="K9" i="4"/>
  <c r="B18" i="4" s="1"/>
  <c r="C18" i="4" s="1"/>
  <c r="K10" i="4"/>
  <c r="B19" i="4" s="1"/>
  <c r="C19" i="4" s="1"/>
  <c r="K7" i="4"/>
  <c r="B16" i="4" s="1"/>
  <c r="C16" i="4" s="1"/>
  <c r="F9" i="3" l="1"/>
  <c r="E9" i="3"/>
  <c r="D9" i="3"/>
  <c r="C9" i="3"/>
  <c r="H9" i="3"/>
  <c r="H8" i="3"/>
  <c r="F8" i="3"/>
  <c r="E8" i="3"/>
  <c r="D8" i="3"/>
  <c r="C8" i="3"/>
  <c r="D7" i="3"/>
  <c r="F7" i="3"/>
  <c r="H7" i="3"/>
  <c r="H6" i="3"/>
  <c r="F6" i="3"/>
  <c r="F4" i="3"/>
  <c r="D6" i="3"/>
  <c r="E6" i="3"/>
  <c r="C6" i="3"/>
  <c r="F5" i="3"/>
  <c r="D5" i="3"/>
  <c r="C5" i="3"/>
  <c r="E4" i="3"/>
  <c r="H5" i="3"/>
  <c r="H4" i="3"/>
  <c r="D4" i="3"/>
  <c r="C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Marina Feraud</author>
  </authors>
  <commentList>
    <comment ref="I1" authorId="0" shapeId="0" xr:uid="{6E8AC9CA-1A93-46C3-88B3-2273A4002B9D}">
      <text>
        <r>
          <rPr>
            <b/>
            <sz val="9"/>
            <color indexed="81"/>
            <rFont val="Tahoma"/>
            <family val="2"/>
          </rPr>
          <t>Marina Feraud:</t>
        </r>
        <r>
          <rPr>
            <sz val="9"/>
            <color indexed="81"/>
            <rFont val="Tahoma"/>
            <family val="2"/>
          </rPr>
          <t xml:space="preserve">
Divide by slope of calibration curve to obtain % ethylene (slope = 1.302E06)</t>
        </r>
      </text>
    </comment>
    <comment ref="J1" authorId="0" shapeId="0" xr:uid="{81EB3062-7F4F-4A04-9A0F-81717258941F}">
      <text>
        <r>
          <rPr>
            <b/>
            <sz val="9"/>
            <color indexed="81"/>
            <rFont val="Tahoma"/>
            <family val="2"/>
          </rPr>
          <t>Marina Feraud:</t>
        </r>
        <r>
          <rPr>
            <sz val="9"/>
            <color indexed="81"/>
            <rFont val="Tahoma"/>
            <family val="2"/>
          </rPr>
          <t xml:space="preserve">
Divide by 100 to convert percent to a fraction</t>
        </r>
      </text>
    </comment>
    <comment ref="K1" authorId="0" shapeId="0" xr:uid="{84DAC81B-76B5-411B-BE8F-E287FA5606B0}">
      <text>
        <r>
          <rPr>
            <b/>
            <sz val="9"/>
            <color indexed="81"/>
            <rFont val="Tahoma"/>
            <family val="2"/>
          </rPr>
          <t>Marina Feraud:</t>
        </r>
        <r>
          <rPr>
            <sz val="9"/>
            <color indexed="81"/>
            <rFont val="Tahoma"/>
            <family val="2"/>
          </rPr>
          <t xml:space="preserve">
Multiply fraction by volume you actually injected (0.4 mL, equivalent to 400 uL)
</t>
        </r>
      </text>
    </comment>
    <comment ref="L1" authorId="0" shapeId="0" xr:uid="{D3ACA2E9-5B83-4217-886E-59E0477715E2}">
      <text>
        <r>
          <rPr>
            <b/>
            <sz val="9"/>
            <color indexed="81"/>
            <rFont val="Tahoma"/>
            <family val="2"/>
          </rPr>
          <t>Marina Feraud:</t>
        </r>
        <r>
          <rPr>
            <sz val="9"/>
            <color indexed="81"/>
            <rFont val="Tahoma"/>
            <family val="2"/>
          </rPr>
          <t xml:space="preserve">
Multiply fraction by volume remaining in your syringe (12 mL vial minus 0.4 mL removed)
</t>
        </r>
      </text>
    </comment>
    <comment ref="M1" authorId="0" shapeId="0" xr:uid="{F09AA7AA-18BC-4A20-B72D-F8A51385EE72}">
      <text>
        <r>
          <rPr>
            <b/>
            <sz val="9"/>
            <color indexed="81"/>
            <rFont val="Tahoma"/>
            <family val="2"/>
          </rPr>
          <t>Marina Feraud:</t>
        </r>
        <r>
          <rPr>
            <sz val="9"/>
            <color indexed="81"/>
            <rFont val="Tahoma"/>
            <family val="2"/>
          </rPr>
          <t xml:space="preserve">
This is the initial volume, before you inject. It is always 12 mL in our case, because we replace the 0.4 mL we remove with the same volume of air
Note that we are disregarding the dilution effect of adding 0.4 mL of air prior to removing each 0.4 mL sample</t>
        </r>
      </text>
    </comment>
    <comment ref="N1" authorId="0" shapeId="0" xr:uid="{639F50A4-60B5-4F31-B49C-D40E2405F202}">
      <text>
        <r>
          <rPr>
            <b/>
            <sz val="9"/>
            <color indexed="81"/>
            <rFont val="Tahoma"/>
            <family val="2"/>
          </rPr>
          <t>Marina Feraud:</t>
        </r>
        <r>
          <rPr>
            <sz val="9"/>
            <color indexed="81"/>
            <rFont val="Tahoma"/>
            <family val="2"/>
          </rPr>
          <t xml:space="preserve">
1 mol gas = 22.4 L gas
you have values in mL
so additionally you must divide by 1000 (since there are 1000 mL in 1L)</t>
        </r>
      </text>
    </comment>
    <comment ref="P2" authorId="0" shapeId="0" xr:uid="{D343D4E2-BDF4-4A92-B564-1EF6E6BFD58A}">
      <text>
        <r>
          <rPr>
            <b/>
            <sz val="9"/>
            <color indexed="81"/>
            <rFont val="Tahoma"/>
            <family val="2"/>
          </rPr>
          <t>Marina Feraud:</t>
        </r>
        <r>
          <rPr>
            <sz val="9"/>
            <color indexed="81"/>
            <rFont val="Tahoma"/>
            <family val="2"/>
          </rPr>
          <t xml:space="preserve">
Add mol removed (injected) and mol remaining in syringe</t>
        </r>
      </text>
    </comment>
    <comment ref="P3" authorId="0" shapeId="0" xr:uid="{2C36BA8F-FBD5-4290-BCC5-01450D686456}">
      <text>
        <r>
          <rPr>
            <b/>
            <sz val="9"/>
            <color indexed="81"/>
            <rFont val="Tahoma"/>
            <family val="2"/>
          </rPr>
          <t>Marina Feraud:</t>
        </r>
        <r>
          <rPr>
            <sz val="9"/>
            <color indexed="81"/>
            <rFont val="Tahoma"/>
            <family val="2"/>
          </rPr>
          <t xml:space="preserve">
Add all the moles that have been previously removed (injections 1 and 2) plus the moles remaining at this time point
</t>
        </r>
      </text>
    </comment>
    <comment ref="P4" authorId="0" shapeId="0" xr:uid="{1DCD9049-F9EF-4414-A3B9-CF13A6154A45}">
      <text>
        <r>
          <rPr>
            <b/>
            <sz val="9"/>
            <color indexed="81"/>
            <rFont val="Tahoma"/>
            <family val="2"/>
          </rPr>
          <t>Marina Feraud:</t>
        </r>
        <r>
          <rPr>
            <sz val="9"/>
            <color indexed="81"/>
            <rFont val="Tahoma"/>
            <family val="2"/>
          </rPr>
          <t xml:space="preserve">
Add moles removed in injections up to this point (3 injections) plus moles remaining at this time point.  Apply this same criteria for the rest of your time points.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Marina Feraud</author>
  </authors>
  <commentList>
    <comment ref="I3" authorId="0" shapeId="0" xr:uid="{00000000-0006-0000-0200-000001000000}">
      <text>
        <r>
          <rPr>
            <b/>
            <sz val="9"/>
            <color indexed="81"/>
            <rFont val="Tahoma"/>
            <family val="2"/>
          </rPr>
          <t>Marina Feraud:</t>
        </r>
        <r>
          <rPr>
            <sz val="9"/>
            <color indexed="81"/>
            <rFont val="Tahoma"/>
            <family val="2"/>
          </rPr>
          <t xml:space="preserve">
Hopefully you recorded this information in you lab notebooks/laptop</t>
        </r>
      </text>
    </comment>
    <comment ref="G5" authorId="0" shapeId="0" xr:uid="{00000000-0006-0000-0200-000002000000}">
      <text>
        <r>
          <rPr>
            <b/>
            <sz val="9"/>
            <color indexed="81"/>
            <rFont val="Tahoma"/>
            <charset val="1"/>
          </rPr>
          <t>Marina Feraud:</t>
        </r>
        <r>
          <rPr>
            <sz val="9"/>
            <color indexed="81"/>
            <rFont val="Tahoma"/>
            <charset val="1"/>
          </rPr>
          <t xml:space="preserve">
Hopefully you have recorded the wet weight of your nodules.  Otherwise use a value of: 0.85
</t>
        </r>
      </text>
    </comment>
    <comment ref="G7" authorId="0" shapeId="0" xr:uid="{00000000-0006-0000-0200-000003000000}">
      <text>
        <r>
          <rPr>
            <b/>
            <sz val="9"/>
            <color indexed="81"/>
            <rFont val="Tahoma"/>
            <charset val="1"/>
          </rPr>
          <t>Marina Feraud:</t>
        </r>
        <r>
          <rPr>
            <sz val="9"/>
            <color indexed="81"/>
            <rFont val="Tahoma"/>
            <charset val="1"/>
          </rPr>
          <t xml:space="preserve">
I forgot to record wet weight. Use 0.75g for your calculations</t>
        </r>
      </text>
    </comment>
    <comment ref="G8" authorId="0" shapeId="0" xr:uid="{00000000-0006-0000-0200-000004000000}">
      <text>
        <r>
          <rPr>
            <b/>
            <sz val="9"/>
            <color indexed="81"/>
            <rFont val="Tahoma"/>
            <charset val="1"/>
          </rPr>
          <t>Marina Feraud:</t>
        </r>
        <r>
          <rPr>
            <sz val="9"/>
            <color indexed="81"/>
            <rFont val="Tahoma"/>
            <charset val="1"/>
          </rPr>
          <t xml:space="preserve">
Hopefully you have recorded the wet weight of your nodules.  Otherwise use a value of: 0.45
</t>
        </r>
      </text>
    </comment>
    <comment ref="G9" authorId="0" shapeId="0" xr:uid="{00000000-0006-0000-0200-000005000000}">
      <text>
        <r>
          <rPr>
            <b/>
            <sz val="9"/>
            <color indexed="81"/>
            <rFont val="Tahoma"/>
            <charset val="1"/>
          </rPr>
          <t>Marina Feraud:</t>
        </r>
        <r>
          <rPr>
            <sz val="9"/>
            <color indexed="81"/>
            <rFont val="Tahoma"/>
            <charset val="1"/>
          </rPr>
          <t xml:space="preserve">
I forgot to record wet weight. Use 1.25 g for your calculations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Marina Feraud</author>
  </authors>
  <commentList>
    <comment ref="D6" authorId="0" shapeId="0" xr:uid="{00000000-0006-0000-0300-000001000000}">
      <text>
        <r>
          <rPr>
            <b/>
            <sz val="9"/>
            <color indexed="81"/>
            <rFont val="Tahoma"/>
            <family val="2"/>
          </rPr>
          <t>Marina Feraud:</t>
        </r>
        <r>
          <rPr>
            <sz val="9"/>
            <color indexed="81"/>
            <rFont val="Tahoma"/>
            <family val="2"/>
          </rPr>
          <t xml:space="preserve">
Divide by slope of calibration curve to obtain % ethylene (slope = 1.302E06)</t>
        </r>
      </text>
    </comment>
    <comment ref="E6" authorId="0" shapeId="0" xr:uid="{00000000-0006-0000-0300-000002000000}">
      <text>
        <r>
          <rPr>
            <b/>
            <sz val="9"/>
            <color indexed="81"/>
            <rFont val="Tahoma"/>
            <family val="2"/>
          </rPr>
          <t>Marina Feraud:</t>
        </r>
        <r>
          <rPr>
            <sz val="9"/>
            <color indexed="81"/>
            <rFont val="Tahoma"/>
            <family val="2"/>
          </rPr>
          <t xml:space="preserve">
Divide by 100 to convert percent to a fraction</t>
        </r>
      </text>
    </comment>
    <comment ref="F6" authorId="0" shapeId="0" xr:uid="{00000000-0006-0000-0300-000003000000}">
      <text>
        <r>
          <rPr>
            <b/>
            <sz val="9"/>
            <color indexed="81"/>
            <rFont val="Tahoma"/>
            <family val="2"/>
          </rPr>
          <t>Marina Feraud:</t>
        </r>
        <r>
          <rPr>
            <sz val="9"/>
            <color indexed="81"/>
            <rFont val="Tahoma"/>
            <family val="2"/>
          </rPr>
          <t xml:space="preserve">
Multiply fraction by volume you actually injected (0.4 mL, equivalent to 400 uL)
</t>
        </r>
      </text>
    </comment>
    <comment ref="G6" authorId="0" shapeId="0" xr:uid="{00000000-0006-0000-0300-000004000000}">
      <text>
        <r>
          <rPr>
            <b/>
            <sz val="9"/>
            <color indexed="81"/>
            <rFont val="Tahoma"/>
            <family val="2"/>
          </rPr>
          <t>Marina Feraud:</t>
        </r>
        <r>
          <rPr>
            <sz val="9"/>
            <color indexed="81"/>
            <rFont val="Tahoma"/>
            <family val="2"/>
          </rPr>
          <t xml:space="preserve">
Multiply fraction by volume remaining in your syringe (12 mL vial minus 0.4 mL removed)
</t>
        </r>
      </text>
    </comment>
    <comment ref="H6" authorId="0" shapeId="0" xr:uid="{00000000-0006-0000-0300-000005000000}">
      <text>
        <r>
          <rPr>
            <b/>
            <sz val="9"/>
            <color indexed="81"/>
            <rFont val="Tahoma"/>
            <family val="2"/>
          </rPr>
          <t>Marina Feraud:</t>
        </r>
        <r>
          <rPr>
            <sz val="9"/>
            <color indexed="81"/>
            <rFont val="Tahoma"/>
            <family val="2"/>
          </rPr>
          <t xml:space="preserve">
This is the initial volume, before you inject. It is always 12 mL in our case, because we replace the 0.4 mL we remove with the same volume of air
Note that we are disregarding the dilution effect of adding 0.4 mL of air prior to removing each 0.4 mL sample</t>
        </r>
      </text>
    </comment>
    <comment ref="I6" authorId="0" shapeId="0" xr:uid="{00000000-0006-0000-0300-000006000000}">
      <text>
        <r>
          <rPr>
            <b/>
            <sz val="9"/>
            <color indexed="81"/>
            <rFont val="Tahoma"/>
            <family val="2"/>
          </rPr>
          <t>Marina Feraud:</t>
        </r>
        <r>
          <rPr>
            <sz val="9"/>
            <color indexed="81"/>
            <rFont val="Tahoma"/>
            <family val="2"/>
          </rPr>
          <t xml:space="preserve">
1 mol gas = 22.4 L gas
you have values in mL
so additionally you must divide by 1000 (since there are 1000 mL in 1L)</t>
        </r>
      </text>
    </comment>
    <comment ref="K7" authorId="0" shapeId="0" xr:uid="{00000000-0006-0000-0300-000007000000}">
      <text>
        <r>
          <rPr>
            <b/>
            <sz val="9"/>
            <color indexed="81"/>
            <rFont val="Tahoma"/>
            <family val="2"/>
          </rPr>
          <t>Marina Feraud:</t>
        </r>
        <r>
          <rPr>
            <sz val="9"/>
            <color indexed="81"/>
            <rFont val="Tahoma"/>
            <family val="2"/>
          </rPr>
          <t xml:space="preserve">
Add mol removed (injected) and mol remaining in syringe</t>
        </r>
      </text>
    </comment>
    <comment ref="K8" authorId="0" shapeId="0" xr:uid="{00000000-0006-0000-0300-000008000000}">
      <text>
        <r>
          <rPr>
            <b/>
            <sz val="9"/>
            <color indexed="81"/>
            <rFont val="Tahoma"/>
            <family val="2"/>
          </rPr>
          <t>Marina Feraud:</t>
        </r>
        <r>
          <rPr>
            <sz val="9"/>
            <color indexed="81"/>
            <rFont val="Tahoma"/>
            <family val="2"/>
          </rPr>
          <t xml:space="preserve">
Add all the moles that have been previously removed (injections 1 and 2) plus the moles remaining at this time point
</t>
        </r>
      </text>
    </comment>
    <comment ref="K9" authorId="0" shapeId="0" xr:uid="{00000000-0006-0000-0300-000009000000}">
      <text>
        <r>
          <rPr>
            <b/>
            <sz val="9"/>
            <color indexed="81"/>
            <rFont val="Tahoma"/>
            <family val="2"/>
          </rPr>
          <t>Marina Feraud:</t>
        </r>
        <r>
          <rPr>
            <sz val="9"/>
            <color indexed="81"/>
            <rFont val="Tahoma"/>
            <family val="2"/>
          </rPr>
          <t xml:space="preserve">
Add moles removed in injections up to this point (3 injections) plus moles remaining at this time point.  Apply this same criteria for the rest of your time points.</t>
        </r>
      </text>
    </comment>
  </commentList>
</comments>
</file>

<file path=xl/sharedStrings.xml><?xml version="1.0" encoding="utf-8"?>
<sst xmlns="http://schemas.openxmlformats.org/spreadsheetml/2006/main" count="360" uniqueCount="67">
  <si>
    <t>Temp 145C</t>
  </si>
  <si>
    <t>400 uL injection</t>
  </si>
  <si>
    <t>% v/v</t>
  </si>
  <si>
    <t>Area</t>
  </si>
  <si>
    <t>green beans</t>
  </si>
  <si>
    <t>Ethylene</t>
  </si>
  <si>
    <t>Acetylene</t>
  </si>
  <si>
    <t>Component</t>
  </si>
  <si>
    <t>Sarah</t>
  </si>
  <si>
    <t>Anthony</t>
  </si>
  <si>
    <t>Mpolymorpha</t>
  </si>
  <si>
    <t>Benson</t>
  </si>
  <si>
    <t>Allison</t>
  </si>
  <si>
    <t>Liviu + Natalie</t>
  </si>
  <si>
    <t>Joslyn + Kristan</t>
  </si>
  <si>
    <t>Retention Time (min)</t>
  </si>
  <si>
    <t>Group/Student</t>
  </si>
  <si>
    <t>Time</t>
  </si>
  <si>
    <t>Plant name</t>
  </si>
  <si>
    <t>Green Beans 1</t>
  </si>
  <si>
    <t>Green Beans 2</t>
  </si>
  <si>
    <t>Mpolymorpha 1</t>
  </si>
  <si>
    <t>Green Beans 3</t>
  </si>
  <si>
    <t>Mpolymorpha 2</t>
  </si>
  <si>
    <t>Mpolymorpha 3</t>
  </si>
  <si>
    <t>Note: intercept set to zero</t>
  </si>
  <si>
    <t>Slope</t>
  </si>
  <si>
    <t>Sample ID</t>
  </si>
  <si>
    <t>Shoots (wet)</t>
  </si>
  <si>
    <t>Shoots (dry)</t>
  </si>
  <si>
    <t>Roots (wet)</t>
  </si>
  <si>
    <t>Roots (dry)</t>
  </si>
  <si>
    <t>Nodules (wet)</t>
  </si>
  <si>
    <t>Nodules (dry)</t>
  </si>
  <si>
    <t>No. nodules not used in exp</t>
  </si>
  <si>
    <t>In values shown I have already subtracted the weight of the bag or aluminum tin (so they are ready to use)</t>
  </si>
  <si>
    <t>Note: if you did not count the number of nodules in the vial, you will not be able to report on the N2 fixation per nodule (also a question in the lab handout). If this is the case, just indicate that you cannot report on this since data is missing.</t>
  </si>
  <si>
    <t>Sample  ID</t>
  </si>
  <si>
    <t>Elapsed time (min)</t>
  </si>
  <si>
    <t>Area Ethylene (mm2)</t>
  </si>
  <si>
    <t xml:space="preserve">Fraction ethylene (vol/vol) </t>
  </si>
  <si>
    <t>Headspace volume (mL)</t>
  </si>
  <si>
    <t>Once you have the above calculations, plot mol ethylene/min (or umol/min if you wish)</t>
  </si>
  <si>
    <t>Find the slope to estimate mol (or umol) ethylene / time</t>
  </si>
  <si>
    <t>For each time step we add up the moles that were removed in our sampling (for all prior injections into the GC)</t>
  </si>
  <si>
    <t xml:space="preserve"> plus the ones that remain in the vial</t>
  </si>
  <si>
    <t>Within your results, include at least: 1) a plot of ethylene vs. time (see example calculations tab); 2) a table with the rates of ethylene production and N2 fixation you estimated on a  i) wet nodule weight basis, ii) nodule dry weight basis, iii) root dry weight basis and iv) plant dry weight basis</t>
  </si>
  <si>
    <t>Using theoretical ratio provided in lab handout, calculate how many moles of N2 were reduced</t>
  </si>
  <si>
    <t>Std. curve</t>
  </si>
  <si>
    <t>slope</t>
  </si>
  <si>
    <t>Note: You need to report only on the sample you prepared (individually or as a pair)</t>
  </si>
  <si>
    <t>Medicago polymorpha 1</t>
  </si>
  <si>
    <t>Medicago polymorpha 2</t>
  </si>
  <si>
    <t>Medicago polymorpha 3</t>
  </si>
  <si>
    <t>Note: if the fourth data point already shows that the curve is tapering off, exclude for calculation of the rate of C2H4 production</t>
  </si>
  <si>
    <t>Time                       (min)</t>
  </si>
  <si>
    <r>
      <t>Total mol C</t>
    </r>
    <r>
      <rPr>
        <b/>
        <vertAlign val="subscript"/>
        <sz val="11"/>
        <color theme="1"/>
        <rFont val="Calibri"/>
        <family val="2"/>
        <scheme val="minor"/>
      </rPr>
      <t>2</t>
    </r>
    <r>
      <rPr>
        <b/>
        <sz val="11"/>
        <color theme="1"/>
        <rFont val="Calibri"/>
        <family val="2"/>
        <scheme val="minor"/>
      </rPr>
      <t>H</t>
    </r>
    <r>
      <rPr>
        <b/>
        <vertAlign val="subscript"/>
        <sz val="11"/>
        <color theme="1"/>
        <rFont val="Calibri"/>
        <family val="2"/>
        <scheme val="minor"/>
      </rPr>
      <t>4</t>
    </r>
    <r>
      <rPr>
        <b/>
        <sz val="11"/>
        <color theme="1"/>
        <rFont val="Calibri"/>
        <family val="2"/>
        <scheme val="minor"/>
      </rPr>
      <t xml:space="preserve"> produced</t>
    </r>
  </si>
  <si>
    <r>
      <t>Mol C</t>
    </r>
    <r>
      <rPr>
        <b/>
        <vertAlign val="subscript"/>
        <sz val="11"/>
        <color theme="1"/>
        <rFont val="Calibri"/>
        <family val="2"/>
        <scheme val="minor"/>
      </rPr>
      <t>2</t>
    </r>
    <r>
      <rPr>
        <b/>
        <sz val="11"/>
        <color theme="1"/>
        <rFont val="Calibri"/>
        <family val="2"/>
        <scheme val="minor"/>
      </rPr>
      <t>H</t>
    </r>
    <r>
      <rPr>
        <b/>
        <vertAlign val="subscript"/>
        <sz val="11"/>
        <color theme="1"/>
        <rFont val="Calibri"/>
        <family val="2"/>
        <scheme val="minor"/>
      </rPr>
      <t>4</t>
    </r>
    <r>
      <rPr>
        <b/>
        <sz val="11"/>
        <color theme="1"/>
        <rFont val="Calibri"/>
        <family val="2"/>
        <scheme val="minor"/>
      </rPr>
      <t xml:space="preserve"> remaining          </t>
    </r>
  </si>
  <si>
    <r>
      <t>Mol C</t>
    </r>
    <r>
      <rPr>
        <b/>
        <vertAlign val="subscript"/>
        <sz val="11"/>
        <color theme="1"/>
        <rFont val="Calibri"/>
        <family val="2"/>
        <scheme val="minor"/>
      </rPr>
      <t>2</t>
    </r>
    <r>
      <rPr>
        <b/>
        <sz val="11"/>
        <color theme="1"/>
        <rFont val="Calibri"/>
        <family val="2"/>
        <scheme val="minor"/>
      </rPr>
      <t>H</t>
    </r>
    <r>
      <rPr>
        <b/>
        <vertAlign val="subscript"/>
        <sz val="11"/>
        <color theme="1"/>
        <rFont val="Calibri"/>
        <family val="2"/>
        <scheme val="minor"/>
      </rPr>
      <t>4</t>
    </r>
    <r>
      <rPr>
        <b/>
        <sz val="11"/>
        <color theme="1"/>
        <rFont val="Calibri"/>
        <family val="2"/>
        <scheme val="minor"/>
      </rPr>
      <t xml:space="preserve"> removed                 </t>
    </r>
  </si>
  <si>
    <r>
      <t>Volume C</t>
    </r>
    <r>
      <rPr>
        <b/>
        <vertAlign val="subscript"/>
        <sz val="11"/>
        <color theme="1"/>
        <rFont val="Calibri"/>
        <family val="2"/>
        <scheme val="minor"/>
      </rPr>
      <t>2</t>
    </r>
    <r>
      <rPr>
        <b/>
        <sz val="11"/>
        <color theme="1"/>
        <rFont val="Calibri"/>
        <family val="2"/>
        <scheme val="minor"/>
      </rPr>
      <t>H</t>
    </r>
    <r>
      <rPr>
        <b/>
        <vertAlign val="subscript"/>
        <sz val="11"/>
        <color theme="1"/>
        <rFont val="Calibri"/>
        <family val="2"/>
        <scheme val="minor"/>
      </rPr>
      <t xml:space="preserve">4 </t>
    </r>
    <r>
      <rPr>
        <b/>
        <sz val="11"/>
        <color theme="1"/>
        <rFont val="Calibri"/>
        <family val="2"/>
        <scheme val="minor"/>
      </rPr>
      <t>remaining (mL)</t>
    </r>
  </si>
  <si>
    <r>
      <t>Volume C</t>
    </r>
    <r>
      <rPr>
        <b/>
        <vertAlign val="subscript"/>
        <sz val="11"/>
        <color theme="1"/>
        <rFont val="Calibri"/>
        <family val="2"/>
        <scheme val="minor"/>
      </rPr>
      <t>2</t>
    </r>
    <r>
      <rPr>
        <b/>
        <sz val="11"/>
        <color theme="1"/>
        <rFont val="Calibri"/>
        <family val="2"/>
        <scheme val="minor"/>
      </rPr>
      <t>H</t>
    </r>
    <r>
      <rPr>
        <b/>
        <vertAlign val="subscript"/>
        <sz val="11"/>
        <color theme="1"/>
        <rFont val="Calibri"/>
        <family val="2"/>
        <scheme val="minor"/>
      </rPr>
      <t>4</t>
    </r>
    <r>
      <rPr>
        <b/>
        <sz val="11"/>
        <color theme="1"/>
        <rFont val="Calibri"/>
        <family val="2"/>
        <scheme val="minor"/>
      </rPr>
      <t xml:space="preserve"> removed (mL)</t>
    </r>
  </si>
  <si>
    <r>
      <t>% Ethylene (C</t>
    </r>
    <r>
      <rPr>
        <b/>
        <vertAlign val="subscript"/>
        <sz val="11"/>
        <color theme="1"/>
        <rFont val="Calibri"/>
        <family val="2"/>
        <scheme val="minor"/>
      </rPr>
      <t>2</t>
    </r>
    <r>
      <rPr>
        <b/>
        <sz val="11"/>
        <color theme="1"/>
        <rFont val="Calibri"/>
        <family val="2"/>
        <scheme val="minor"/>
      </rPr>
      <t>H</t>
    </r>
    <r>
      <rPr>
        <b/>
        <vertAlign val="subscript"/>
        <sz val="11"/>
        <color theme="1"/>
        <rFont val="Calibri"/>
        <family val="2"/>
        <scheme val="minor"/>
      </rPr>
      <t>4</t>
    </r>
    <r>
      <rPr>
        <b/>
        <sz val="11"/>
        <color theme="1"/>
        <rFont val="Calibri"/>
        <family val="2"/>
        <scheme val="minor"/>
      </rPr>
      <t xml:space="preserve">) </t>
    </r>
  </si>
  <si>
    <r>
      <t>Total umol C</t>
    </r>
    <r>
      <rPr>
        <b/>
        <vertAlign val="subscript"/>
        <sz val="11"/>
        <color theme="1"/>
        <rFont val="Calibri"/>
        <family val="2"/>
        <scheme val="minor"/>
      </rPr>
      <t>2</t>
    </r>
    <r>
      <rPr>
        <b/>
        <sz val="11"/>
        <color theme="1"/>
        <rFont val="Calibri"/>
        <family val="2"/>
        <scheme val="minor"/>
      </rPr>
      <t>H</t>
    </r>
    <r>
      <rPr>
        <b/>
        <vertAlign val="subscript"/>
        <sz val="11"/>
        <color theme="1"/>
        <rFont val="Calibri"/>
        <family val="2"/>
        <scheme val="minor"/>
      </rPr>
      <t>4</t>
    </r>
    <r>
      <rPr>
        <b/>
        <sz val="11"/>
        <color theme="1"/>
        <rFont val="Calibri"/>
        <family val="2"/>
        <scheme val="minor"/>
      </rPr>
      <t xml:space="preserve"> produced</t>
    </r>
  </si>
  <si>
    <r>
      <t>Ethylene (C</t>
    </r>
    <r>
      <rPr>
        <b/>
        <vertAlign val="subscript"/>
        <sz val="11"/>
        <color theme="1"/>
        <rFont val="Calibri"/>
        <family val="2"/>
        <scheme val="minor"/>
      </rPr>
      <t>2</t>
    </r>
    <r>
      <rPr>
        <b/>
        <sz val="11"/>
        <color theme="1"/>
        <rFont val="Calibri"/>
        <family val="2"/>
        <scheme val="minor"/>
      </rPr>
      <t>H</t>
    </r>
    <r>
      <rPr>
        <b/>
        <vertAlign val="subscript"/>
        <sz val="11"/>
        <color theme="1"/>
        <rFont val="Calibri"/>
        <family val="2"/>
        <scheme val="minor"/>
      </rPr>
      <t>4</t>
    </r>
    <r>
      <rPr>
        <b/>
        <sz val="11"/>
        <color theme="1"/>
        <rFont val="Calibri"/>
        <family val="2"/>
        <scheme val="minor"/>
      </rPr>
      <t>) standard curve</t>
    </r>
  </si>
  <si>
    <t>Note: see comments for the wet nodule weights (for your sample). If you have recorded wet weights for your nodules, please email me the data (and I will update this spreadsheet tab as needed)</t>
  </si>
  <si>
    <t>No. of nodules in vial</t>
  </si>
  <si>
    <t>Time Elapsed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</si>
</sst>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E+00"/>
    <numFmt numFmtId="166" formatCode="[$-F400]h:mm:ss\ AM/PM"/>
  </numFmts>
  <fonts count="10" x14ac:knownFonts="1">
    <font>
      <sz val="11"/>
      <color theme="1"/>
      <name val="Calibri"/>
      <family val="2"/>
      <scheme val="minor"/>
    </font>
    <font>
      <sz val="11"/>
      <name val="Calibri"/>
      <family val="2"/>
      <scheme val="minor"/>
    </font>
    <font>
      <sz val="11"/>
      <color rgb="FFFF0000"/>
      <name val="Calibri"/>
      <family val="2"/>
      <scheme val="minor"/>
    </font>
    <font>
      <b/>
      <sz val="11"/>
      <color theme="1"/>
      <name val="Calibri"/>
      <family val="2"/>
      <scheme val="minor"/>
    </font>
    <font>
      <sz val="9"/>
      <color indexed="81"/>
      <name val="Tahoma"/>
      <charset val="1"/>
    </font>
    <font>
      <b/>
      <sz val="9"/>
      <color indexed="81"/>
      <name val="Tahoma"/>
      <charset val="1"/>
    </font>
    <font>
      <sz val="11"/>
      <color rgb="FFFFC000"/>
      <name val="Calibri"/>
      <family val="2"/>
      <scheme val="minor"/>
    </font>
    <font>
      <b/>
      <sz val="9"/>
      <color indexed="81"/>
      <name val="Tahoma"/>
      <family val="2"/>
    </font>
    <font>
      <sz val="9"/>
      <color indexed="81"/>
      <name val="Tahoma"/>
      <family val="2"/>
    </font>
    <font>
      <b/>
      <vertAlign val="subscrip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8">
    <xf numFmtId="0" fontId="0" fillId="0" borderId="0" xfId="0"/>
    <xf numFmtId="10" fontId="0" fillId="0" borderId="0" xfId="0" applyNumberFormat="1"/>
    <xf numFmtId="0" fontId="0" fillId="0" borderId="0" xfId="0" applyAlignment="1">
      <alignment horizontal="center"/>
    </xf>
    <xf numFmtId="9" fontId="0" fillId="0" borderId="0" xfId="0" applyNumberFormat="1" applyAlignment="1">
      <alignment horizontal="center"/>
    </xf>
    <xf numFmtId="10" fontId="0" fillId="0" borderId="0" xfId="0" applyNumberFormat="1" applyAlignment="1">
      <alignment horizontal="center"/>
    </xf>
    <xf numFmtId="0" fontId="1" fillId="0" borderId="0" xfId="0" applyFont="1" applyAlignment="1">
      <alignment horizontal="center"/>
    </xf>
    <xf numFmtId="1" fontId="0" fillId="0" borderId="0" xfId="0" applyNumberFormat="1" applyAlignment="1">
      <alignment horizontal="center"/>
    </xf>
    <xf numFmtId="1" fontId="0" fillId="0" borderId="0" xfId="0" applyNumberFormat="1"/>
    <xf numFmtId="164" fontId="0" fillId="0" borderId="0" xfId="0" applyNumberFormat="1"/>
    <xf numFmtId="0" fontId="0" fillId="0" borderId="0" xfId="0" applyAlignment="1">
      <alignment horizontal="center" vertical="center"/>
    </xf>
    <xf numFmtId="0" fontId="0" fillId="0" borderId="0" xfId="0" applyAlignment="1">
      <alignment horizontal="center" vertical="center" wrapText="1"/>
    </xf>
    <xf numFmtId="11" fontId="0" fillId="0" borderId="0" xfId="0" applyNumberFormat="1"/>
    <xf numFmtId="165" fontId="0" fillId="0" borderId="0" xfId="0" applyNumberFormat="1"/>
    <xf numFmtId="0" fontId="3"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2" fillId="0" borderId="0" xfId="0" applyFont="1" applyAlignment="1">
      <alignment horizontal="center"/>
    </xf>
    <xf numFmtId="0" fontId="0" fillId="0" borderId="0" xfId="0" applyFont="1"/>
    <xf numFmtId="0" fontId="6" fillId="0" borderId="0" xfId="0" applyFont="1" applyAlignment="1">
      <alignment horizontal="center"/>
    </xf>
    <xf numFmtId="0" fontId="3" fillId="0" borderId="1" xfId="0" applyFont="1" applyBorder="1" applyAlignment="1">
      <alignment horizontal="center" vertical="center" wrapText="1"/>
    </xf>
    <xf numFmtId="0" fontId="0"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11" fontId="0" fillId="0" borderId="1" xfId="0" applyNumberFormat="1" applyFont="1" applyBorder="1" applyAlignment="1">
      <alignment horizontal="center" vertical="center" wrapText="1"/>
    </xf>
    <xf numFmtId="11" fontId="0" fillId="0" borderId="1" xfId="0" applyNumberFormat="1" applyFont="1" applyBorder="1" applyAlignment="1">
      <alignment horizontal="center" vertical="center"/>
    </xf>
    <xf numFmtId="0" fontId="0" fillId="0" borderId="1" xfId="0" applyFont="1" applyBorder="1" applyAlignment="1">
      <alignment horizontal="center" vertical="center"/>
    </xf>
    <xf numFmtId="0" fontId="0" fillId="0" borderId="0" xfId="0" applyAlignment="1">
      <alignment horizontal="left"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0" fillId="0" borderId="5" xfId="0" applyBorder="1" applyAlignment="1">
      <alignment horizontal="center"/>
    </xf>
    <xf numFmtId="0" fontId="0" fillId="0" borderId="0"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0" xfId="0" applyAlignment="1">
      <alignment horizontal="left"/>
    </xf>
    <xf numFmtId="0" fontId="0" fillId="3" borderId="0" xfId="0" applyFill="1"/>
    <xf numFmtId="0" fontId="0" fillId="3" borderId="0" xfId="0" applyFill="1" applyAlignment="1">
      <alignment horizontal="center"/>
    </xf>
    <xf numFmtId="165" fontId="0" fillId="3" borderId="0" xfId="0" applyNumberFormat="1" applyFill="1"/>
    <xf numFmtId="0" fontId="3" fillId="0" borderId="0" xfId="0" applyFont="1" applyAlignment="1">
      <alignment horizontal="left"/>
    </xf>
    <xf numFmtId="0" fontId="0" fillId="2" borderId="1" xfId="0" applyFill="1" applyBorder="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20" fontId="0" fillId="3" borderId="0" xfId="0" applyNumberFormat="1" applyFill="1" applyAlignment="1">
      <alignment horizontal="center"/>
    </xf>
    <xf numFmtId="166" fontId="0" fillId="0" borderId="0" xfId="0" applyNumberFormat="1"/>
    <xf numFmtId="0" fontId="0" fillId="0" borderId="0" xfId="0" applyNumberFormat="1" applyAlignment="1">
      <alignment horizontal="center" vertical="center"/>
    </xf>
    <xf numFmtId="0" fontId="0" fillId="3" borderId="0" xfId="0" applyNumberFormat="1" applyFill="1" applyAlignment="1">
      <alignment horizontal="center"/>
    </xf>
    <xf numFmtId="0" fontId="0" fillId="0" borderId="0" xfId="0" applyNumberFormat="1" applyAlignment="1">
      <alignment horizontal="center"/>
    </xf>
    <xf numFmtId="11" fontId="0" fillId="0" borderId="0" xfId="0" applyNumberFormat="1" applyFont="1" applyBorder="1" applyAlignment="1">
      <alignment horizontal="center" vertical="center" wrapText="1"/>
    </xf>
    <xf numFmtId="0" fontId="0" fillId="0" borderId="1" xfId="0" applyBorder="1" applyAlignment="1">
      <alignment horizontal="center"/>
    </xf>
    <xf numFmtId="0" fontId="0" fillId="0" borderId="1" xfId="0" applyBorder="1"/>
    <xf numFmtId="11" fontId="0" fillId="0" borderId="0" xfId="0" applyNumberFormat="1" applyFont="1" applyBorder="1" applyAlignment="1">
      <alignment horizontal="center" vertical="center"/>
    </xf>
    <xf numFmtId="0" fontId="3" fillId="0" borderId="1" xfId="0" applyFont="1" applyBorder="1"/>
    <xf numFmtId="0" fontId="0" fillId="0" borderId="0" xfId="0" applyFont="1" applyBorder="1" applyAlignment="1">
      <alignment horizontal="center" vertical="center"/>
    </xf>
    <xf numFmtId="0" fontId="0" fillId="0" borderId="6"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Ethylene</a:t>
            </a:r>
            <a:r>
              <a:rPr lang="en-US" baseline="0"/>
              <a:t> Calibration Curve</a:t>
            </a:r>
            <a:endParaRPr lang="en-US"/>
          </a:p>
        </c:rich>
      </c:tx>
      <c:layout>
        <c:manualLayout>
          <c:xMode val="edge"/>
          <c:yMode val="edge"/>
          <c:x val="0.35871577248949582"/>
          <c:y val="4.72175379426644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0.14026421940651021"/>
                  <c:y val="5.189750943863889E-2"/>
                </c:manualLayout>
              </c:layout>
              <c:numFmt formatCode="0.000E+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'Ethylene Std Curve'!$A$7:$A$30</c:f>
              <c:numCache>
                <c:formatCode>0%</c:formatCode>
                <c:ptCount val="24"/>
                <c:pt idx="0">
                  <c:v>0.02</c:v>
                </c:pt>
                <c:pt idx="1">
                  <c:v>0.02</c:v>
                </c:pt>
                <c:pt idx="2">
                  <c:v>0.02</c:v>
                </c:pt>
                <c:pt idx="3">
                  <c:v>0.01</c:v>
                </c:pt>
                <c:pt idx="4">
                  <c:v>0.01</c:v>
                </c:pt>
                <c:pt idx="5">
                  <c:v>0.01</c:v>
                </c:pt>
                <c:pt idx="6" formatCode="0.00%">
                  <c:v>5.0000000000000001E-3</c:v>
                </c:pt>
                <c:pt idx="7" formatCode="0.00%">
                  <c:v>5.0000000000000001E-3</c:v>
                </c:pt>
                <c:pt idx="8" formatCode="0.00%">
                  <c:v>5.0000000000000001E-3</c:v>
                </c:pt>
                <c:pt idx="9" formatCode="0.00%">
                  <c:v>2E-3</c:v>
                </c:pt>
                <c:pt idx="10" formatCode="0.00%">
                  <c:v>2E-3</c:v>
                </c:pt>
                <c:pt idx="11" formatCode="0.00%">
                  <c:v>2E-3</c:v>
                </c:pt>
                <c:pt idx="12" formatCode="0.00%">
                  <c:v>1E-3</c:v>
                </c:pt>
                <c:pt idx="13" formatCode="0.00%">
                  <c:v>1E-3</c:v>
                </c:pt>
                <c:pt idx="14" formatCode="0.00%">
                  <c:v>1E-3</c:v>
                </c:pt>
                <c:pt idx="15" formatCode="0.00%">
                  <c:v>5.0000000000000001E-4</c:v>
                </c:pt>
                <c:pt idx="16" formatCode="0.00%">
                  <c:v>5.0000000000000001E-4</c:v>
                </c:pt>
                <c:pt idx="17" formatCode="0.00%">
                  <c:v>5.0000000000000001E-4</c:v>
                </c:pt>
                <c:pt idx="18">
                  <c:v>0</c:v>
                </c:pt>
                <c:pt idx="19">
                  <c:v>0</c:v>
                </c:pt>
                <c:pt idx="20">
                  <c:v>0</c:v>
                </c:pt>
              </c:numCache>
            </c:numRef>
          </c:xVal>
          <c:yVal>
            <c:numRef>
              <c:f>'Ethylene Std Curve'!$B$7:$B$30</c:f>
              <c:numCache>
                <c:formatCode>General</c:formatCode>
                <c:ptCount val="24"/>
                <c:pt idx="0">
                  <c:v>26839</c:v>
                </c:pt>
                <c:pt idx="1">
                  <c:v>25825</c:v>
                </c:pt>
                <c:pt idx="2">
                  <c:v>24696</c:v>
                </c:pt>
                <c:pt idx="3">
                  <c:v>12760</c:v>
                </c:pt>
                <c:pt idx="4">
                  <c:v>12907</c:v>
                </c:pt>
                <c:pt idx="5">
                  <c:v>13254</c:v>
                </c:pt>
                <c:pt idx="6">
                  <c:v>7385</c:v>
                </c:pt>
                <c:pt idx="7">
                  <c:v>6715</c:v>
                </c:pt>
                <c:pt idx="8" formatCode="0">
                  <c:v>7286</c:v>
                </c:pt>
                <c:pt idx="9" formatCode="0">
                  <c:v>3557</c:v>
                </c:pt>
                <c:pt idx="10" formatCode="0">
                  <c:v>3374</c:v>
                </c:pt>
                <c:pt idx="11" formatCode="0">
                  <c:v>3288</c:v>
                </c:pt>
                <c:pt idx="12">
                  <c:v>1921</c:v>
                </c:pt>
                <c:pt idx="13">
                  <c:v>1980</c:v>
                </c:pt>
                <c:pt idx="14">
                  <c:v>1950</c:v>
                </c:pt>
                <c:pt idx="15">
                  <c:v>1027</c:v>
                </c:pt>
                <c:pt idx="16">
                  <c:v>998</c:v>
                </c:pt>
                <c:pt idx="17">
                  <c:v>1150</c:v>
                </c:pt>
                <c:pt idx="18">
                  <c:v>0</c:v>
                </c:pt>
                <c:pt idx="19">
                  <c:v>0</c:v>
                </c:pt>
                <c:pt idx="20">
                  <c:v>0</c:v>
                </c:pt>
              </c:numCache>
            </c:numRef>
          </c:yVal>
          <c:smooth val="0"/>
          <c:extLst>
            <c:ext xmlns:c16="http://schemas.microsoft.com/office/drawing/2014/chart" uri="{C3380CC4-5D6E-409C-BE32-E72D297353CC}">
              <c16:uniqueId val="{00000000-E1EF-4821-BB42-8A8357ED92A9}"/>
            </c:ext>
          </c:extLst>
        </c:ser>
        <c:dLbls>
          <c:showLegendKey val="0"/>
          <c:showVal val="0"/>
          <c:showCatName val="0"/>
          <c:showSerName val="0"/>
          <c:showPercent val="0"/>
          <c:showBubbleSize val="0"/>
        </c:dLbls>
        <c:axId val="1085522784"/>
        <c:axId val="1085523616"/>
      </c:scatterChart>
      <c:valAx>
        <c:axId val="1085522784"/>
        <c:scaling>
          <c:orientation val="minMax"/>
          <c:max val="2.0000000000000004E-2"/>
        </c:scaling>
        <c:delete val="0"/>
        <c:axPos val="b"/>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23616"/>
        <c:crosses val="autoZero"/>
        <c:crossBetween val="midCat"/>
        <c:majorUnit val="2.0000000000000005E-3"/>
      </c:valAx>
      <c:valAx>
        <c:axId val="1085523616"/>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22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161924</xdr:colOff>
      <xdr:row>1</xdr:row>
      <xdr:rowOff>66675</xdr:rowOff>
    </xdr:from>
    <xdr:to>
      <xdr:col>15</xdr:col>
      <xdr:colOff>304799</xdr:colOff>
      <xdr:row>31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419100</xdr:colOff>
      <xdr:row>2</xdr:row>
      <xdr:rowOff>76201</xdr:rowOff>
    </xdr:from>
    <xdr:to>
      <xdr:col>2</xdr:col>
      <xdr:colOff>514349</xdr:colOff>
      <xdr:row>6</xdr:row>
      <xdr:rowOff>114300</xdr:rowOff>
    </xdr:to>
    <xdr:cxnSp macro="">
      <xdr:nvCxnSpPr>
        <xdr:cNvPr id="2" name="Straight Arrow Connector 1">
          <a:extLst>
            <a:ext uri="{FF2B5EF4-FFF2-40B4-BE49-F238E27FC236}">
              <a16:creationId xmlns:a16="http://schemas.microsoft.com/office/drawing/2014/main" id="{00000000-0008-0000-0300-000002000000}"/>
            </a:ext>
          </a:extLst>
        </xdr:cNvPr>
        <xdr:cNvCxnSpPr/>
      </xdr:nvCxnSpPr>
      <xdr:spPr>
        <a:xfrm flipH="1">
          <a:off x="1400175" y="457201"/>
          <a:ext cx="847724" cy="140969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533399</xdr:colOff>
      <xdr:row>1</xdr:row>
      <xdr:rowOff>9526</xdr:rowOff>
    </xdr:from>
    <xdr:to>
      <xdr:col>6</xdr:col>
      <xdr:colOff>219075</xdr:colOff>
      <xdr:row>3</xdr:row>
      <xdr:rowOff>180976</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781174" y="200026"/>
          <a:ext cx="2124076"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Example values: input</a:t>
          </a:r>
          <a:r>
            <a:rPr lang="en-US" sz="1100" baseline="0"/>
            <a:t> your own time and peak area values</a:t>
          </a:r>
          <a:endParaRPr lang="en-US" sz="1100"/>
        </a:p>
      </xdr:txBody>
    </xdr:sp>
    <xdr:clientData/>
  </xdr:twoCellAnchor>
  <xdr:twoCellAnchor>
    <xdr:from>
      <xdr:col>11</xdr:col>
      <xdr:colOff>581025</xdr:colOff>
      <xdr:row>1</xdr:row>
      <xdr:rowOff>180975</xdr:rowOff>
    </xdr:from>
    <xdr:to>
      <xdr:col>15</xdr:col>
      <xdr:colOff>342900</xdr:colOff>
      <xdr:row>5</xdr:row>
      <xdr:rowOff>85725</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7610475" y="371475"/>
          <a:ext cx="2200275"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See comments in cells to view the explanation behind the calculations</a:t>
          </a:r>
        </a:p>
      </xdr:txBody>
    </xdr:sp>
    <xdr:clientData/>
  </xdr:twoCellAnchor>
  <xdr:twoCellAnchor>
    <xdr:from>
      <xdr:col>11</xdr:col>
      <xdr:colOff>66675</xdr:colOff>
      <xdr:row>3</xdr:row>
      <xdr:rowOff>133350</xdr:rowOff>
    </xdr:from>
    <xdr:to>
      <xdr:col>11</xdr:col>
      <xdr:colOff>581025</xdr:colOff>
      <xdr:row>7</xdr:row>
      <xdr:rowOff>0</xdr:rowOff>
    </xdr:to>
    <xdr:cxnSp macro="">
      <xdr:nvCxnSpPr>
        <xdr:cNvPr id="5" name="Straight Arrow Connector 4">
          <a:extLst>
            <a:ext uri="{FF2B5EF4-FFF2-40B4-BE49-F238E27FC236}">
              <a16:creationId xmlns:a16="http://schemas.microsoft.com/office/drawing/2014/main" id="{00000000-0008-0000-0300-000005000000}"/>
            </a:ext>
          </a:extLst>
        </xdr:cNvPr>
        <xdr:cNvCxnSpPr>
          <a:stCxn id="4" idx="1"/>
        </xdr:cNvCxnSpPr>
      </xdr:nvCxnSpPr>
      <xdr:spPr>
        <a:xfrm flipH="1">
          <a:off x="7096125" y="704850"/>
          <a:ext cx="514350" cy="1390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38102</xdr:colOff>
      <xdr:row>3</xdr:row>
      <xdr:rowOff>133350</xdr:rowOff>
    </xdr:from>
    <xdr:to>
      <xdr:col>11</xdr:col>
      <xdr:colOff>581025</xdr:colOff>
      <xdr:row>4</xdr:row>
      <xdr:rowOff>114300</xdr:rowOff>
    </xdr:to>
    <xdr:cxnSp macro="">
      <xdr:nvCxnSpPr>
        <xdr:cNvPr id="6" name="Straight Arrow Connector 5">
          <a:extLst>
            <a:ext uri="{FF2B5EF4-FFF2-40B4-BE49-F238E27FC236}">
              <a16:creationId xmlns:a16="http://schemas.microsoft.com/office/drawing/2014/main" id="{00000000-0008-0000-0300-000006000000}"/>
            </a:ext>
          </a:extLst>
        </xdr:cNvPr>
        <xdr:cNvCxnSpPr>
          <a:stCxn id="4" idx="1"/>
        </xdr:cNvCxnSpPr>
      </xdr:nvCxnSpPr>
      <xdr:spPr>
        <a:xfrm flipH="1">
          <a:off x="5133977" y="704850"/>
          <a:ext cx="2476498" cy="171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5</xdr:row>
      <xdr:rowOff>419101</xdr:rowOff>
    </xdr:from>
    <xdr:to>
      <xdr:col>17</xdr:col>
      <xdr:colOff>200025</xdr:colOff>
      <xdr:row>6</xdr:row>
      <xdr:rowOff>47625</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8058150" y="1371601"/>
          <a:ext cx="3200400" cy="5810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 you do not understand why this is the way to calculate the total moles</a:t>
          </a:r>
          <a:r>
            <a:rPr lang="en-US" sz="1100" baseline="0"/>
            <a:t> produced, </a:t>
          </a:r>
          <a:r>
            <a:rPr lang="en-US" sz="1100"/>
            <a:t>please  see me!</a:t>
          </a:r>
        </a:p>
      </xdr:txBody>
    </xdr:sp>
    <xdr:clientData/>
  </xdr:twoCellAnchor>
  <xdr:twoCellAnchor>
    <xdr:from>
      <xdr:col>2</xdr:col>
      <xdr:colOff>400051</xdr:colOff>
      <xdr:row>2</xdr:row>
      <xdr:rowOff>95251</xdr:rowOff>
    </xdr:from>
    <xdr:to>
      <xdr:col>2</xdr:col>
      <xdr:colOff>533399</xdr:colOff>
      <xdr:row>6</xdr:row>
      <xdr:rowOff>66675</xdr:rowOff>
    </xdr:to>
    <xdr:cxnSp macro="">
      <xdr:nvCxnSpPr>
        <xdr:cNvPr id="8" name="Straight Arrow Connector 7">
          <a:extLst>
            <a:ext uri="{FF2B5EF4-FFF2-40B4-BE49-F238E27FC236}">
              <a16:creationId xmlns:a16="http://schemas.microsoft.com/office/drawing/2014/main" id="{00000000-0008-0000-0300-000008000000}"/>
            </a:ext>
          </a:extLst>
        </xdr:cNvPr>
        <xdr:cNvCxnSpPr>
          <a:stCxn id="3" idx="1"/>
        </xdr:cNvCxnSpPr>
      </xdr:nvCxnSpPr>
      <xdr:spPr>
        <a:xfrm flipH="1">
          <a:off x="1647826" y="476251"/>
          <a:ext cx="133348" cy="14954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485775</xdr:colOff>
      <xdr:row>8</xdr:row>
      <xdr:rowOff>28576</xdr:rowOff>
    </xdr:from>
    <xdr:to>
      <xdr:col>15</xdr:col>
      <xdr:colOff>504824</xdr:colOff>
      <xdr:row>11</xdr:row>
      <xdr:rowOff>142876</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7886700" y="2314576"/>
          <a:ext cx="2457449"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You will have to provide a brief explanation of how these calculations were performed, in your report.</a:t>
          </a:r>
        </a:p>
      </xdr:txBody>
    </xdr:sp>
    <xdr:clientData/>
  </xdr:twoCellAnchor>
  <xdr:twoCellAnchor>
    <xdr:from>
      <xdr:col>3</xdr:col>
      <xdr:colOff>266700</xdr:colOff>
      <xdr:row>15</xdr:row>
      <xdr:rowOff>114300</xdr:rowOff>
    </xdr:from>
    <xdr:to>
      <xdr:col>3</xdr:col>
      <xdr:colOff>1162050</xdr:colOff>
      <xdr:row>15</xdr:row>
      <xdr:rowOff>114300</xdr:rowOff>
    </xdr:to>
    <xdr:cxnSp macro="">
      <xdr:nvCxnSpPr>
        <xdr:cNvPr id="10" name="Straight Arrow Connector 9">
          <a:extLst>
            <a:ext uri="{FF2B5EF4-FFF2-40B4-BE49-F238E27FC236}">
              <a16:creationId xmlns:a16="http://schemas.microsoft.com/office/drawing/2014/main" id="{00000000-0008-0000-0300-00000A000000}"/>
            </a:ext>
          </a:extLst>
        </xdr:cNvPr>
        <xdr:cNvCxnSpPr/>
      </xdr:nvCxnSpPr>
      <xdr:spPr>
        <a:xfrm>
          <a:off x="1905000" y="4686300"/>
          <a:ext cx="31432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15</xdr:row>
      <xdr:rowOff>0</xdr:rowOff>
    </xdr:from>
    <xdr:to>
      <xdr:col>6</xdr:col>
      <xdr:colOff>161925</xdr:colOff>
      <xdr:row>17</xdr:row>
      <xdr:rowOff>123825</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3162300" y="3867150"/>
          <a:ext cx="1533525"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plot</a:t>
          </a:r>
          <a:r>
            <a:rPr lang="en-US" sz="1100" baseline="0"/>
            <a:t> this data! (either mol or umol vs time)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61"/>
  <sheetViews>
    <sheetView workbookViewId="0">
      <selection activeCell="V19" sqref="V19"/>
    </sheetView>
  </sheetViews>
  <sheetFormatPr defaultRowHeight="15" x14ac:dyDescent="0.25"/>
  <cols>
    <col min="4" max="4" width="9.5703125" bestFit="1" customWidth="1"/>
  </cols>
  <sheetData>
    <row r="2" spans="1:4" ht="18" x14ac:dyDescent="0.35">
      <c r="A2" s="13" t="s">
        <v>63</v>
      </c>
    </row>
    <row r="3" spans="1:4" x14ac:dyDescent="0.25">
      <c r="A3" t="s">
        <v>0</v>
      </c>
    </row>
    <row r="4" spans="1:4" x14ac:dyDescent="0.25">
      <c r="A4" t="s">
        <v>1</v>
      </c>
    </row>
    <row r="6" spans="1:4" x14ac:dyDescent="0.25">
      <c r="A6" s="2" t="s">
        <v>2</v>
      </c>
      <c r="B6" s="2" t="s">
        <v>3</v>
      </c>
      <c r="D6" s="37" t="s">
        <v>26</v>
      </c>
    </row>
    <row r="7" spans="1:4" x14ac:dyDescent="0.25">
      <c r="A7" s="3">
        <v>0.02</v>
      </c>
      <c r="B7" s="2">
        <v>26839</v>
      </c>
      <c r="D7" s="39">
        <v>1302000</v>
      </c>
    </row>
    <row r="8" spans="1:4" x14ac:dyDescent="0.25">
      <c r="A8" s="3">
        <v>0.02</v>
      </c>
      <c r="B8" s="2">
        <v>25825</v>
      </c>
    </row>
    <row r="9" spans="1:4" x14ac:dyDescent="0.25">
      <c r="A9" s="3">
        <v>0.02</v>
      </c>
      <c r="B9" s="2">
        <v>24696</v>
      </c>
    </row>
    <row r="10" spans="1:4" x14ac:dyDescent="0.25">
      <c r="A10" s="3">
        <v>0.01</v>
      </c>
      <c r="B10" s="2">
        <v>12760</v>
      </c>
    </row>
    <row r="11" spans="1:4" x14ac:dyDescent="0.25">
      <c r="A11" s="3">
        <v>0.01</v>
      </c>
      <c r="B11" s="2">
        <v>12907</v>
      </c>
    </row>
    <row r="12" spans="1:4" x14ac:dyDescent="0.25">
      <c r="A12" s="3">
        <v>0.01</v>
      </c>
      <c r="B12" s="5">
        <v>13254</v>
      </c>
    </row>
    <row r="13" spans="1:4" x14ac:dyDescent="0.25">
      <c r="A13" s="4">
        <v>5.0000000000000001E-3</v>
      </c>
      <c r="B13" s="5">
        <v>7385</v>
      </c>
    </row>
    <row r="14" spans="1:4" x14ac:dyDescent="0.25">
      <c r="A14" s="4">
        <v>5.0000000000000001E-3</v>
      </c>
      <c r="B14" s="2">
        <v>6715</v>
      </c>
    </row>
    <row r="15" spans="1:4" x14ac:dyDescent="0.25">
      <c r="A15" s="4">
        <v>5.0000000000000001E-3</v>
      </c>
      <c r="B15" s="6">
        <v>7286</v>
      </c>
      <c r="D15" s="7"/>
    </row>
    <row r="16" spans="1:4" x14ac:dyDescent="0.25">
      <c r="A16" s="4">
        <v>2E-3</v>
      </c>
      <c r="B16" s="6">
        <v>3557</v>
      </c>
      <c r="D16" s="7"/>
    </row>
    <row r="17" spans="1:6" x14ac:dyDescent="0.25">
      <c r="A17" s="4">
        <v>2E-3</v>
      </c>
      <c r="B17" s="6">
        <v>3374</v>
      </c>
      <c r="D17" s="7"/>
    </row>
    <row r="18" spans="1:6" x14ac:dyDescent="0.25">
      <c r="A18" s="4">
        <v>2E-3</v>
      </c>
      <c r="B18" s="6">
        <v>3288</v>
      </c>
      <c r="D18" s="7"/>
    </row>
    <row r="19" spans="1:6" x14ac:dyDescent="0.25">
      <c r="A19" s="4">
        <v>1E-3</v>
      </c>
      <c r="B19" s="2">
        <v>1921</v>
      </c>
    </row>
    <row r="20" spans="1:6" x14ac:dyDescent="0.25">
      <c r="A20" s="4">
        <v>1E-3</v>
      </c>
      <c r="B20" s="2">
        <v>1980</v>
      </c>
    </row>
    <row r="21" spans="1:6" x14ac:dyDescent="0.25">
      <c r="A21" s="4">
        <v>1E-3</v>
      </c>
      <c r="B21" s="2">
        <v>1950</v>
      </c>
    </row>
    <row r="22" spans="1:6" x14ac:dyDescent="0.25">
      <c r="A22" s="4">
        <v>5.0000000000000001E-4</v>
      </c>
      <c r="B22" s="2">
        <v>1027</v>
      </c>
    </row>
    <row r="23" spans="1:6" x14ac:dyDescent="0.25">
      <c r="A23" s="4">
        <v>5.0000000000000001E-4</v>
      </c>
      <c r="B23" s="2">
        <v>998</v>
      </c>
    </row>
    <row r="24" spans="1:6" x14ac:dyDescent="0.25">
      <c r="A24" s="4">
        <v>5.0000000000000001E-4</v>
      </c>
      <c r="B24" s="2">
        <v>1150</v>
      </c>
      <c r="E24" s="3"/>
      <c r="F24" s="2"/>
    </row>
    <row r="25" spans="1:6" x14ac:dyDescent="0.25">
      <c r="A25" s="3">
        <v>0</v>
      </c>
      <c r="B25" s="2">
        <v>0</v>
      </c>
      <c r="E25" s="3"/>
      <c r="F25" s="2"/>
    </row>
    <row r="26" spans="1:6" x14ac:dyDescent="0.25">
      <c r="A26" s="3">
        <v>0</v>
      </c>
      <c r="B26" s="2">
        <v>0</v>
      </c>
      <c r="E26" s="3"/>
      <c r="F26" s="2"/>
    </row>
    <row r="27" spans="1:6" x14ac:dyDescent="0.25">
      <c r="A27" s="3">
        <v>0</v>
      </c>
      <c r="B27" s="2">
        <v>0</v>
      </c>
      <c r="E27" s="4"/>
      <c r="F27" s="2"/>
    </row>
    <row r="28" spans="1:6" x14ac:dyDescent="0.25">
      <c r="A28" s="3"/>
      <c r="B28" s="2"/>
      <c r="E28" s="4"/>
      <c r="F28" s="2"/>
    </row>
    <row r="29" spans="1:6" x14ac:dyDescent="0.25">
      <c r="A29" s="3"/>
      <c r="B29" s="2"/>
      <c r="E29" s="4"/>
      <c r="F29" s="2"/>
    </row>
    <row r="30" spans="1:6" x14ac:dyDescent="0.25">
      <c r="A30" s="3"/>
      <c r="B30" s="2"/>
      <c r="E30" s="4"/>
      <c r="F30" s="2"/>
    </row>
    <row r="31" spans="1:6" x14ac:dyDescent="0.25">
      <c r="A31" s="4"/>
      <c r="B31" s="2"/>
      <c r="E31" s="4"/>
    </row>
    <row r="32" spans="1:6" x14ac:dyDescent="0.25">
      <c r="E32" s="4"/>
    </row>
    <row r="33" spans="1:6" x14ac:dyDescent="0.25">
      <c r="E33" s="4"/>
      <c r="F33" s="2"/>
    </row>
    <row r="34" spans="1:6" x14ac:dyDescent="0.25">
      <c r="E34" t="s">
        <v>25</v>
      </c>
    </row>
    <row r="35" spans="1:6" x14ac:dyDescent="0.25">
      <c r="A35" s="8"/>
      <c r="B35" s="2"/>
    </row>
    <row r="36" spans="1:6" x14ac:dyDescent="0.25">
      <c r="A36" s="1"/>
    </row>
    <row r="37" spans="1:6" x14ac:dyDescent="0.25">
      <c r="A37" s="1"/>
    </row>
    <row r="39" spans="1:6" x14ac:dyDescent="0.25">
      <c r="A39" s="2"/>
      <c r="B39" s="2"/>
    </row>
    <row r="40" spans="1:6" x14ac:dyDescent="0.25">
      <c r="A40" s="3"/>
      <c r="B40" s="2"/>
    </row>
    <row r="41" spans="1:6" x14ac:dyDescent="0.25">
      <c r="A41" s="3"/>
      <c r="B41" s="2"/>
    </row>
    <row r="42" spans="1:6" x14ac:dyDescent="0.25">
      <c r="A42" s="3"/>
      <c r="B42" s="2"/>
    </row>
    <row r="43" spans="1:6" x14ac:dyDescent="0.25">
      <c r="A43" s="3"/>
      <c r="B43" s="2"/>
    </row>
    <row r="44" spans="1:6" x14ac:dyDescent="0.25">
      <c r="A44" s="3"/>
      <c r="B44" s="2"/>
    </row>
    <row r="45" spans="1:6" x14ac:dyDescent="0.25">
      <c r="A45" s="3"/>
      <c r="B45" s="5"/>
    </row>
    <row r="46" spans="1:6" x14ac:dyDescent="0.25">
      <c r="A46" s="4"/>
      <c r="B46" s="5"/>
    </row>
    <row r="47" spans="1:6" x14ac:dyDescent="0.25">
      <c r="A47" s="4"/>
      <c r="B47" s="2"/>
    </row>
    <row r="48" spans="1:6" x14ac:dyDescent="0.25">
      <c r="A48" s="4"/>
      <c r="B48" s="6"/>
    </row>
    <row r="49" spans="1:2" x14ac:dyDescent="0.25">
      <c r="A49" s="4"/>
      <c r="B49" s="2"/>
    </row>
    <row r="50" spans="1:2" x14ac:dyDescent="0.25">
      <c r="A50" s="4"/>
      <c r="B50" s="2"/>
    </row>
    <row r="51" spans="1:2" x14ac:dyDescent="0.25">
      <c r="A51" s="4"/>
      <c r="B51" s="2"/>
    </row>
    <row r="52" spans="1:2" x14ac:dyDescent="0.25">
      <c r="A52" s="3"/>
      <c r="B52" s="2"/>
    </row>
    <row r="53" spans="1:2" x14ac:dyDescent="0.25">
      <c r="A53" s="3"/>
      <c r="B53" s="2"/>
    </row>
    <row r="54" spans="1:2" x14ac:dyDescent="0.25">
      <c r="A54" s="3"/>
      <c r="B54" s="2"/>
    </row>
    <row r="55" spans="1:2" x14ac:dyDescent="0.25">
      <c r="A55" s="4"/>
      <c r="B55" s="2"/>
    </row>
    <row r="56" spans="1:2" x14ac:dyDescent="0.25">
      <c r="A56" s="4"/>
      <c r="B56" s="2"/>
    </row>
    <row r="57" spans="1:2" x14ac:dyDescent="0.25">
      <c r="A57" s="4"/>
      <c r="B57" s="2"/>
    </row>
    <row r="58" spans="1:2" x14ac:dyDescent="0.25">
      <c r="A58" s="4"/>
      <c r="B58" s="2"/>
    </row>
    <row r="59" spans="1:2" x14ac:dyDescent="0.25">
      <c r="A59" s="4"/>
    </row>
    <row r="60" spans="1:2" x14ac:dyDescent="0.25">
      <c r="A60" s="4"/>
    </row>
    <row r="61" spans="1:2" x14ac:dyDescent="0.25">
      <c r="A61" s="4"/>
      <c r="B61" s="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DB3B7-4923-4B2C-B363-8372FE07E876}">
  <dimension ref="A1:Q51"/>
  <sheetViews>
    <sheetView topLeftCell="A13" workbookViewId="0">
      <selection activeCell="L33" sqref="L33"/>
    </sheetView>
  </sheetViews>
  <sheetFormatPr defaultRowHeight="15" x14ac:dyDescent="0.25"/>
  <cols>
    <col min="1" max="1" width="15.85546875" style="42" customWidth="1"/>
    <col min="2" max="2" width="22.5703125" bestFit="1" customWidth="1"/>
    <col min="3" max="3" width="14.85546875" customWidth="1"/>
    <col min="4" max="4" width="14" customWidth="1"/>
    <col min="5" max="5" width="16.42578125" style="42" customWidth="1"/>
    <col min="6" max="6" width="10.42578125" style="42" bestFit="1" customWidth="1"/>
    <col min="7" max="7" width="17.28515625" style="50" bestFit="1" customWidth="1"/>
    <col min="8" max="8" width="13.42578125" style="42" customWidth="1"/>
  </cols>
  <sheetData>
    <row r="1" spans="1:17" s="43" customFormat="1" ht="78" x14ac:dyDescent="0.25">
      <c r="A1" s="43" t="s">
        <v>16</v>
      </c>
      <c r="B1" s="43" t="s">
        <v>27</v>
      </c>
      <c r="C1" s="43" t="s">
        <v>18</v>
      </c>
      <c r="D1" s="43" t="s">
        <v>7</v>
      </c>
      <c r="E1" s="10" t="s">
        <v>15</v>
      </c>
      <c r="F1" s="43" t="s">
        <v>17</v>
      </c>
      <c r="G1" s="48" t="s">
        <v>66</v>
      </c>
      <c r="H1" s="43" t="s">
        <v>3</v>
      </c>
      <c r="I1" s="20" t="s">
        <v>61</v>
      </c>
      <c r="J1" s="20" t="s">
        <v>40</v>
      </c>
      <c r="K1" s="20" t="s">
        <v>60</v>
      </c>
      <c r="L1" s="20" t="s">
        <v>59</v>
      </c>
      <c r="M1" s="20" t="s">
        <v>41</v>
      </c>
      <c r="N1" s="20" t="s">
        <v>58</v>
      </c>
      <c r="O1" s="20" t="s">
        <v>57</v>
      </c>
      <c r="P1" s="20" t="s">
        <v>56</v>
      </c>
      <c r="Q1" s="29" t="s">
        <v>62</v>
      </c>
    </row>
    <row r="2" spans="1:17" x14ac:dyDescent="0.25">
      <c r="A2" s="38" t="s">
        <v>13</v>
      </c>
      <c r="B2" s="42" t="s">
        <v>19</v>
      </c>
      <c r="C2" s="37" t="s">
        <v>4</v>
      </c>
      <c r="D2" s="37" t="s">
        <v>5</v>
      </c>
      <c r="E2" s="38">
        <v>1.61</v>
      </c>
      <c r="F2" s="47">
        <v>0.625</v>
      </c>
      <c r="G2" s="49">
        <v>0</v>
      </c>
      <c r="H2" s="38">
        <v>1294.8848</v>
      </c>
      <c r="I2" s="51">
        <v>9.9453517665130573E-4</v>
      </c>
      <c r="J2" s="54">
        <v>9.9453517665130574E-6</v>
      </c>
      <c r="K2" s="54">
        <v>3.978140706605223E-6</v>
      </c>
      <c r="L2" s="54">
        <v>1.1536608049155146E-4</v>
      </c>
      <c r="M2" s="56">
        <v>12</v>
      </c>
      <c r="N2" s="54">
        <v>1.7759556725916175E-10</v>
      </c>
      <c r="O2" s="54">
        <v>5.1502714505156903E-9</v>
      </c>
      <c r="P2" s="54">
        <v>5.327867017774852E-9</v>
      </c>
      <c r="Q2" s="31">
        <v>5.3278670177748519E-3</v>
      </c>
    </row>
    <row r="3" spans="1:17" x14ac:dyDescent="0.25">
      <c r="A3" s="38" t="s">
        <v>13</v>
      </c>
      <c r="B3" s="42" t="s">
        <v>19</v>
      </c>
      <c r="C3" s="37" t="s">
        <v>4</v>
      </c>
      <c r="D3" s="37" t="s">
        <v>5</v>
      </c>
      <c r="E3" s="38">
        <v>1.57</v>
      </c>
      <c r="F3" s="47">
        <v>0.63888888888888895</v>
      </c>
      <c r="G3" s="49">
        <v>20.000000000000089</v>
      </c>
      <c r="H3" s="38">
        <v>3251.04</v>
      </c>
      <c r="I3" s="51">
        <v>2.4969585253456221E-3</v>
      </c>
      <c r="J3" s="54">
        <v>2.496958525345622E-5</v>
      </c>
      <c r="K3" s="54">
        <v>9.987834101382489E-6</v>
      </c>
      <c r="L3" s="54">
        <v>2.8964718894009217E-4</v>
      </c>
      <c r="M3" s="56">
        <v>12</v>
      </c>
      <c r="N3" s="54">
        <v>4.4588545095457542E-10</v>
      </c>
      <c r="O3" s="54">
        <v>1.2930678077682687E-8</v>
      </c>
      <c r="P3" s="54">
        <v>1.3554159095896424E-8</v>
      </c>
      <c r="Q3" s="31">
        <v>1.3554159095896424E-2</v>
      </c>
    </row>
    <row r="4" spans="1:17" x14ac:dyDescent="0.25">
      <c r="A4" s="38" t="s">
        <v>13</v>
      </c>
      <c r="B4" s="42" t="s">
        <v>19</v>
      </c>
      <c r="C4" s="37" t="s">
        <v>4</v>
      </c>
      <c r="D4" s="37" t="s">
        <v>5</v>
      </c>
      <c r="E4" s="38">
        <v>1.5860000000000001</v>
      </c>
      <c r="F4" s="47">
        <v>0.66527777777777775</v>
      </c>
      <c r="G4" s="49">
        <v>57.999999999999957</v>
      </c>
      <c r="H4" s="38">
        <v>5796.3230000000003</v>
      </c>
      <c r="I4" s="51">
        <v>4.4518609831029187E-3</v>
      </c>
      <c r="J4" s="54">
        <v>4.451860983102919E-5</v>
      </c>
      <c r="K4" s="54">
        <v>1.7807443932411675E-5</v>
      </c>
      <c r="L4" s="54">
        <v>5.1641587403993862E-4</v>
      </c>
      <c r="M4" s="56">
        <v>12</v>
      </c>
      <c r="N4" s="54">
        <v>7.9497517555409271E-10</v>
      </c>
      <c r="O4" s="54">
        <v>2.305428009106869E-8</v>
      </c>
      <c r="P4" s="54">
        <v>2.4472736284836519E-8</v>
      </c>
      <c r="Q4" s="31">
        <v>2.4472736284836521E-2</v>
      </c>
    </row>
    <row r="5" spans="1:17" x14ac:dyDescent="0.25">
      <c r="A5" s="38" t="s">
        <v>13</v>
      </c>
      <c r="B5" s="42" t="s">
        <v>19</v>
      </c>
      <c r="C5" s="37" t="s">
        <v>4</v>
      </c>
      <c r="D5" s="37" t="s">
        <v>5</v>
      </c>
      <c r="E5" s="38">
        <v>1.583</v>
      </c>
      <c r="F5" s="47">
        <v>0.68611111111111101</v>
      </c>
      <c r="G5" s="49">
        <v>87.999999999999844</v>
      </c>
      <c r="H5" s="38">
        <v>10290.486000000001</v>
      </c>
      <c r="I5" s="51">
        <v>7.903599078341015E-3</v>
      </c>
      <c r="J5" s="54">
        <v>7.9035990783410154E-5</v>
      </c>
      <c r="K5" s="54">
        <v>3.1614396313364063E-5</v>
      </c>
      <c r="L5" s="54">
        <v>9.1681749308755776E-4</v>
      </c>
      <c r="M5" s="56">
        <v>12</v>
      </c>
      <c r="N5" s="54">
        <v>1.4113569782751816E-9</v>
      </c>
      <c r="O5" s="54">
        <v>4.0929352369980261E-8</v>
      </c>
      <c r="P5" s="54">
        <v>4.375916554202327E-8</v>
      </c>
      <c r="Q5" s="31">
        <v>4.3759165542023269E-2</v>
      </c>
    </row>
    <row r="6" spans="1:17" x14ac:dyDescent="0.25">
      <c r="A6" s="38" t="s">
        <v>8</v>
      </c>
      <c r="B6" s="42" t="s">
        <v>20</v>
      </c>
      <c r="C6" s="37" t="s">
        <v>4</v>
      </c>
      <c r="D6" s="37" t="s">
        <v>5</v>
      </c>
      <c r="E6" s="38">
        <v>1.5860000000000001</v>
      </c>
      <c r="F6" s="47">
        <v>0.63402777777777775</v>
      </c>
      <c r="G6" s="49">
        <v>0</v>
      </c>
      <c r="H6" s="38">
        <v>551.91319999999996</v>
      </c>
      <c r="I6" s="51">
        <v>4.2389646697388631E-4</v>
      </c>
      <c r="J6" s="54">
        <v>4.2389646697388635E-6</v>
      </c>
      <c r="K6" s="54">
        <v>1.6955858678955455E-6</v>
      </c>
      <c r="L6" s="54">
        <v>4.9171990168970817E-5</v>
      </c>
      <c r="M6" s="56">
        <v>12</v>
      </c>
      <c r="N6" s="54">
        <v>7.5695797673908289E-11</v>
      </c>
      <c r="O6" s="54">
        <v>2.1951781325433405E-9</v>
      </c>
      <c r="P6" s="54">
        <v>2.2708739302172486E-9</v>
      </c>
      <c r="Q6" s="31">
        <v>2.2708739302172488E-3</v>
      </c>
    </row>
    <row r="7" spans="1:17" x14ac:dyDescent="0.25">
      <c r="A7" s="38" t="s">
        <v>8</v>
      </c>
      <c r="B7" s="42" t="s">
        <v>20</v>
      </c>
      <c r="C7" s="37" t="s">
        <v>4</v>
      </c>
      <c r="D7" s="37" t="s">
        <v>5</v>
      </c>
      <c r="E7" s="38">
        <v>1.6</v>
      </c>
      <c r="F7" s="47">
        <v>0.64930555555555558</v>
      </c>
      <c r="G7" s="49">
        <v>22.000000000000082</v>
      </c>
      <c r="H7" s="38">
        <v>1698.7683999999999</v>
      </c>
      <c r="I7" s="51">
        <v>1.3047376344086021E-3</v>
      </c>
      <c r="J7" s="54">
        <v>1.3047376344086021E-5</v>
      </c>
      <c r="K7" s="54">
        <v>5.218950537634409E-6</v>
      </c>
      <c r="L7" s="54">
        <v>1.5134956559139783E-4</v>
      </c>
      <c r="M7" s="56">
        <v>12</v>
      </c>
      <c r="N7" s="54">
        <v>2.3298886328725042E-10</v>
      </c>
      <c r="O7" s="54">
        <v>6.7566770353302605E-9</v>
      </c>
      <c r="P7" s="54">
        <v>7.0653616962914195E-9</v>
      </c>
      <c r="Q7" s="31">
        <v>7.0653616962914195E-3</v>
      </c>
    </row>
    <row r="8" spans="1:17" x14ac:dyDescent="0.25">
      <c r="A8" s="38" t="s">
        <v>8</v>
      </c>
      <c r="B8" s="42" t="s">
        <v>20</v>
      </c>
      <c r="C8" s="37" t="s">
        <v>4</v>
      </c>
      <c r="D8" s="37" t="s">
        <v>5</v>
      </c>
      <c r="E8" s="38">
        <v>1.59</v>
      </c>
      <c r="F8" s="47">
        <v>0.67361111111111116</v>
      </c>
      <c r="G8" s="49">
        <v>57.000000000000114</v>
      </c>
      <c r="H8" s="38">
        <v>3284.0284000000001</v>
      </c>
      <c r="I8" s="51">
        <v>2.5222952380952383E-3</v>
      </c>
      <c r="J8" s="54">
        <v>2.5222952380952385E-5</v>
      </c>
      <c r="K8" s="54">
        <v>1.0089180952380954E-5</v>
      </c>
      <c r="L8" s="54">
        <v>2.9258624761904767E-4</v>
      </c>
      <c r="M8" s="56">
        <v>12</v>
      </c>
      <c r="N8" s="54">
        <v>4.5040986394557836E-10</v>
      </c>
      <c r="O8" s="54">
        <v>1.3061886054421771E-8</v>
      </c>
      <c r="P8" s="54">
        <v>1.3820980579328507E-8</v>
      </c>
      <c r="Q8" s="31">
        <v>1.3820980579328507E-2</v>
      </c>
    </row>
    <row r="9" spans="1:17" x14ac:dyDescent="0.25">
      <c r="A9" s="38" t="s">
        <v>8</v>
      </c>
      <c r="B9" s="42" t="s">
        <v>20</v>
      </c>
      <c r="C9" s="37" t="s">
        <v>4</v>
      </c>
      <c r="D9" s="37" t="s">
        <v>5</v>
      </c>
      <c r="E9" s="38">
        <v>1.603</v>
      </c>
      <c r="F9" s="47">
        <v>0.6958333333333333</v>
      </c>
      <c r="G9" s="49">
        <v>89</v>
      </c>
      <c r="H9" s="38">
        <v>4771.1891999999998</v>
      </c>
      <c r="I9" s="51">
        <v>3.6645078341013822E-3</v>
      </c>
      <c r="J9" s="54">
        <v>3.6645078341013824E-5</v>
      </c>
      <c r="K9" s="54">
        <v>1.4658031336405531E-5</v>
      </c>
      <c r="L9" s="54">
        <v>4.2508290875576033E-4</v>
      </c>
      <c r="M9" s="56">
        <v>12</v>
      </c>
      <c r="N9" s="54">
        <v>6.5437639894667551E-10</v>
      </c>
      <c r="O9" s="54">
        <v>1.8976915569453588E-8</v>
      </c>
      <c r="P9" s="54">
        <v>2.0390386493307002E-8</v>
      </c>
      <c r="Q9" s="31">
        <v>2.0390386493307003E-2</v>
      </c>
    </row>
    <row r="10" spans="1:17" x14ac:dyDescent="0.25">
      <c r="A10" s="38" t="s">
        <v>9</v>
      </c>
      <c r="B10" s="42" t="s">
        <v>51</v>
      </c>
      <c r="C10" s="37" t="s">
        <v>10</v>
      </c>
      <c r="D10" s="37" t="s">
        <v>5</v>
      </c>
      <c r="E10" s="38">
        <v>1.5960000000000001</v>
      </c>
      <c r="F10" s="47">
        <v>0.64027777777777783</v>
      </c>
      <c r="G10" s="49">
        <v>0</v>
      </c>
      <c r="H10" s="38">
        <v>2269.0118000000002</v>
      </c>
      <c r="I10" s="51">
        <v>1.7427125960061446E-3</v>
      </c>
      <c r="J10" s="54">
        <v>1.7427125960061447E-5</v>
      </c>
      <c r="K10" s="54">
        <v>6.9708503840245793E-6</v>
      </c>
      <c r="L10" s="54">
        <v>2.0215466113671278E-4</v>
      </c>
      <c r="M10" s="56">
        <v>12</v>
      </c>
      <c r="N10" s="54">
        <v>3.1119867785824016E-10</v>
      </c>
      <c r="O10" s="54">
        <v>9.0247616578889645E-9</v>
      </c>
      <c r="P10" s="54">
        <v>9.3359603357472047E-9</v>
      </c>
      <c r="Q10" s="31">
        <v>9.3359603357472051E-3</v>
      </c>
    </row>
    <row r="11" spans="1:17" x14ac:dyDescent="0.25">
      <c r="A11" s="38" t="s">
        <v>9</v>
      </c>
      <c r="B11" s="42" t="s">
        <v>51</v>
      </c>
      <c r="C11" s="37" t="s">
        <v>10</v>
      </c>
      <c r="D11" s="37" t="s">
        <v>5</v>
      </c>
      <c r="E11" s="38">
        <v>1.58</v>
      </c>
      <c r="F11" s="47">
        <v>0.65833333333333333</v>
      </c>
      <c r="G11" s="49">
        <v>25.999999999999908</v>
      </c>
      <c r="H11" s="38">
        <v>5806.4668000000001</v>
      </c>
      <c r="I11" s="51">
        <v>4.4596519201228878E-3</v>
      </c>
      <c r="J11" s="54">
        <v>4.4596519201228876E-5</v>
      </c>
      <c r="K11" s="54">
        <v>1.783860768049155E-5</v>
      </c>
      <c r="L11" s="54">
        <v>5.1731962273425492E-4</v>
      </c>
      <c r="M11" s="56">
        <v>12</v>
      </c>
      <c r="N11" s="54">
        <v>7.9636641430765848E-10</v>
      </c>
      <c r="O11" s="54">
        <v>2.3094626014922096E-8</v>
      </c>
      <c r="P11" s="54">
        <v>2.4202191107087995E-8</v>
      </c>
      <c r="Q11" s="31">
        <v>2.4202191107087996E-2</v>
      </c>
    </row>
    <row r="12" spans="1:17" x14ac:dyDescent="0.25">
      <c r="A12" s="38" t="s">
        <v>9</v>
      </c>
      <c r="B12" s="42" t="s">
        <v>51</v>
      </c>
      <c r="C12" s="37" t="s">
        <v>10</v>
      </c>
      <c r="D12" s="37" t="s">
        <v>5</v>
      </c>
      <c r="E12" s="38">
        <v>1.5860000000000001</v>
      </c>
      <c r="F12" s="47">
        <v>0.6875</v>
      </c>
      <c r="G12" s="49">
        <v>67.999999999999915</v>
      </c>
      <c r="H12" s="38">
        <v>10671.821599999999</v>
      </c>
      <c r="I12" s="51">
        <v>8.1964835637480787E-3</v>
      </c>
      <c r="J12" s="54">
        <v>8.1964835637480792E-5</v>
      </c>
      <c r="K12" s="54">
        <v>3.2785934254992317E-5</v>
      </c>
      <c r="L12" s="54">
        <v>9.5079209339477716E-4</v>
      </c>
      <c r="M12" s="56">
        <v>12</v>
      </c>
      <c r="N12" s="54">
        <v>1.4636577792407286E-9</v>
      </c>
      <c r="O12" s="54">
        <v>4.2446075597981129E-8</v>
      </c>
      <c r="P12" s="54">
        <v>4.5017298469387756E-8</v>
      </c>
      <c r="Q12" s="31">
        <v>4.5017298469387755E-2</v>
      </c>
    </row>
    <row r="13" spans="1:17" x14ac:dyDescent="0.25">
      <c r="A13" s="38" t="s">
        <v>9</v>
      </c>
      <c r="B13" s="42" t="s">
        <v>51</v>
      </c>
      <c r="C13" s="37" t="s">
        <v>10</v>
      </c>
      <c r="D13" s="37" t="s">
        <v>5</v>
      </c>
      <c r="E13" s="38">
        <v>1.5960000000000001</v>
      </c>
      <c r="F13" s="47">
        <v>0.71805555555555556</v>
      </c>
      <c r="G13" s="49">
        <v>111.99999999999991</v>
      </c>
      <c r="H13" s="38">
        <v>12076.707200000001</v>
      </c>
      <c r="I13" s="51">
        <v>9.2755047619047619E-3</v>
      </c>
      <c r="J13" s="54">
        <v>9.2755047619047623E-5</v>
      </c>
      <c r="K13" s="54">
        <v>3.7102019047619051E-5</v>
      </c>
      <c r="L13" s="54">
        <v>1.0759585523809523E-3</v>
      </c>
      <c r="M13" s="56">
        <v>12</v>
      </c>
      <c r="N13" s="54">
        <v>1.656340136054422E-9</v>
      </c>
      <c r="O13" s="54">
        <v>4.8033863945578227E-8</v>
      </c>
      <c r="P13" s="54">
        <v>5.2261426953039277E-8</v>
      </c>
      <c r="Q13" s="31">
        <v>5.2261426953039279E-2</v>
      </c>
    </row>
    <row r="14" spans="1:17" x14ac:dyDescent="0.25">
      <c r="A14" s="38" t="s">
        <v>11</v>
      </c>
      <c r="B14" s="42" t="s">
        <v>52</v>
      </c>
      <c r="C14" s="37" t="s">
        <v>10</v>
      </c>
      <c r="D14" s="37" t="s">
        <v>5</v>
      </c>
      <c r="E14" s="38">
        <v>1.6</v>
      </c>
      <c r="F14" s="47">
        <v>0.64097222222222217</v>
      </c>
      <c r="G14" s="49">
        <v>0</v>
      </c>
      <c r="H14" s="38">
        <v>67.824600000000004</v>
      </c>
      <c r="I14" s="51">
        <v>5.20926267281106E-5</v>
      </c>
      <c r="J14" s="54">
        <v>5.2092626728110605E-7</v>
      </c>
      <c r="K14" s="54">
        <v>2.0837050691244243E-7</v>
      </c>
      <c r="L14" s="54">
        <v>6.0427447004608297E-6</v>
      </c>
      <c r="M14" s="56">
        <v>12</v>
      </c>
      <c r="N14" s="54">
        <v>9.3022547728768954E-12</v>
      </c>
      <c r="O14" s="54">
        <v>2.6976538841342993E-10</v>
      </c>
      <c r="P14" s="54">
        <v>2.7906764318630683E-10</v>
      </c>
      <c r="Q14" s="31">
        <v>2.7906764318630682E-4</v>
      </c>
    </row>
    <row r="15" spans="1:17" x14ac:dyDescent="0.25">
      <c r="A15" s="38" t="s">
        <v>11</v>
      </c>
      <c r="B15" s="42" t="s">
        <v>52</v>
      </c>
      <c r="C15" s="37" t="s">
        <v>10</v>
      </c>
      <c r="D15" s="37" t="s">
        <v>5</v>
      </c>
      <c r="E15" s="38">
        <v>1.6060000000000001</v>
      </c>
      <c r="F15" s="47">
        <v>0.66180555555555554</v>
      </c>
      <c r="G15" s="49">
        <v>30.000000000000053</v>
      </c>
      <c r="H15" s="38">
        <v>145.7304</v>
      </c>
      <c r="I15" s="51">
        <v>1.1192811059907835E-4</v>
      </c>
      <c r="J15" s="54">
        <v>1.1192811059907835E-6</v>
      </c>
      <c r="K15" s="54">
        <v>4.4771244239631342E-7</v>
      </c>
      <c r="L15" s="54">
        <v>1.2983660829493088E-5</v>
      </c>
      <c r="M15" s="56">
        <v>12</v>
      </c>
      <c r="N15" s="54">
        <v>1.998716260697828E-11</v>
      </c>
      <c r="O15" s="54">
        <v>5.7962771560237003E-10</v>
      </c>
      <c r="P15" s="54">
        <v>6.089171329822252E-10</v>
      </c>
      <c r="Q15" s="31">
        <v>6.0891713298222522E-4</v>
      </c>
    </row>
    <row r="16" spans="1:17" x14ac:dyDescent="0.25">
      <c r="A16" s="38" t="s">
        <v>11</v>
      </c>
      <c r="B16" s="42" t="s">
        <v>52</v>
      </c>
      <c r="C16" s="37" t="s">
        <v>10</v>
      </c>
      <c r="D16" s="37" t="s">
        <v>5</v>
      </c>
      <c r="E16" s="38">
        <v>1.61</v>
      </c>
      <c r="F16" s="47">
        <v>0.68194444444444446</v>
      </c>
      <c r="G16" s="49">
        <v>59.000000000000114</v>
      </c>
      <c r="H16" s="38">
        <v>356.74119999999999</v>
      </c>
      <c r="I16" s="51">
        <v>2.7399477726574499E-4</v>
      </c>
      <c r="J16" s="54">
        <v>2.7399477726574499E-6</v>
      </c>
      <c r="K16" s="54">
        <v>1.09597910906298E-6</v>
      </c>
      <c r="L16" s="54">
        <v>3.1783394162826419E-5</v>
      </c>
      <c r="M16" s="56">
        <v>12</v>
      </c>
      <c r="N16" s="54">
        <v>4.8927638797454468E-11</v>
      </c>
      <c r="O16" s="54">
        <v>1.4189015251261796E-9</v>
      </c>
      <c r="P16" s="54">
        <v>1.4971185813034892E-9</v>
      </c>
      <c r="Q16" s="31">
        <v>1.4971185813034893E-3</v>
      </c>
    </row>
    <row r="17" spans="1:17" x14ac:dyDescent="0.25">
      <c r="A17" s="38" t="s">
        <v>11</v>
      </c>
      <c r="B17" s="42" t="s">
        <v>52</v>
      </c>
      <c r="C17" s="37" t="s">
        <v>10</v>
      </c>
      <c r="D17" s="37" t="s">
        <v>5</v>
      </c>
      <c r="E17" s="38">
        <v>1.62</v>
      </c>
      <c r="F17" s="47">
        <v>0.7055555555555556</v>
      </c>
      <c r="G17" s="49">
        <v>93.000000000000142</v>
      </c>
      <c r="H17" s="38">
        <v>518.27560000000005</v>
      </c>
      <c r="I17" s="51">
        <v>3.9806113671274964E-4</v>
      </c>
      <c r="J17" s="54">
        <v>3.9806113671274961E-6</v>
      </c>
      <c r="K17" s="54">
        <v>1.5922445468509985E-6</v>
      </c>
      <c r="L17" s="54">
        <v>4.6175091858678952E-5</v>
      </c>
      <c r="M17" s="56">
        <v>12</v>
      </c>
      <c r="N17" s="54">
        <v>7.1082345841562432E-11</v>
      </c>
      <c r="O17" s="54">
        <v>2.0613880294053102E-9</v>
      </c>
      <c r="P17" s="54">
        <v>2.2106874314241824E-9</v>
      </c>
      <c r="Q17" s="31">
        <v>2.2106874314241822E-3</v>
      </c>
    </row>
    <row r="18" spans="1:17" x14ac:dyDescent="0.25">
      <c r="A18" s="38" t="s">
        <v>12</v>
      </c>
      <c r="B18" s="42" t="s">
        <v>22</v>
      </c>
      <c r="C18" s="37" t="s">
        <v>4</v>
      </c>
      <c r="D18" s="37" t="s">
        <v>5</v>
      </c>
      <c r="E18" s="38">
        <v>1.59</v>
      </c>
      <c r="F18" s="47">
        <v>0.64930555555555558</v>
      </c>
      <c r="G18" s="49">
        <v>0</v>
      </c>
      <c r="H18" s="38">
        <v>3809.3627999999999</v>
      </c>
      <c r="I18" s="51">
        <v>2.9257778801843317E-3</v>
      </c>
      <c r="J18" s="54">
        <v>2.9257778801843319E-5</v>
      </c>
      <c r="K18" s="54">
        <v>1.1703111520737328E-5</v>
      </c>
      <c r="L18" s="54">
        <v>3.393902341013825E-4</v>
      </c>
      <c r="M18" s="56">
        <v>12</v>
      </c>
      <c r="N18" s="54">
        <v>5.2246033574720219E-10</v>
      </c>
      <c r="O18" s="54">
        <v>1.5151349736668862E-8</v>
      </c>
      <c r="P18" s="54">
        <v>1.5673810072416064E-8</v>
      </c>
      <c r="Q18" s="31">
        <v>1.5673810072416063E-2</v>
      </c>
    </row>
    <row r="19" spans="1:17" x14ac:dyDescent="0.25">
      <c r="A19" s="38" t="s">
        <v>12</v>
      </c>
      <c r="B19" s="42" t="s">
        <v>22</v>
      </c>
      <c r="C19" s="37" t="s">
        <v>4</v>
      </c>
      <c r="D19" s="37" t="s">
        <v>5</v>
      </c>
      <c r="E19" s="38">
        <v>1.5860000000000001</v>
      </c>
      <c r="F19" s="47">
        <v>0.66736111111111107</v>
      </c>
      <c r="G19" s="49">
        <v>25.999999999999908</v>
      </c>
      <c r="H19" s="38">
        <v>8017.0367999999999</v>
      </c>
      <c r="I19" s="51">
        <v>6.1574783410138249E-3</v>
      </c>
      <c r="J19" s="54">
        <v>6.1574783410138251E-5</v>
      </c>
      <c r="K19" s="54">
        <v>2.4629913364055301E-5</v>
      </c>
      <c r="L19" s="54">
        <v>7.1426748755760365E-4</v>
      </c>
      <c r="M19" s="56">
        <v>12</v>
      </c>
      <c r="N19" s="54">
        <v>1.099549703752469E-9</v>
      </c>
      <c r="O19" s="54">
        <v>3.1886941408821588E-8</v>
      </c>
      <c r="P19" s="54">
        <v>3.3508951448321258E-8</v>
      </c>
      <c r="Q19" s="31">
        <v>3.3508951448321257E-2</v>
      </c>
    </row>
    <row r="20" spans="1:17" x14ac:dyDescent="0.25">
      <c r="A20" s="38" t="s">
        <v>12</v>
      </c>
      <c r="B20" s="42" t="s">
        <v>22</v>
      </c>
      <c r="C20" s="37" t="s">
        <v>4</v>
      </c>
      <c r="D20" s="37" t="s">
        <v>5</v>
      </c>
      <c r="E20" s="38">
        <v>1.58</v>
      </c>
      <c r="F20" s="47">
        <v>0.69166666666666676</v>
      </c>
      <c r="G20" s="49">
        <v>61.000000000000099</v>
      </c>
      <c r="H20" s="38">
        <v>13152.611199999999</v>
      </c>
      <c r="I20" s="51">
        <v>1.0101851920122888E-2</v>
      </c>
      <c r="J20" s="54">
        <v>1.0101851920122887E-4</v>
      </c>
      <c r="K20" s="54">
        <v>4.0407407680491553E-5</v>
      </c>
      <c r="L20" s="54">
        <v>1.1718148227342548E-3</v>
      </c>
      <c r="M20" s="56">
        <v>12</v>
      </c>
      <c r="N20" s="54">
        <v>1.8039021285933729E-9</v>
      </c>
      <c r="O20" s="54">
        <v>5.2313161729207814E-8</v>
      </c>
      <c r="P20" s="54">
        <v>5.5739073897300859E-8</v>
      </c>
      <c r="Q20" s="31">
        <v>5.5739073897300859E-2</v>
      </c>
    </row>
    <row r="21" spans="1:17" x14ac:dyDescent="0.25">
      <c r="A21" s="38" t="s">
        <v>12</v>
      </c>
      <c r="B21" s="42" t="s">
        <v>22</v>
      </c>
      <c r="C21" s="37" t="s">
        <v>4</v>
      </c>
      <c r="D21" s="37" t="s">
        <v>5</v>
      </c>
      <c r="E21" s="38">
        <v>1.5960000000000001</v>
      </c>
      <c r="F21" s="47">
        <v>0.71250000000000002</v>
      </c>
      <c r="G21" s="49">
        <v>91</v>
      </c>
      <c r="H21" s="38">
        <v>13940.606299999999</v>
      </c>
      <c r="I21" s="51">
        <v>1.0707070890937019E-2</v>
      </c>
      <c r="J21" s="54">
        <v>1.0707070890937019E-4</v>
      </c>
      <c r="K21" s="54">
        <v>4.2828283563748075E-5</v>
      </c>
      <c r="L21" s="54">
        <v>1.2420202233486941E-3</v>
      </c>
      <c r="M21" s="56">
        <v>12</v>
      </c>
      <c r="N21" s="54">
        <v>1.9119769448101821E-9</v>
      </c>
      <c r="O21" s="54">
        <v>5.5447331399495277E-8</v>
      </c>
      <c r="P21" s="54">
        <v>6.0785220512398502E-8</v>
      </c>
      <c r="Q21" s="31">
        <v>6.07852205123985E-2</v>
      </c>
    </row>
    <row r="22" spans="1:17" x14ac:dyDescent="0.25">
      <c r="A22" s="38" t="s">
        <v>14</v>
      </c>
      <c r="B22" s="42" t="s">
        <v>53</v>
      </c>
      <c r="C22" s="37" t="s">
        <v>10</v>
      </c>
      <c r="D22" s="37" t="s">
        <v>5</v>
      </c>
      <c r="E22" s="38">
        <v>1.52</v>
      </c>
      <c r="F22" s="47">
        <v>0.65347222222222223</v>
      </c>
      <c r="G22" s="49">
        <v>0</v>
      </c>
      <c r="H22" s="38">
        <v>3062.64</v>
      </c>
      <c r="I22" s="51">
        <v>2.3522580645161289E-3</v>
      </c>
      <c r="J22" s="54">
        <v>2.3522580645161289E-5</v>
      </c>
      <c r="K22" s="54">
        <v>9.4090322580645168E-6</v>
      </c>
      <c r="L22" s="54">
        <v>2.7286193548387092E-4</v>
      </c>
      <c r="M22" s="56">
        <v>12</v>
      </c>
      <c r="N22" s="54">
        <v>4.2004608294930883E-10</v>
      </c>
      <c r="O22" s="54">
        <v>1.2181336405529952E-8</v>
      </c>
      <c r="P22" s="54">
        <v>1.2601382488479261E-8</v>
      </c>
      <c r="Q22" s="31">
        <v>1.2601382488479262E-2</v>
      </c>
    </row>
    <row r="23" spans="1:17" x14ac:dyDescent="0.25">
      <c r="A23" s="38" t="s">
        <v>14</v>
      </c>
      <c r="B23" s="42" t="s">
        <v>53</v>
      </c>
      <c r="C23" s="37" t="s">
        <v>10</v>
      </c>
      <c r="D23" s="37" t="s">
        <v>5</v>
      </c>
      <c r="E23" s="38">
        <v>1.5860000000000001</v>
      </c>
      <c r="F23" s="47">
        <v>0.67847222222222225</v>
      </c>
      <c r="G23" s="49">
        <v>36.000000000000028</v>
      </c>
      <c r="H23" s="38">
        <v>6777.4516000000003</v>
      </c>
      <c r="I23" s="51">
        <v>5.2054159754224274E-3</v>
      </c>
      <c r="J23" s="54">
        <v>5.2054159754224274E-5</v>
      </c>
      <c r="K23" s="54">
        <v>2.082166390168971E-5</v>
      </c>
      <c r="L23" s="54">
        <v>6.0382825314900159E-4</v>
      </c>
      <c r="M23" s="56">
        <v>12</v>
      </c>
      <c r="N23" s="54">
        <v>9.2953856703971923E-10</v>
      </c>
      <c r="O23" s="54">
        <v>2.6956618444151859E-8</v>
      </c>
      <c r="P23" s="54">
        <v>2.8306203094140887E-8</v>
      </c>
      <c r="Q23" s="31">
        <v>2.8306203094140888E-2</v>
      </c>
    </row>
    <row r="24" spans="1:17" x14ac:dyDescent="0.25">
      <c r="A24" s="38" t="s">
        <v>14</v>
      </c>
      <c r="B24" s="42" t="s">
        <v>53</v>
      </c>
      <c r="C24" s="37" t="s">
        <v>10</v>
      </c>
      <c r="D24" s="37" t="s">
        <v>5</v>
      </c>
      <c r="E24" s="38">
        <v>1.59</v>
      </c>
      <c r="F24" s="47">
        <v>0.7006944444444444</v>
      </c>
      <c r="G24" s="49">
        <v>67.999999999999915</v>
      </c>
      <c r="H24" s="38">
        <v>9762.7055999999993</v>
      </c>
      <c r="I24" s="51">
        <v>7.4982377880184322E-3</v>
      </c>
      <c r="J24" s="54">
        <v>7.4982377880184319E-5</v>
      </c>
      <c r="K24" s="54">
        <v>2.9992951152073729E-5</v>
      </c>
      <c r="L24" s="54">
        <v>8.6979558341013805E-4</v>
      </c>
      <c r="M24" s="56">
        <v>12</v>
      </c>
      <c r="N24" s="54">
        <v>1.3389710335747202E-9</v>
      </c>
      <c r="O24" s="54">
        <v>3.883015997366688E-8</v>
      </c>
      <c r="P24" s="54">
        <v>4.1518715657230626E-8</v>
      </c>
      <c r="Q24" s="31">
        <v>4.1518715657230629E-2</v>
      </c>
    </row>
    <row r="25" spans="1:17" x14ac:dyDescent="0.25">
      <c r="A25" s="38" t="s">
        <v>14</v>
      </c>
      <c r="B25" s="42" t="s">
        <v>53</v>
      </c>
      <c r="C25" s="37" t="s">
        <v>10</v>
      </c>
      <c r="D25" s="37" t="s">
        <v>5</v>
      </c>
      <c r="E25" s="38">
        <v>1.5960000000000001</v>
      </c>
      <c r="F25" s="47">
        <v>0.72361111111111109</v>
      </c>
      <c r="G25" s="49">
        <v>100.99999999999997</v>
      </c>
      <c r="H25" s="38">
        <v>11051.813399999999</v>
      </c>
      <c r="I25" s="51">
        <v>8.4883359447004599E-3</v>
      </c>
      <c r="J25" s="54">
        <v>8.4883359447004598E-5</v>
      </c>
      <c r="K25" s="54">
        <v>3.3953343778801838E-5</v>
      </c>
      <c r="L25" s="54">
        <v>9.8464696958525328E-4</v>
      </c>
      <c r="M25" s="56">
        <v>12</v>
      </c>
      <c r="N25" s="54">
        <v>1.5157742758393678E-9</v>
      </c>
      <c r="O25" s="54">
        <v>4.3957453999341664E-8</v>
      </c>
      <c r="P25" s="54">
        <v>4.8161783958744779E-8</v>
      </c>
      <c r="Q25" s="31">
        <v>4.8161783958744778E-2</v>
      </c>
    </row>
    <row r="26" spans="1:17" x14ac:dyDescent="0.25">
      <c r="A26" s="38" t="s">
        <v>13</v>
      </c>
      <c r="B26" s="42" t="s">
        <v>19</v>
      </c>
      <c r="C26" s="37" t="s">
        <v>4</v>
      </c>
      <c r="D26" t="s">
        <v>6</v>
      </c>
      <c r="E26" s="42">
        <v>2.59</v>
      </c>
      <c r="F26" s="46">
        <v>0.625</v>
      </c>
      <c r="G26" s="49">
        <v>0</v>
      </c>
      <c r="H26" s="42">
        <v>109991.2084</v>
      </c>
      <c r="I26" s="52"/>
      <c r="J26" s="52"/>
      <c r="K26" s="53"/>
      <c r="L26" s="55"/>
      <c r="M26" s="53"/>
      <c r="N26" s="53"/>
      <c r="O26" s="53"/>
      <c r="P26" s="53"/>
      <c r="Q26" s="57"/>
    </row>
    <row r="27" spans="1:17" x14ac:dyDescent="0.25">
      <c r="A27" s="38" t="s">
        <v>13</v>
      </c>
      <c r="B27" s="42" t="s">
        <v>19</v>
      </c>
      <c r="C27" s="37" t="s">
        <v>4</v>
      </c>
      <c r="D27" t="s">
        <v>6</v>
      </c>
      <c r="E27" s="42">
        <v>2.5659999999999998</v>
      </c>
      <c r="F27" s="47">
        <v>0.63888888888888895</v>
      </c>
      <c r="G27" s="49">
        <v>20.000000000000089</v>
      </c>
      <c r="H27" s="42">
        <v>110180.9087</v>
      </c>
      <c r="I27" s="53"/>
      <c r="J27" s="53"/>
      <c r="K27" s="53"/>
      <c r="L27" s="53"/>
      <c r="M27" s="53"/>
      <c r="N27" s="53"/>
      <c r="O27" s="53"/>
      <c r="P27" s="53"/>
      <c r="Q27" s="57"/>
    </row>
    <row r="28" spans="1:17" x14ac:dyDescent="0.25">
      <c r="A28" s="38" t="s">
        <v>13</v>
      </c>
      <c r="B28" s="42" t="s">
        <v>19</v>
      </c>
      <c r="C28" s="37" t="s">
        <v>4</v>
      </c>
      <c r="D28" t="s">
        <v>6</v>
      </c>
      <c r="E28" s="42">
        <v>2.6259999999999999</v>
      </c>
      <c r="F28" s="47">
        <v>0.66527777777777775</v>
      </c>
      <c r="G28" s="49">
        <v>57.999999999999957</v>
      </c>
      <c r="H28" s="42">
        <v>80191.481100000005</v>
      </c>
      <c r="I28" s="53"/>
      <c r="J28" s="53"/>
      <c r="K28" s="53"/>
      <c r="L28" s="53"/>
      <c r="M28" s="53"/>
      <c r="N28" s="53"/>
      <c r="O28" s="53"/>
      <c r="P28" s="53"/>
      <c r="Q28" s="57"/>
    </row>
    <row r="29" spans="1:17" x14ac:dyDescent="0.25">
      <c r="A29" s="38" t="s">
        <v>13</v>
      </c>
      <c r="B29" s="42" t="s">
        <v>19</v>
      </c>
      <c r="C29" s="37" t="s">
        <v>4</v>
      </c>
      <c r="D29" t="s">
        <v>6</v>
      </c>
      <c r="E29" s="42">
        <v>2.6230000000000002</v>
      </c>
      <c r="F29" s="47">
        <v>0.68611111111111101</v>
      </c>
      <c r="G29" s="49">
        <v>87.999999999999844</v>
      </c>
      <c r="H29" s="42">
        <v>85755.907999999996</v>
      </c>
      <c r="I29" s="53"/>
      <c r="J29" s="53"/>
      <c r="K29" s="53"/>
      <c r="L29" s="53"/>
      <c r="M29" s="53"/>
      <c r="N29" s="53"/>
      <c r="O29" s="53"/>
      <c r="P29" s="53"/>
      <c r="Q29" s="57"/>
    </row>
    <row r="30" spans="1:17" x14ac:dyDescent="0.25">
      <c r="A30" s="38" t="s">
        <v>8</v>
      </c>
      <c r="B30" s="42" t="s">
        <v>20</v>
      </c>
      <c r="C30" s="37" t="s">
        <v>4</v>
      </c>
      <c r="D30" t="s">
        <v>6</v>
      </c>
      <c r="E30" s="42">
        <v>2.6</v>
      </c>
      <c r="F30" s="47">
        <v>0.63402777777777775</v>
      </c>
      <c r="G30" s="49">
        <v>0</v>
      </c>
      <c r="H30" s="42">
        <v>89324.996400000004</v>
      </c>
      <c r="I30" s="53"/>
      <c r="J30" s="53"/>
      <c r="K30" s="53"/>
      <c r="L30" s="53"/>
      <c r="M30" s="53"/>
      <c r="N30" s="53"/>
      <c r="O30" s="53"/>
      <c r="P30" s="53"/>
      <c r="Q30" s="57"/>
    </row>
    <row r="31" spans="1:17" x14ac:dyDescent="0.25">
      <c r="A31" s="38" t="s">
        <v>8</v>
      </c>
      <c r="B31" s="42" t="s">
        <v>20</v>
      </c>
      <c r="C31" s="37" t="s">
        <v>4</v>
      </c>
      <c r="D31" t="s">
        <v>6</v>
      </c>
      <c r="E31" s="42">
        <v>2.63</v>
      </c>
      <c r="F31" s="47">
        <v>0.64930555555555558</v>
      </c>
      <c r="G31" s="49">
        <v>22.000000000000082</v>
      </c>
      <c r="H31" s="42">
        <v>81358.33</v>
      </c>
      <c r="I31" s="53"/>
      <c r="J31" s="53"/>
      <c r="K31" s="53"/>
      <c r="L31" s="53"/>
      <c r="M31" s="53"/>
      <c r="N31" s="53"/>
      <c r="O31" s="53"/>
      <c r="P31" s="53"/>
      <c r="Q31" s="57"/>
    </row>
    <row r="32" spans="1:17" x14ac:dyDescent="0.25">
      <c r="A32" s="38" t="s">
        <v>8</v>
      </c>
      <c r="B32" s="42" t="s">
        <v>20</v>
      </c>
      <c r="C32" s="37" t="s">
        <v>4</v>
      </c>
      <c r="D32" t="s">
        <v>6</v>
      </c>
      <c r="E32" s="42">
        <v>2.62</v>
      </c>
      <c r="F32" s="47">
        <v>0.67361111111111116</v>
      </c>
      <c r="G32" s="49">
        <v>57.000000000000114</v>
      </c>
      <c r="H32" s="42">
        <v>86717.798999999999</v>
      </c>
      <c r="I32" s="53"/>
      <c r="J32" s="53"/>
      <c r="K32" s="53"/>
      <c r="L32" s="53"/>
      <c r="M32" s="53"/>
      <c r="N32" s="53"/>
      <c r="O32" s="53"/>
      <c r="P32" s="53"/>
      <c r="Q32" s="57"/>
    </row>
    <row r="33" spans="1:17" x14ac:dyDescent="0.25">
      <c r="A33" s="38" t="s">
        <v>8</v>
      </c>
      <c r="B33" s="42" t="s">
        <v>20</v>
      </c>
      <c r="C33" s="37" t="s">
        <v>4</v>
      </c>
      <c r="D33" t="s">
        <v>6</v>
      </c>
      <c r="E33" s="42">
        <v>2.6459999999999999</v>
      </c>
      <c r="F33" s="47">
        <v>0.6958333333333333</v>
      </c>
      <c r="G33" s="49">
        <v>89</v>
      </c>
      <c r="H33" s="42">
        <v>81262.527799999996</v>
      </c>
      <c r="I33" s="53"/>
      <c r="J33" s="53"/>
      <c r="K33" s="53"/>
      <c r="L33" s="53"/>
      <c r="M33" s="53"/>
      <c r="N33" s="53"/>
      <c r="O33" s="53"/>
      <c r="P33" s="53"/>
      <c r="Q33" s="57"/>
    </row>
    <row r="34" spans="1:17" x14ac:dyDescent="0.25">
      <c r="A34" s="38" t="s">
        <v>9</v>
      </c>
      <c r="B34" s="42" t="s">
        <v>51</v>
      </c>
      <c r="C34" s="37" t="s">
        <v>10</v>
      </c>
      <c r="D34" t="s">
        <v>6</v>
      </c>
      <c r="E34" s="42">
        <v>2.6230000000000002</v>
      </c>
      <c r="F34" s="47">
        <v>0.64027777777777783</v>
      </c>
      <c r="G34" s="49">
        <v>0</v>
      </c>
      <c r="H34" s="42">
        <v>87520.304999999993</v>
      </c>
      <c r="I34" s="52"/>
      <c r="J34" s="52"/>
      <c r="K34" s="53"/>
      <c r="L34" s="53"/>
      <c r="M34" s="53"/>
      <c r="N34" s="53"/>
      <c r="O34" s="53"/>
      <c r="P34" s="53"/>
      <c r="Q34" s="57"/>
    </row>
    <row r="35" spans="1:17" x14ac:dyDescent="0.25">
      <c r="A35" s="38" t="s">
        <v>9</v>
      </c>
      <c r="B35" s="42" t="s">
        <v>51</v>
      </c>
      <c r="C35" s="37" t="s">
        <v>10</v>
      </c>
      <c r="D35" t="s">
        <v>6</v>
      </c>
      <c r="E35" s="42">
        <v>2.6160000000000001</v>
      </c>
      <c r="F35" s="47">
        <v>0.65833333333333333</v>
      </c>
      <c r="G35" s="49">
        <v>25.999999999999908</v>
      </c>
      <c r="H35" s="42">
        <v>82112.981199999995</v>
      </c>
      <c r="I35" s="53"/>
      <c r="J35" s="53"/>
      <c r="K35" s="53"/>
      <c r="L35" s="53"/>
      <c r="M35" s="53"/>
      <c r="N35" s="53"/>
      <c r="O35" s="53"/>
      <c r="P35" s="53"/>
      <c r="Q35" s="57"/>
    </row>
    <row r="36" spans="1:17" x14ac:dyDescent="0.25">
      <c r="A36" s="38" t="s">
        <v>9</v>
      </c>
      <c r="B36" s="42" t="s">
        <v>51</v>
      </c>
      <c r="C36" s="37" t="s">
        <v>10</v>
      </c>
      <c r="D36" t="s">
        <v>6</v>
      </c>
      <c r="E36" s="42">
        <v>2.6459999999999999</v>
      </c>
      <c r="F36" s="47">
        <v>0.6875</v>
      </c>
      <c r="G36" s="49">
        <v>67.999999999999915</v>
      </c>
      <c r="H36" s="42">
        <v>74546.460999999996</v>
      </c>
      <c r="I36" s="53"/>
      <c r="J36" s="53"/>
      <c r="K36" s="53"/>
      <c r="L36" s="53"/>
      <c r="M36" s="53"/>
      <c r="N36" s="53"/>
      <c r="O36" s="53"/>
      <c r="P36" s="53"/>
      <c r="Q36" s="57"/>
    </row>
    <row r="37" spans="1:17" x14ac:dyDescent="0.25">
      <c r="A37" s="38" t="s">
        <v>9</v>
      </c>
      <c r="B37" s="42" t="s">
        <v>51</v>
      </c>
      <c r="C37" s="37" t="s">
        <v>10</v>
      </c>
      <c r="D37" t="s">
        <v>6</v>
      </c>
      <c r="E37" s="42">
        <v>2.7759999999999998</v>
      </c>
      <c r="F37" s="47">
        <v>0.71805555555555556</v>
      </c>
      <c r="G37" s="49">
        <v>111.99999999999991</v>
      </c>
      <c r="H37" s="42">
        <v>95931.792000000001</v>
      </c>
      <c r="I37" s="53"/>
      <c r="J37" s="53"/>
      <c r="K37" s="53"/>
      <c r="L37" s="53"/>
      <c r="M37" s="53"/>
      <c r="N37" s="53"/>
      <c r="O37" s="53"/>
      <c r="P37" s="53"/>
      <c r="Q37" s="57"/>
    </row>
    <row r="38" spans="1:17" x14ac:dyDescent="0.25">
      <c r="A38" s="38" t="s">
        <v>11</v>
      </c>
      <c r="B38" s="42" t="s">
        <v>52</v>
      </c>
      <c r="C38" s="37" t="s">
        <v>10</v>
      </c>
      <c r="D38" t="s">
        <v>6</v>
      </c>
      <c r="E38" s="42">
        <v>2.6230000000000002</v>
      </c>
      <c r="F38" s="47">
        <v>0.64097222222222217</v>
      </c>
      <c r="G38" s="49">
        <v>0</v>
      </c>
      <c r="H38" s="42">
        <v>81162.030599999998</v>
      </c>
      <c r="I38" s="53"/>
      <c r="J38" s="53"/>
      <c r="K38" s="53"/>
      <c r="L38" s="53"/>
      <c r="M38" s="53"/>
      <c r="N38" s="53"/>
      <c r="O38" s="53"/>
      <c r="P38" s="53"/>
      <c r="Q38" s="57"/>
    </row>
    <row r="39" spans="1:17" x14ac:dyDescent="0.25">
      <c r="A39" s="38" t="s">
        <v>11</v>
      </c>
      <c r="B39" s="42" t="s">
        <v>52</v>
      </c>
      <c r="C39" s="37" t="s">
        <v>10</v>
      </c>
      <c r="D39" t="s">
        <v>6</v>
      </c>
      <c r="E39" s="42">
        <v>2.7229999999999999</v>
      </c>
      <c r="F39" s="47">
        <v>0.66180555555555554</v>
      </c>
      <c r="G39" s="49">
        <v>30.000000000000053</v>
      </c>
      <c r="H39" s="42">
        <v>117014.02860000001</v>
      </c>
      <c r="I39" s="53"/>
      <c r="J39" s="53"/>
      <c r="K39" s="53"/>
      <c r="L39" s="53"/>
      <c r="M39" s="53"/>
      <c r="N39" s="53"/>
      <c r="O39" s="53"/>
      <c r="P39" s="53"/>
      <c r="Q39" s="57"/>
    </row>
    <row r="40" spans="1:17" x14ac:dyDescent="0.25">
      <c r="A40" s="38" t="s">
        <v>11</v>
      </c>
      <c r="B40" s="42" t="s">
        <v>52</v>
      </c>
      <c r="C40" s="37" t="s">
        <v>10</v>
      </c>
      <c r="D40" t="s">
        <v>6</v>
      </c>
      <c r="E40" s="42">
        <v>2.6259999999999999</v>
      </c>
      <c r="F40" s="47">
        <v>0.68194444444444446</v>
      </c>
      <c r="G40" s="49">
        <v>59.000000000000114</v>
      </c>
      <c r="H40" s="42">
        <v>85266.428599999999</v>
      </c>
      <c r="I40" s="53"/>
      <c r="J40" s="53"/>
      <c r="K40" s="53"/>
      <c r="L40" s="53"/>
      <c r="M40" s="53"/>
      <c r="N40" s="53"/>
      <c r="O40" s="53"/>
      <c r="P40" s="53"/>
      <c r="Q40" s="57"/>
    </row>
    <row r="41" spans="1:17" x14ac:dyDescent="0.25">
      <c r="A41" s="38" t="s">
        <v>11</v>
      </c>
      <c r="B41" s="42" t="s">
        <v>52</v>
      </c>
      <c r="C41" s="37" t="s">
        <v>10</v>
      </c>
      <c r="D41" t="s">
        <v>6</v>
      </c>
      <c r="E41" s="42">
        <v>2.65</v>
      </c>
      <c r="F41" s="47">
        <v>0.7055555555555556</v>
      </c>
      <c r="G41" s="49">
        <v>93.000000000000142</v>
      </c>
      <c r="H41" s="42">
        <v>81657.017500000002</v>
      </c>
      <c r="I41" s="53"/>
      <c r="J41" s="53"/>
      <c r="K41" s="53"/>
      <c r="L41" s="53"/>
      <c r="M41" s="53"/>
      <c r="N41" s="53"/>
      <c r="O41" s="53"/>
      <c r="P41" s="53"/>
      <c r="Q41" s="57"/>
    </row>
    <row r="42" spans="1:17" x14ac:dyDescent="0.25">
      <c r="A42" s="38" t="s">
        <v>12</v>
      </c>
      <c r="B42" s="42" t="s">
        <v>22</v>
      </c>
      <c r="C42" s="37" t="s">
        <v>4</v>
      </c>
      <c r="D42" t="s">
        <v>6</v>
      </c>
      <c r="E42" s="42">
        <v>2.61</v>
      </c>
      <c r="F42" s="47">
        <v>0.64930555555555558</v>
      </c>
      <c r="G42" s="49">
        <v>0</v>
      </c>
      <c r="H42" s="42">
        <v>90779.994399999996</v>
      </c>
      <c r="I42" s="52"/>
      <c r="J42" s="52"/>
      <c r="K42" s="53"/>
      <c r="L42" s="53"/>
      <c r="M42" s="53"/>
      <c r="N42" s="53"/>
      <c r="O42" s="53"/>
      <c r="P42" s="53"/>
      <c r="Q42" s="57"/>
    </row>
    <row r="43" spans="1:17" x14ac:dyDescent="0.25">
      <c r="A43" s="38" t="s">
        <v>12</v>
      </c>
      <c r="B43" s="42" t="s">
        <v>22</v>
      </c>
      <c r="C43" s="37" t="s">
        <v>4</v>
      </c>
      <c r="D43" t="s">
        <v>6</v>
      </c>
      <c r="E43" s="42">
        <v>2.6160000000000001</v>
      </c>
      <c r="F43" s="47">
        <v>0.66736111111111107</v>
      </c>
      <c r="G43" s="49">
        <v>25.999999999999908</v>
      </c>
      <c r="H43" s="42">
        <v>88932.947899999999</v>
      </c>
      <c r="I43" s="53"/>
      <c r="J43" s="53"/>
      <c r="K43" s="53"/>
      <c r="L43" s="53"/>
      <c r="M43" s="53"/>
      <c r="N43" s="53"/>
      <c r="O43" s="53"/>
      <c r="P43" s="53"/>
      <c r="Q43" s="57"/>
    </row>
    <row r="44" spans="1:17" x14ac:dyDescent="0.25">
      <c r="A44" s="38" t="s">
        <v>12</v>
      </c>
      <c r="B44" s="42" t="s">
        <v>22</v>
      </c>
      <c r="C44" s="37" t="s">
        <v>4</v>
      </c>
      <c r="D44" t="s">
        <v>6</v>
      </c>
      <c r="E44" s="42">
        <v>2.633</v>
      </c>
      <c r="F44" s="47">
        <v>0.69166666666666676</v>
      </c>
      <c r="G44" s="49">
        <v>61.000000000000099</v>
      </c>
      <c r="H44" s="42">
        <v>77957.9179</v>
      </c>
      <c r="I44" s="53"/>
      <c r="J44" s="53"/>
      <c r="K44" s="53"/>
      <c r="L44" s="53"/>
      <c r="M44" s="53"/>
      <c r="N44" s="53"/>
      <c r="O44" s="53"/>
      <c r="P44" s="53"/>
      <c r="Q44" s="57"/>
    </row>
    <row r="45" spans="1:17" x14ac:dyDescent="0.25">
      <c r="A45" s="38" t="s">
        <v>12</v>
      </c>
      <c r="B45" s="42" t="s">
        <v>22</v>
      </c>
      <c r="C45" s="37" t="s">
        <v>4</v>
      </c>
      <c r="D45" t="s">
        <v>6</v>
      </c>
      <c r="E45" s="42">
        <v>2.8330000000000002</v>
      </c>
      <c r="F45" s="47">
        <v>0.71250000000000002</v>
      </c>
      <c r="G45" s="49">
        <v>91</v>
      </c>
      <c r="H45" s="42">
        <v>71867.456000000006</v>
      </c>
      <c r="I45" s="53"/>
      <c r="J45" s="53"/>
      <c r="K45" s="53"/>
      <c r="L45" s="53"/>
      <c r="M45" s="53"/>
      <c r="N45" s="53"/>
      <c r="O45" s="53"/>
      <c r="P45" s="53"/>
      <c r="Q45" s="57"/>
    </row>
    <row r="46" spans="1:17" x14ac:dyDescent="0.25">
      <c r="A46" s="38" t="s">
        <v>14</v>
      </c>
      <c r="B46" s="42" t="s">
        <v>53</v>
      </c>
      <c r="C46" s="37" t="s">
        <v>10</v>
      </c>
      <c r="D46" t="s">
        <v>6</v>
      </c>
      <c r="E46" s="42">
        <v>2.5430000000000001</v>
      </c>
      <c r="F46" s="47">
        <v>0.65347222222222223</v>
      </c>
      <c r="G46" s="49">
        <v>0</v>
      </c>
      <c r="H46" s="42">
        <v>88774.914600000004</v>
      </c>
      <c r="I46" s="53"/>
      <c r="J46" s="53"/>
      <c r="K46" s="53"/>
      <c r="L46" s="53"/>
      <c r="M46" s="53"/>
      <c r="N46" s="53"/>
      <c r="O46" s="53"/>
      <c r="P46" s="53"/>
      <c r="Q46" s="57"/>
    </row>
    <row r="47" spans="1:17" x14ac:dyDescent="0.25">
      <c r="A47" s="38" t="s">
        <v>14</v>
      </c>
      <c r="B47" s="42" t="s">
        <v>53</v>
      </c>
      <c r="C47" s="37" t="s">
        <v>10</v>
      </c>
      <c r="D47" t="s">
        <v>6</v>
      </c>
      <c r="E47" s="42">
        <v>2.6230000000000002</v>
      </c>
      <c r="F47" s="47">
        <v>0.67847222222222225</v>
      </c>
      <c r="G47" s="49">
        <v>36.000000000000028</v>
      </c>
      <c r="H47" s="42">
        <v>81333.303599999999</v>
      </c>
      <c r="I47" s="53"/>
      <c r="J47" s="53"/>
      <c r="K47" s="53"/>
      <c r="L47" s="53"/>
      <c r="M47" s="53"/>
      <c r="N47" s="53"/>
      <c r="O47" s="53"/>
      <c r="P47" s="53"/>
      <c r="Q47" s="57"/>
    </row>
    <row r="48" spans="1:17" x14ac:dyDescent="0.25">
      <c r="A48" s="38" t="s">
        <v>14</v>
      </c>
      <c r="B48" s="42" t="s">
        <v>53</v>
      </c>
      <c r="C48" s="37" t="s">
        <v>10</v>
      </c>
      <c r="D48" t="s">
        <v>6</v>
      </c>
      <c r="E48" s="42">
        <v>2.64</v>
      </c>
      <c r="F48" s="47">
        <v>0.7006944444444444</v>
      </c>
      <c r="G48" s="49">
        <v>67.999999999999915</v>
      </c>
      <c r="H48" s="42">
        <v>79327.449200000003</v>
      </c>
      <c r="I48" s="53"/>
      <c r="J48" s="53"/>
      <c r="K48" s="53"/>
      <c r="L48" s="53"/>
      <c r="M48" s="53"/>
      <c r="N48" s="53"/>
      <c r="O48" s="53"/>
      <c r="P48" s="53"/>
      <c r="Q48" s="57"/>
    </row>
    <row r="49" spans="1:17" x14ac:dyDescent="0.25">
      <c r="A49" s="38" t="s">
        <v>14</v>
      </c>
      <c r="B49" s="42" t="s">
        <v>53</v>
      </c>
      <c r="C49" s="37" t="s">
        <v>10</v>
      </c>
      <c r="D49" t="s">
        <v>6</v>
      </c>
      <c r="E49" s="42">
        <v>2.6760000000000002</v>
      </c>
      <c r="F49" s="47">
        <v>0.72361111111111109</v>
      </c>
      <c r="G49" s="49">
        <v>100.99999999999997</v>
      </c>
      <c r="H49" s="42">
        <v>67804.506599999993</v>
      </c>
      <c r="I49" s="53"/>
      <c r="J49" s="53"/>
      <c r="K49" s="53"/>
      <c r="L49" s="53"/>
      <c r="M49" s="53"/>
      <c r="N49" s="53"/>
      <c r="O49" s="53"/>
      <c r="P49" s="53"/>
      <c r="Q49" s="57"/>
    </row>
    <row r="51" spans="1:17" x14ac:dyDescent="0.25">
      <c r="A51" s="40"/>
    </row>
  </sheetData>
  <autoFilter ref="A1:Q49" xr:uid="{928AC317-CB93-4595-A198-6190992ADA0B}">
    <sortState ref="A2:Q49">
      <sortCondition descending="1" ref="D1:D49"/>
    </sortState>
  </autoFilter>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6"/>
  <sheetViews>
    <sheetView workbookViewId="0">
      <selection activeCell="H20" sqref="H20:J20"/>
    </sheetView>
  </sheetViews>
  <sheetFormatPr defaultRowHeight="15" x14ac:dyDescent="0.25"/>
  <cols>
    <col min="1" max="1" width="15.85546875" style="2" customWidth="1"/>
    <col min="2" max="2" width="9.140625" style="2"/>
    <col min="3" max="3" width="14.85546875" customWidth="1"/>
    <col min="4" max="4" width="14" customWidth="1"/>
    <col min="5" max="5" width="16.42578125" style="2" customWidth="1"/>
    <col min="6" max="6" width="13.42578125" style="2" customWidth="1"/>
  </cols>
  <sheetData>
    <row r="1" spans="1:12" s="9" customFormat="1" ht="30" x14ac:dyDescent="0.25">
      <c r="A1" s="9" t="s">
        <v>16</v>
      </c>
      <c r="B1" s="9" t="s">
        <v>17</v>
      </c>
      <c r="C1" s="9" t="s">
        <v>18</v>
      </c>
      <c r="D1" s="9" t="s">
        <v>7</v>
      </c>
      <c r="E1" s="10" t="s">
        <v>15</v>
      </c>
      <c r="F1" s="9" t="s">
        <v>3</v>
      </c>
      <c r="H1" s="45" t="s">
        <v>27</v>
      </c>
      <c r="I1" s="45"/>
      <c r="J1" s="45"/>
    </row>
    <row r="2" spans="1:12" x14ac:dyDescent="0.25">
      <c r="A2" s="38" t="s">
        <v>13</v>
      </c>
      <c r="B2" s="38">
        <v>1500</v>
      </c>
      <c r="C2" s="37" t="s">
        <v>4</v>
      </c>
      <c r="D2" s="37" t="s">
        <v>5</v>
      </c>
      <c r="E2" s="38">
        <v>1.61</v>
      </c>
      <c r="F2" s="38">
        <v>1294.8848</v>
      </c>
      <c r="H2" s="44" t="s">
        <v>19</v>
      </c>
      <c r="I2" s="44"/>
      <c r="J2" s="44"/>
      <c r="L2" s="13" t="s">
        <v>50</v>
      </c>
    </row>
    <row r="3" spans="1:12" x14ac:dyDescent="0.25">
      <c r="D3" t="s">
        <v>6</v>
      </c>
      <c r="E3" s="2">
        <v>2.59</v>
      </c>
      <c r="F3" s="2">
        <v>109991.2084</v>
      </c>
    </row>
    <row r="4" spans="1:12" x14ac:dyDescent="0.25">
      <c r="B4" s="2">
        <v>1520</v>
      </c>
      <c r="C4" t="s">
        <v>4</v>
      </c>
      <c r="D4" s="37" t="s">
        <v>5</v>
      </c>
      <c r="E4" s="38">
        <v>1.57</v>
      </c>
      <c r="F4" s="38">
        <v>3251.04</v>
      </c>
    </row>
    <row r="5" spans="1:12" x14ac:dyDescent="0.25">
      <c r="D5" t="s">
        <v>6</v>
      </c>
      <c r="E5" s="2">
        <v>2.5659999999999998</v>
      </c>
      <c r="F5" s="2">
        <v>110180.9087</v>
      </c>
    </row>
    <row r="6" spans="1:12" x14ac:dyDescent="0.25">
      <c r="B6" s="2">
        <v>1558</v>
      </c>
      <c r="C6" t="s">
        <v>4</v>
      </c>
      <c r="D6" s="37" t="s">
        <v>5</v>
      </c>
      <c r="E6" s="38">
        <v>1.5860000000000001</v>
      </c>
      <c r="F6" s="38">
        <v>5796.3230000000003</v>
      </c>
    </row>
    <row r="7" spans="1:12" x14ac:dyDescent="0.25">
      <c r="D7" t="s">
        <v>6</v>
      </c>
      <c r="E7" s="2">
        <v>2.6259999999999999</v>
      </c>
      <c r="F7" s="2">
        <v>80191.481100000005</v>
      </c>
    </row>
    <row r="8" spans="1:12" x14ac:dyDescent="0.25">
      <c r="B8" s="2">
        <v>1628</v>
      </c>
      <c r="C8" t="s">
        <v>4</v>
      </c>
      <c r="D8" s="37" t="s">
        <v>5</v>
      </c>
      <c r="E8" s="38">
        <v>1.583</v>
      </c>
      <c r="F8" s="38">
        <v>10290.486000000001</v>
      </c>
    </row>
    <row r="9" spans="1:12" x14ac:dyDescent="0.25">
      <c r="D9" t="s">
        <v>6</v>
      </c>
      <c r="E9" s="2">
        <v>2.6230000000000002</v>
      </c>
      <c r="F9" s="2">
        <v>85755.907999999996</v>
      </c>
    </row>
    <row r="11" spans="1:12" x14ac:dyDescent="0.25">
      <c r="A11" s="38" t="s">
        <v>8</v>
      </c>
      <c r="B11" s="38">
        <v>1513</v>
      </c>
      <c r="C11" s="37" t="s">
        <v>4</v>
      </c>
      <c r="D11" s="37" t="s">
        <v>5</v>
      </c>
      <c r="E11" s="38">
        <v>1.5860000000000001</v>
      </c>
      <c r="F11" s="38">
        <v>551.91319999999996</v>
      </c>
      <c r="H11" s="44" t="s">
        <v>20</v>
      </c>
      <c r="I11" s="44"/>
      <c r="J11" s="44"/>
    </row>
    <row r="12" spans="1:12" x14ac:dyDescent="0.25">
      <c r="D12" t="s">
        <v>6</v>
      </c>
      <c r="E12" s="2">
        <v>2.6</v>
      </c>
      <c r="F12" s="2">
        <v>89324.996400000004</v>
      </c>
    </row>
    <row r="13" spans="1:12" x14ac:dyDescent="0.25">
      <c r="B13" s="2">
        <v>1535</v>
      </c>
      <c r="C13" t="s">
        <v>4</v>
      </c>
      <c r="D13" s="37" t="s">
        <v>5</v>
      </c>
      <c r="E13" s="38">
        <v>1.6</v>
      </c>
      <c r="F13" s="38">
        <v>1698.7683999999999</v>
      </c>
    </row>
    <row r="14" spans="1:12" x14ac:dyDescent="0.25">
      <c r="D14" t="s">
        <v>6</v>
      </c>
      <c r="E14" s="2">
        <v>2.63</v>
      </c>
      <c r="F14" s="2">
        <v>81358.33</v>
      </c>
    </row>
    <row r="15" spans="1:12" x14ac:dyDescent="0.25">
      <c r="B15" s="2">
        <v>1610</v>
      </c>
      <c r="C15" t="s">
        <v>4</v>
      </c>
      <c r="D15" s="37" t="s">
        <v>5</v>
      </c>
      <c r="E15" s="38">
        <v>1.59</v>
      </c>
      <c r="F15" s="38">
        <v>3284.0284000000001</v>
      </c>
    </row>
    <row r="16" spans="1:12" x14ac:dyDescent="0.25">
      <c r="D16" t="s">
        <v>6</v>
      </c>
      <c r="E16" s="2">
        <v>2.62</v>
      </c>
      <c r="F16" s="2">
        <v>86717.798999999999</v>
      </c>
    </row>
    <row r="17" spans="1:10" x14ac:dyDescent="0.25">
      <c r="B17" s="2">
        <v>1642</v>
      </c>
      <c r="C17" t="s">
        <v>4</v>
      </c>
      <c r="D17" s="37" t="s">
        <v>5</v>
      </c>
      <c r="E17" s="38">
        <v>1.603</v>
      </c>
      <c r="F17" s="38">
        <v>4771.1891999999998</v>
      </c>
    </row>
    <row r="18" spans="1:10" x14ac:dyDescent="0.25">
      <c r="D18" t="s">
        <v>6</v>
      </c>
      <c r="E18" s="2">
        <v>2.6459999999999999</v>
      </c>
      <c r="F18" s="2">
        <v>81262.527799999996</v>
      </c>
    </row>
    <row r="20" spans="1:10" x14ac:dyDescent="0.25">
      <c r="A20" s="38" t="s">
        <v>9</v>
      </c>
      <c r="B20" s="38">
        <v>1522</v>
      </c>
      <c r="C20" s="37" t="s">
        <v>10</v>
      </c>
      <c r="D20" s="37" t="s">
        <v>5</v>
      </c>
      <c r="E20" s="38">
        <v>1.5960000000000001</v>
      </c>
      <c r="F20" s="38">
        <v>2269.0118000000002</v>
      </c>
      <c r="H20" s="44" t="s">
        <v>51</v>
      </c>
      <c r="I20" s="44"/>
      <c r="J20" s="44"/>
    </row>
    <row r="21" spans="1:10" x14ac:dyDescent="0.25">
      <c r="D21" t="s">
        <v>6</v>
      </c>
      <c r="E21" s="2">
        <v>2.6230000000000002</v>
      </c>
      <c r="F21" s="2">
        <v>87520.304999999993</v>
      </c>
    </row>
    <row r="22" spans="1:10" x14ac:dyDescent="0.25">
      <c r="B22" s="2">
        <v>1548</v>
      </c>
      <c r="C22" t="s">
        <v>10</v>
      </c>
      <c r="D22" s="37" t="s">
        <v>5</v>
      </c>
      <c r="E22" s="38">
        <v>1.58</v>
      </c>
      <c r="F22" s="38">
        <v>5806.4668000000001</v>
      </c>
    </row>
    <row r="23" spans="1:10" x14ac:dyDescent="0.25">
      <c r="D23" t="s">
        <v>6</v>
      </c>
      <c r="E23" s="2">
        <v>2.6160000000000001</v>
      </c>
      <c r="F23" s="2">
        <v>82112.981199999995</v>
      </c>
    </row>
    <row r="24" spans="1:10" x14ac:dyDescent="0.25">
      <c r="B24" s="2">
        <v>1630</v>
      </c>
      <c r="C24" t="s">
        <v>10</v>
      </c>
      <c r="D24" s="37" t="s">
        <v>5</v>
      </c>
      <c r="E24" s="38">
        <v>1.5860000000000001</v>
      </c>
      <c r="F24" s="38">
        <v>10671.821599999999</v>
      </c>
    </row>
    <row r="25" spans="1:10" x14ac:dyDescent="0.25">
      <c r="D25" t="s">
        <v>6</v>
      </c>
      <c r="E25" s="2">
        <v>2.6459999999999999</v>
      </c>
      <c r="F25" s="2">
        <v>74546.460999999996</v>
      </c>
    </row>
    <row r="26" spans="1:10" x14ac:dyDescent="0.25">
      <c r="B26" s="2">
        <v>1714</v>
      </c>
      <c r="C26" t="s">
        <v>10</v>
      </c>
      <c r="D26" s="37" t="s">
        <v>5</v>
      </c>
      <c r="E26" s="38">
        <v>1.5960000000000001</v>
      </c>
      <c r="F26" s="38">
        <v>12076.707200000001</v>
      </c>
    </row>
    <row r="27" spans="1:10" x14ac:dyDescent="0.25">
      <c r="D27" t="s">
        <v>6</v>
      </c>
      <c r="E27" s="2">
        <v>2.7759999999999998</v>
      </c>
      <c r="F27" s="2">
        <v>95931.792000000001</v>
      </c>
    </row>
    <row r="29" spans="1:10" x14ac:dyDescent="0.25">
      <c r="A29" s="38" t="s">
        <v>11</v>
      </c>
      <c r="B29" s="38">
        <v>1523</v>
      </c>
      <c r="C29" s="37" t="s">
        <v>10</v>
      </c>
      <c r="D29" s="37" t="s">
        <v>5</v>
      </c>
      <c r="E29" s="38">
        <v>1.6</v>
      </c>
      <c r="F29" s="38">
        <v>67.824600000000004</v>
      </c>
      <c r="H29" s="44" t="s">
        <v>52</v>
      </c>
      <c r="I29" s="44"/>
      <c r="J29" s="44"/>
    </row>
    <row r="30" spans="1:10" x14ac:dyDescent="0.25">
      <c r="D30" t="s">
        <v>6</v>
      </c>
      <c r="E30" s="2">
        <v>2.6230000000000002</v>
      </c>
      <c r="F30" s="2">
        <v>81162.030599999998</v>
      </c>
    </row>
    <row r="31" spans="1:10" x14ac:dyDescent="0.25">
      <c r="B31" s="2">
        <v>1553</v>
      </c>
      <c r="C31" t="s">
        <v>10</v>
      </c>
      <c r="D31" s="37" t="s">
        <v>5</v>
      </c>
      <c r="E31" s="38">
        <v>1.6060000000000001</v>
      </c>
      <c r="F31" s="38">
        <v>145.7304</v>
      </c>
    </row>
    <row r="32" spans="1:10" x14ac:dyDescent="0.25">
      <c r="D32" t="s">
        <v>6</v>
      </c>
      <c r="E32" s="2">
        <v>2.7229999999999999</v>
      </c>
      <c r="F32" s="2">
        <v>117014.02860000001</v>
      </c>
    </row>
    <row r="33" spans="1:10" x14ac:dyDescent="0.25">
      <c r="B33" s="2">
        <v>1622</v>
      </c>
      <c r="C33" t="s">
        <v>10</v>
      </c>
      <c r="D33" s="37" t="s">
        <v>5</v>
      </c>
      <c r="E33" s="38">
        <v>1.61</v>
      </c>
      <c r="F33" s="38">
        <v>356.74119999999999</v>
      </c>
    </row>
    <row r="34" spans="1:10" x14ac:dyDescent="0.25">
      <c r="D34" t="s">
        <v>6</v>
      </c>
      <c r="E34" s="2">
        <v>2.6259999999999999</v>
      </c>
      <c r="F34" s="2">
        <v>85266.428599999999</v>
      </c>
    </row>
    <row r="35" spans="1:10" x14ac:dyDescent="0.25">
      <c r="B35" s="2">
        <v>1656</v>
      </c>
      <c r="C35" t="s">
        <v>10</v>
      </c>
      <c r="D35" s="37" t="s">
        <v>5</v>
      </c>
      <c r="E35" s="38">
        <v>1.62</v>
      </c>
      <c r="F35" s="38">
        <v>518.27560000000005</v>
      </c>
    </row>
    <row r="36" spans="1:10" x14ac:dyDescent="0.25">
      <c r="D36" t="s">
        <v>6</v>
      </c>
      <c r="E36" s="2">
        <v>2.65</v>
      </c>
      <c r="F36" s="2">
        <v>81657.017500000002</v>
      </c>
    </row>
    <row r="38" spans="1:10" x14ac:dyDescent="0.25">
      <c r="A38" s="38" t="s">
        <v>12</v>
      </c>
      <c r="B38" s="38">
        <v>1535</v>
      </c>
      <c r="C38" s="37" t="s">
        <v>4</v>
      </c>
      <c r="D38" s="37" t="s">
        <v>5</v>
      </c>
      <c r="E38" s="38">
        <v>1.59</v>
      </c>
      <c r="F38" s="38">
        <v>3809.3627999999999</v>
      </c>
      <c r="H38" s="44" t="s">
        <v>22</v>
      </c>
      <c r="I38" s="44"/>
      <c r="J38" s="44"/>
    </row>
    <row r="39" spans="1:10" x14ac:dyDescent="0.25">
      <c r="D39" t="s">
        <v>6</v>
      </c>
      <c r="E39" s="2">
        <v>2.61</v>
      </c>
      <c r="F39" s="2">
        <v>90779.994399999996</v>
      </c>
    </row>
    <row r="40" spans="1:10" x14ac:dyDescent="0.25">
      <c r="B40" s="2">
        <v>1601</v>
      </c>
      <c r="C40" t="s">
        <v>4</v>
      </c>
      <c r="D40" s="37" t="s">
        <v>5</v>
      </c>
      <c r="E40" s="38">
        <v>1.5860000000000001</v>
      </c>
      <c r="F40" s="38">
        <v>8017.0367999999999</v>
      </c>
    </row>
    <row r="41" spans="1:10" x14ac:dyDescent="0.25">
      <c r="D41" t="s">
        <v>6</v>
      </c>
      <c r="E41" s="2">
        <v>2.6160000000000001</v>
      </c>
      <c r="F41" s="2">
        <v>88932.947899999999</v>
      </c>
    </row>
    <row r="42" spans="1:10" x14ac:dyDescent="0.25">
      <c r="B42" s="2">
        <v>1636</v>
      </c>
      <c r="C42" t="s">
        <v>4</v>
      </c>
      <c r="D42" s="37" t="s">
        <v>5</v>
      </c>
      <c r="E42" s="38">
        <v>1.58</v>
      </c>
      <c r="F42" s="38">
        <v>13152.611199999999</v>
      </c>
    </row>
    <row r="43" spans="1:10" x14ac:dyDescent="0.25">
      <c r="D43" t="s">
        <v>6</v>
      </c>
      <c r="E43" s="2">
        <v>2.633</v>
      </c>
      <c r="F43" s="2">
        <v>77957.9179</v>
      </c>
    </row>
    <row r="44" spans="1:10" x14ac:dyDescent="0.25">
      <c r="B44" s="2">
        <v>1706</v>
      </c>
      <c r="C44" t="s">
        <v>4</v>
      </c>
      <c r="D44" s="37" t="s">
        <v>5</v>
      </c>
      <c r="E44" s="38">
        <v>1.5960000000000001</v>
      </c>
      <c r="F44" s="38">
        <v>13940.606299999999</v>
      </c>
    </row>
    <row r="45" spans="1:10" x14ac:dyDescent="0.25">
      <c r="D45" t="s">
        <v>6</v>
      </c>
      <c r="E45" s="2">
        <v>2.8330000000000002</v>
      </c>
      <c r="F45" s="2">
        <v>71867.456000000006</v>
      </c>
    </row>
    <row r="47" spans="1:10" x14ac:dyDescent="0.25">
      <c r="A47" s="38" t="s">
        <v>14</v>
      </c>
      <c r="B47" s="38">
        <v>1541</v>
      </c>
      <c r="C47" s="37" t="s">
        <v>10</v>
      </c>
      <c r="D47" s="37" t="s">
        <v>5</v>
      </c>
      <c r="E47" s="38">
        <v>1.52</v>
      </c>
      <c r="F47" s="38">
        <v>3062.64</v>
      </c>
      <c r="H47" s="44" t="s">
        <v>53</v>
      </c>
      <c r="I47" s="44"/>
      <c r="J47" s="44"/>
    </row>
    <row r="48" spans="1:10" x14ac:dyDescent="0.25">
      <c r="D48" t="s">
        <v>6</v>
      </c>
      <c r="E48" s="2">
        <v>2.5430000000000001</v>
      </c>
      <c r="F48" s="2">
        <v>88774.914600000004</v>
      </c>
    </row>
    <row r="49" spans="1:6" x14ac:dyDescent="0.25">
      <c r="B49" s="2">
        <v>1617</v>
      </c>
      <c r="C49" t="s">
        <v>10</v>
      </c>
      <c r="D49" s="37" t="s">
        <v>5</v>
      </c>
      <c r="E49" s="38">
        <v>1.5860000000000001</v>
      </c>
      <c r="F49" s="38">
        <v>6777.4516000000003</v>
      </c>
    </row>
    <row r="50" spans="1:6" x14ac:dyDescent="0.25">
      <c r="D50" t="s">
        <v>6</v>
      </c>
      <c r="E50" s="2">
        <v>2.6230000000000002</v>
      </c>
      <c r="F50" s="2">
        <v>81333.303599999999</v>
      </c>
    </row>
    <row r="51" spans="1:6" x14ac:dyDescent="0.25">
      <c r="B51" s="2">
        <v>1649</v>
      </c>
      <c r="C51" t="s">
        <v>10</v>
      </c>
      <c r="D51" s="37" t="s">
        <v>5</v>
      </c>
      <c r="E51" s="38">
        <v>1.59</v>
      </c>
      <c r="F51" s="38">
        <v>9762.7055999999993</v>
      </c>
    </row>
    <row r="52" spans="1:6" x14ac:dyDescent="0.25">
      <c r="D52" t="s">
        <v>6</v>
      </c>
      <c r="E52" s="2">
        <v>2.64</v>
      </c>
      <c r="F52" s="2">
        <v>79327.449200000003</v>
      </c>
    </row>
    <row r="53" spans="1:6" x14ac:dyDescent="0.25">
      <c r="B53" s="2">
        <v>1722</v>
      </c>
      <c r="C53" t="s">
        <v>10</v>
      </c>
      <c r="D53" s="37" t="s">
        <v>5</v>
      </c>
      <c r="E53" s="38">
        <v>1.5960000000000001</v>
      </c>
      <c r="F53" s="38">
        <v>11051.813399999999</v>
      </c>
    </row>
    <row r="54" spans="1:6" x14ac:dyDescent="0.25">
      <c r="D54" t="s">
        <v>6</v>
      </c>
      <c r="E54" s="2">
        <v>2.6760000000000002</v>
      </c>
      <c r="F54" s="2">
        <v>67804.506599999993</v>
      </c>
    </row>
    <row r="56" spans="1:6" x14ac:dyDescent="0.25">
      <c r="A56" s="40"/>
    </row>
  </sheetData>
  <mergeCells count="7">
    <mergeCell ref="H47:J47"/>
    <mergeCell ref="H1:J1"/>
    <mergeCell ref="H2:J2"/>
    <mergeCell ref="H11:J11"/>
    <mergeCell ref="H20:J20"/>
    <mergeCell ref="H29:J29"/>
    <mergeCell ref="H38:J3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18"/>
  <sheetViews>
    <sheetView tabSelected="1" workbookViewId="0">
      <selection activeCell="G8" sqref="G8"/>
    </sheetView>
  </sheetViews>
  <sheetFormatPr defaultRowHeight="15" x14ac:dyDescent="0.25"/>
  <cols>
    <col min="1" max="1" width="16.42578125" customWidth="1"/>
    <col min="2" max="2" width="15" customWidth="1"/>
    <col min="3" max="3" width="13.140625" customWidth="1"/>
    <col min="4" max="4" width="14.28515625" customWidth="1"/>
    <col min="5" max="5" width="13" customWidth="1"/>
    <col min="6" max="6" width="11.85546875" customWidth="1"/>
    <col min="7" max="7" width="15.28515625" customWidth="1"/>
    <col min="8" max="8" width="15.42578125" customWidth="1"/>
    <col min="9" max="9" width="15.140625" customWidth="1"/>
    <col min="10" max="10" width="16.140625" customWidth="1"/>
  </cols>
  <sheetData>
    <row r="2" spans="1:10" x14ac:dyDescent="0.25">
      <c r="C2" t="str">
        <f>""""&amp;C3&amp;""""</f>
        <v>"Shoots (wet)"</v>
      </c>
      <c r="D2" t="str">
        <f t="shared" ref="D2:J2" si="0">""""&amp;D3&amp;""""</f>
        <v>"Shoots (dry)"</v>
      </c>
      <c r="E2" t="str">
        <f t="shared" si="0"/>
        <v>"Roots (wet)"</v>
      </c>
      <c r="F2" t="str">
        <f t="shared" si="0"/>
        <v>"Roots (dry)"</v>
      </c>
      <c r="G2" t="str">
        <f t="shared" si="0"/>
        <v>"Nodules (wet)"</v>
      </c>
      <c r="H2" t="str">
        <f t="shared" si="0"/>
        <v>"Nodules (dry)"</v>
      </c>
      <c r="I2" t="str">
        <f t="shared" si="0"/>
        <v>"No. of nodules in vial"</v>
      </c>
      <c r="J2" t="str">
        <f t="shared" si="0"/>
        <v>"No. nodules not used in exp"</v>
      </c>
    </row>
    <row r="3" spans="1:10" s="9" customFormat="1" ht="30.75" customHeight="1" x14ac:dyDescent="0.25">
      <c r="A3" s="15" t="s">
        <v>16</v>
      </c>
      <c r="B3" s="15" t="s">
        <v>27</v>
      </c>
      <c r="C3" s="15" t="s">
        <v>28</v>
      </c>
      <c r="D3" s="15" t="s">
        <v>29</v>
      </c>
      <c r="E3" s="15" t="s">
        <v>30</v>
      </c>
      <c r="F3" s="15" t="s">
        <v>31</v>
      </c>
      <c r="G3" s="15" t="s">
        <v>32</v>
      </c>
      <c r="H3" s="15" t="s">
        <v>33</v>
      </c>
      <c r="I3" s="16" t="s">
        <v>65</v>
      </c>
      <c r="J3" s="16" t="s">
        <v>34</v>
      </c>
    </row>
    <row r="4" spans="1:10" x14ac:dyDescent="0.25">
      <c r="A4" t="s">
        <v>13</v>
      </c>
      <c r="B4" t="s">
        <v>19</v>
      </c>
      <c r="C4" s="2">
        <f>30.05-7.55</f>
        <v>22.5</v>
      </c>
      <c r="D4" s="2">
        <f>11.27-7.55</f>
        <v>3.7199999999999998</v>
      </c>
      <c r="E4" s="2">
        <f>8.88-7.33</f>
        <v>1.5500000000000007</v>
      </c>
      <c r="F4" s="2">
        <f>7.75-7.33</f>
        <v>0.41999999999999993</v>
      </c>
      <c r="G4" s="2">
        <f>1.766-0.93</f>
        <v>0.83599999999999997</v>
      </c>
      <c r="H4" s="2">
        <f>1.102-0.93</f>
        <v>0.17200000000000004</v>
      </c>
    </row>
    <row r="5" spans="1:10" x14ac:dyDescent="0.25">
      <c r="A5" t="s">
        <v>8</v>
      </c>
      <c r="B5" t="s">
        <v>20</v>
      </c>
      <c r="C5" s="2">
        <f>35.95-7.37</f>
        <v>28.580000000000002</v>
      </c>
      <c r="D5" s="2">
        <f>11.311-7.37</f>
        <v>3.9409999999999998</v>
      </c>
      <c r="E5" s="2">
        <f>8.91-7.23</f>
        <v>1.6799999999999997</v>
      </c>
      <c r="F5" s="2">
        <f>7.719-7.23</f>
        <v>0.48899999999999988</v>
      </c>
      <c r="G5" s="19"/>
      <c r="H5" s="2">
        <f>1.069-0.91</f>
        <v>0.15899999999999992</v>
      </c>
    </row>
    <row r="6" spans="1:10" x14ac:dyDescent="0.25">
      <c r="A6" t="s">
        <v>12</v>
      </c>
      <c r="B6" t="s">
        <v>22</v>
      </c>
      <c r="C6" s="2">
        <f>16.47-7.64</f>
        <v>8.8299999999999983</v>
      </c>
      <c r="D6" s="2">
        <f>8.85-7.64</f>
        <v>1.21</v>
      </c>
      <c r="E6" s="2">
        <f>8.1-7.17</f>
        <v>0.92999999999999972</v>
      </c>
      <c r="F6" s="2">
        <f>7.41-7.17</f>
        <v>0.24000000000000021</v>
      </c>
      <c r="G6" s="2">
        <f>2.48-0.938</f>
        <v>1.542</v>
      </c>
      <c r="H6" s="2">
        <f>1.044-0.938</f>
        <v>0.10600000000000009</v>
      </c>
      <c r="I6" s="2">
        <v>33</v>
      </c>
      <c r="J6" s="2">
        <v>38</v>
      </c>
    </row>
    <row r="7" spans="1:10" x14ac:dyDescent="0.25">
      <c r="A7" t="s">
        <v>9</v>
      </c>
      <c r="B7" t="s">
        <v>21</v>
      </c>
      <c r="C7" s="2">
        <v>7.25</v>
      </c>
      <c r="D7" s="2">
        <f>9.49-7.08</f>
        <v>2.41</v>
      </c>
      <c r="E7" s="2">
        <v>0.71</v>
      </c>
      <c r="F7" s="2">
        <f>7.34-7.14</f>
        <v>0.20000000000000018</v>
      </c>
      <c r="G7" s="17">
        <v>0.27</v>
      </c>
      <c r="H7" s="2">
        <f>0.984-0.93</f>
        <v>5.3999999999999937E-2</v>
      </c>
      <c r="I7">
        <v>22</v>
      </c>
      <c r="J7">
        <v>11</v>
      </c>
    </row>
    <row r="8" spans="1:10" x14ac:dyDescent="0.25">
      <c r="A8" t="s">
        <v>11</v>
      </c>
      <c r="B8" t="s">
        <v>23</v>
      </c>
      <c r="C8" s="2">
        <f>21.66-7.81</f>
        <v>13.850000000000001</v>
      </c>
      <c r="D8" s="2">
        <f>10.03-7.81</f>
        <v>2.2199999999999998</v>
      </c>
      <c r="E8" s="2">
        <f>9.57-7.41</f>
        <v>2.16</v>
      </c>
      <c r="F8" s="2">
        <f>8.055-7.41</f>
        <v>0.64499999999999957</v>
      </c>
      <c r="G8" s="19"/>
      <c r="H8" s="2">
        <f>1.035-0.922</f>
        <v>0.11299999999999988</v>
      </c>
    </row>
    <row r="9" spans="1:10" x14ac:dyDescent="0.25">
      <c r="A9" t="s">
        <v>14</v>
      </c>
      <c r="B9" t="s">
        <v>24</v>
      </c>
      <c r="C9" s="2">
        <f>36.89-7.6</f>
        <v>29.29</v>
      </c>
      <c r="D9" s="2">
        <f>11.74-7.6</f>
        <v>4.1400000000000006</v>
      </c>
      <c r="E9" s="2">
        <f>15.83-7.3</f>
        <v>8.5300000000000011</v>
      </c>
      <c r="F9" s="2">
        <f>9.24-7.3</f>
        <v>1.9400000000000004</v>
      </c>
      <c r="G9" s="17">
        <v>1.25</v>
      </c>
      <c r="H9" s="2">
        <f>1.093-0.93</f>
        <v>0.16299999999999992</v>
      </c>
    </row>
    <row r="12" spans="1:10" x14ac:dyDescent="0.25">
      <c r="A12" t="s">
        <v>35</v>
      </c>
    </row>
    <row r="14" spans="1:10" x14ac:dyDescent="0.25">
      <c r="A14" t="s">
        <v>46</v>
      </c>
    </row>
    <row r="16" spans="1:10" x14ac:dyDescent="0.25">
      <c r="A16" t="s">
        <v>36</v>
      </c>
    </row>
    <row r="18" spans="1:1" x14ac:dyDescent="0.25">
      <c r="A18" t="s">
        <v>64</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Q22"/>
  <sheetViews>
    <sheetView workbookViewId="0">
      <selection activeCell="E13" sqref="E13"/>
    </sheetView>
  </sheetViews>
  <sheetFormatPr defaultRowHeight="15" x14ac:dyDescent="0.25"/>
  <cols>
    <col min="1" max="1" width="14.7109375" customWidth="1"/>
    <col min="2" max="2" width="11.28515625" customWidth="1"/>
    <col min="3" max="3" width="10.5703125" customWidth="1"/>
    <col min="4" max="4" width="9.85546875" customWidth="1"/>
    <col min="5" max="5" width="10.7109375" customWidth="1"/>
    <col min="6" max="6" width="10.85546875" customWidth="1"/>
    <col min="7" max="7" width="11.140625" customWidth="1"/>
    <col min="8" max="8" width="11" customWidth="1"/>
    <col min="10" max="10" width="10.7109375" customWidth="1"/>
  </cols>
  <sheetData>
    <row r="2" spans="1:17" x14ac:dyDescent="0.25">
      <c r="A2" s="13" t="s">
        <v>48</v>
      </c>
      <c r="B2" s="12">
        <f>'Ethylene Std Curve'!D7</f>
        <v>1302000</v>
      </c>
      <c r="D2" s="14"/>
    </row>
    <row r="3" spans="1:17" x14ac:dyDescent="0.25">
      <c r="A3" s="13" t="s">
        <v>49</v>
      </c>
      <c r="D3" s="14"/>
    </row>
    <row r="4" spans="1:17" x14ac:dyDescent="0.25">
      <c r="A4" s="18"/>
      <c r="D4" s="14"/>
    </row>
    <row r="5" spans="1:17" x14ac:dyDescent="0.25">
      <c r="A5" s="13"/>
      <c r="D5" s="14"/>
    </row>
    <row r="6" spans="1:17" ht="63" x14ac:dyDescent="0.25">
      <c r="A6" s="20" t="s">
        <v>37</v>
      </c>
      <c r="B6" s="20" t="s">
        <v>38</v>
      </c>
      <c r="C6" s="20" t="s">
        <v>39</v>
      </c>
      <c r="D6" s="20" t="s">
        <v>61</v>
      </c>
      <c r="E6" s="20" t="s">
        <v>40</v>
      </c>
      <c r="F6" s="20" t="s">
        <v>60</v>
      </c>
      <c r="G6" s="20" t="s">
        <v>59</v>
      </c>
      <c r="H6" s="20" t="s">
        <v>41</v>
      </c>
      <c r="I6" s="20" t="s">
        <v>58</v>
      </c>
      <c r="J6" s="20" t="s">
        <v>57</v>
      </c>
      <c r="K6" s="20" t="s">
        <v>56</v>
      </c>
    </row>
    <row r="7" spans="1:17" x14ac:dyDescent="0.25">
      <c r="A7" s="21" t="s">
        <v>19</v>
      </c>
      <c r="B7" s="22">
        <v>0</v>
      </c>
      <c r="C7" s="41">
        <v>1000</v>
      </c>
      <c r="D7" s="23">
        <f>C7/B2</f>
        <v>7.6804915514592934E-4</v>
      </c>
      <c r="E7" s="24">
        <f>D7/100</f>
        <v>7.6804915514592934E-6</v>
      </c>
      <c r="F7" s="24">
        <f>E7*0.4</f>
        <v>3.0721966205837175E-6</v>
      </c>
      <c r="G7" s="24">
        <f>E7*11.6</f>
        <v>8.9093701996927801E-5</v>
      </c>
      <c r="H7" s="25">
        <v>12</v>
      </c>
      <c r="I7" s="24">
        <f>F7/22.4/1000</f>
        <v>1.3715163484748739E-10</v>
      </c>
      <c r="J7" s="24">
        <f>G7/22.4/1000</f>
        <v>3.9773974105771344E-9</v>
      </c>
      <c r="K7" s="24">
        <f>I7+J7</f>
        <v>4.1145490454246218E-9</v>
      </c>
    </row>
    <row r="8" spans="1:17" x14ac:dyDescent="0.25">
      <c r="A8" s="21" t="s">
        <v>19</v>
      </c>
      <c r="B8" s="22">
        <v>30</v>
      </c>
      <c r="C8" s="41">
        <v>3000</v>
      </c>
      <c r="D8" s="23">
        <f>C8/25716</f>
        <v>0.11665888940737285</v>
      </c>
      <c r="E8" s="24">
        <f>D8/100</f>
        <v>1.1665888940737286E-3</v>
      </c>
      <c r="F8" s="24">
        <f>E8*0.4</f>
        <v>4.6663555762949143E-4</v>
      </c>
      <c r="G8" s="24">
        <f>E8*11.6</f>
        <v>1.3532431171255251E-2</v>
      </c>
      <c r="H8" s="25">
        <v>12</v>
      </c>
      <c r="I8" s="24">
        <f>F8/22.4/1000</f>
        <v>2.0831944537030869E-8</v>
      </c>
      <c r="J8" s="24">
        <f>G8/22.4/1000</f>
        <v>6.0412639157389508E-7</v>
      </c>
      <c r="K8" s="24">
        <f>I7+I8+J8</f>
        <v>6.2509548774577343E-7</v>
      </c>
    </row>
    <row r="9" spans="1:17" x14ac:dyDescent="0.25">
      <c r="A9" s="21" t="s">
        <v>19</v>
      </c>
      <c r="B9" s="22">
        <v>60</v>
      </c>
      <c r="C9" s="41">
        <v>5000</v>
      </c>
      <c r="D9" s="23">
        <f t="shared" ref="D8:D10" si="0">C9/25716</f>
        <v>0.19443148234562141</v>
      </c>
      <c r="E9" s="24">
        <f t="shared" ref="E8:E10" si="1">D9/100</f>
        <v>1.9443148234562142E-3</v>
      </c>
      <c r="F9" s="24">
        <f>E9*0.4</f>
        <v>7.7772592938248574E-4</v>
      </c>
      <c r="G9" s="24">
        <f>E9*11.6</f>
        <v>2.2554051952092084E-2</v>
      </c>
      <c r="H9" s="25">
        <v>12</v>
      </c>
      <c r="I9" s="24">
        <f t="shared" ref="I8:J10" si="2">F9/22.4/1000</f>
        <v>3.4719907561718114E-8</v>
      </c>
      <c r="J9" s="24">
        <f t="shared" si="2"/>
        <v>1.0068773192898253E-6</v>
      </c>
      <c r="K9" s="24">
        <f>I7+I8+I9+J9</f>
        <v>1.0625663230234219E-6</v>
      </c>
    </row>
    <row r="10" spans="1:17" x14ac:dyDescent="0.25">
      <c r="A10" s="21" t="s">
        <v>19</v>
      </c>
      <c r="B10" s="22">
        <v>90</v>
      </c>
      <c r="C10" s="41">
        <v>7000</v>
      </c>
      <c r="D10" s="23">
        <f t="shared" si="0"/>
        <v>0.27220407528386997</v>
      </c>
      <c r="E10" s="24">
        <f t="shared" si="1"/>
        <v>2.7220407528386996E-3</v>
      </c>
      <c r="F10" s="24">
        <f>E10*0.4</f>
        <v>1.0888163011354799E-3</v>
      </c>
      <c r="G10" s="24">
        <f>E10*11.6</f>
        <v>3.1575672732928911E-2</v>
      </c>
      <c r="H10" s="25">
        <v>12</v>
      </c>
      <c r="I10" s="24">
        <f t="shared" si="2"/>
        <v>4.8607870586405349E-8</v>
      </c>
      <c r="J10" s="24">
        <f t="shared" si="2"/>
        <v>1.4096282470057551E-6</v>
      </c>
      <c r="K10" s="24">
        <f>I7+I8+I9+I10+J10</f>
        <v>1.5139251213257568E-6</v>
      </c>
      <c r="Q10" t="s">
        <v>44</v>
      </c>
    </row>
    <row r="11" spans="1:17" x14ac:dyDescent="0.25">
      <c r="A11" s="9"/>
      <c r="B11" s="9"/>
      <c r="C11" s="9"/>
      <c r="D11" s="10"/>
      <c r="E11" s="9"/>
      <c r="I11" s="9"/>
      <c r="J11" s="9"/>
      <c r="K11" s="9"/>
      <c r="Q11" t="s">
        <v>45</v>
      </c>
    </row>
    <row r="12" spans="1:17" x14ac:dyDescent="0.25">
      <c r="A12" s="9"/>
      <c r="B12" s="9"/>
      <c r="C12" s="9"/>
      <c r="D12" s="10"/>
      <c r="E12" s="9"/>
      <c r="I12" s="9"/>
      <c r="J12" s="9"/>
      <c r="K12" s="9"/>
    </row>
    <row r="13" spans="1:17" x14ac:dyDescent="0.25">
      <c r="A13" s="26" t="s">
        <v>42</v>
      </c>
      <c r="B13" s="9"/>
      <c r="C13" s="9"/>
      <c r="D13" s="10"/>
      <c r="E13" s="9"/>
      <c r="K13" s="9"/>
    </row>
    <row r="14" spans="1:17" x14ac:dyDescent="0.25">
      <c r="A14" s="9"/>
      <c r="B14" s="9"/>
      <c r="C14" s="9"/>
      <c r="D14" s="10"/>
      <c r="E14" s="9"/>
      <c r="K14" s="9"/>
    </row>
    <row r="15" spans="1:17" ht="46.5" customHeight="1" x14ac:dyDescent="0.25">
      <c r="A15" s="27" t="s">
        <v>55</v>
      </c>
      <c r="B15" s="28" t="s">
        <v>56</v>
      </c>
      <c r="C15" s="29" t="s">
        <v>62</v>
      </c>
      <c r="D15" s="10"/>
      <c r="E15" s="9"/>
    </row>
    <row r="16" spans="1:17" x14ac:dyDescent="0.25">
      <c r="A16" s="30">
        <f>B7</f>
        <v>0</v>
      </c>
      <c r="B16" s="31">
        <f>K7</f>
        <v>4.1145490454246218E-9</v>
      </c>
      <c r="C16" s="32">
        <f>B16*1000000</f>
        <v>4.1145490454246219E-3</v>
      </c>
      <c r="D16" s="14"/>
      <c r="H16" t="s">
        <v>54</v>
      </c>
    </row>
    <row r="17" spans="1:11" x14ac:dyDescent="0.25">
      <c r="A17" s="30">
        <f>B8</f>
        <v>30</v>
      </c>
      <c r="B17" s="31">
        <f>K8</f>
        <v>6.2509548774577343E-7</v>
      </c>
      <c r="C17" s="32">
        <f t="shared" ref="C17:C19" si="3">B17*1000000</f>
        <v>0.62509548774577339</v>
      </c>
      <c r="D17" s="14"/>
      <c r="K17" s="11"/>
    </row>
    <row r="18" spans="1:11" x14ac:dyDescent="0.25">
      <c r="A18" s="30">
        <f>B9</f>
        <v>60</v>
      </c>
      <c r="B18" s="31">
        <f>K9</f>
        <v>1.0625663230234219E-6</v>
      </c>
      <c r="C18" s="32">
        <f t="shared" si="3"/>
        <v>1.0625663230234219</v>
      </c>
      <c r="D18" s="14"/>
      <c r="K18" s="11"/>
    </row>
    <row r="19" spans="1:11" x14ac:dyDescent="0.25">
      <c r="A19" s="33">
        <f>B10</f>
        <v>90</v>
      </c>
      <c r="B19" s="34">
        <f>K10</f>
        <v>1.5139251213257568E-6</v>
      </c>
      <c r="C19" s="35">
        <f t="shared" si="3"/>
        <v>1.5139251213257567</v>
      </c>
      <c r="D19" s="14"/>
      <c r="K19" s="11"/>
    </row>
    <row r="20" spans="1:11" x14ac:dyDescent="0.25">
      <c r="A20" s="2"/>
      <c r="B20" s="2"/>
      <c r="D20" s="14"/>
      <c r="K20" s="11"/>
    </row>
    <row r="21" spans="1:11" x14ac:dyDescent="0.25">
      <c r="A21" s="36" t="s">
        <v>43</v>
      </c>
      <c r="B21" s="2"/>
      <c r="D21" s="14"/>
    </row>
    <row r="22" spans="1:11" x14ac:dyDescent="0.25">
      <c r="A22" t="s">
        <v>47</v>
      </c>
      <c r="D22" s="14"/>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Ethylene Std Curve</vt:lpstr>
      <vt:lpstr>Class Ethylene Data (2)</vt:lpstr>
      <vt:lpstr>Class Ethylene Data</vt:lpstr>
      <vt:lpstr>Plant biomass Data</vt:lpstr>
      <vt:lpstr>Example 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labuser</dc:creator>
  <cp:lastModifiedBy>Nancy</cp:lastModifiedBy>
  <dcterms:created xsi:type="dcterms:W3CDTF">2019-11-04T20:20:25Z</dcterms:created>
  <dcterms:modified xsi:type="dcterms:W3CDTF">2019-11-19T04:43:23Z</dcterms:modified>
</cp:coreProperties>
</file>