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 Suherli\Desktop\USC\EE 590\"/>
    </mc:Choice>
  </mc:AlternateContent>
  <xr:revisionPtr revIDLastSave="0" documentId="13_ncr:1_{BB9C5341-B3EF-41E5-84F6-E15815B1D8B1}" xr6:coauthVersionLast="44" xr6:coauthVersionMax="44" xr10:uidLastSave="{00000000-0000-0000-0000-000000000000}"/>
  <bookViews>
    <workbookView xWindow="-120" yWindow="-120" windowWidth="29040" windowHeight="16440" activeTab="4" xr2:uid="{B35B5F58-2813-4A9B-9D94-F3EFBD29EFC1}"/>
  </bookViews>
  <sheets>
    <sheet name="Price" sheetId="1" r:id="rId1"/>
    <sheet name="Returns" sheetId="2" r:id="rId2"/>
    <sheet name="Weights" sheetId="3" r:id="rId3"/>
    <sheet name="Portfolio" sheetId="4" r:id="rId4"/>
    <sheet name="Project" sheetId="5" r:id="rId5"/>
    <sheet name="Ratio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7" i="5" l="1"/>
  <c r="W6" i="5"/>
  <c r="W5" i="5"/>
  <c r="W4" i="5"/>
  <c r="W3" i="5"/>
  <c r="W2" i="5"/>
  <c r="V25" i="5"/>
  <c r="K46" i="6" l="1"/>
  <c r="K45" i="6"/>
  <c r="P32" i="6"/>
  <c r="O32" i="6"/>
  <c r="Q28" i="6"/>
  <c r="N32" i="6"/>
  <c r="Q27" i="6"/>
  <c r="Q26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3" i="6"/>
  <c r="T35" i="6"/>
  <c r="T31" i="6"/>
  <c r="N4" i="6"/>
  <c r="N5" i="6"/>
  <c r="N6" i="6"/>
  <c r="N7" i="6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3" i="6"/>
  <c r="N2" i="6"/>
  <c r="N31" i="6"/>
  <c r="L35" i="6"/>
  <c r="L31" i="6"/>
  <c r="O31" i="6" s="1"/>
  <c r="K4" i="6"/>
  <c r="L4" i="6" s="1"/>
  <c r="M4" i="6" s="1"/>
  <c r="K5" i="6"/>
  <c r="L5" i="6" s="1"/>
  <c r="M5" i="6" s="1"/>
  <c r="K6" i="6"/>
  <c r="L6" i="6" s="1"/>
  <c r="M6" i="6" s="1"/>
  <c r="K7" i="6"/>
  <c r="L7" i="6" s="1"/>
  <c r="M7" i="6" s="1"/>
  <c r="K8" i="6"/>
  <c r="L8" i="6" s="1"/>
  <c r="M8" i="6" s="1"/>
  <c r="K9" i="6"/>
  <c r="L9" i="6" s="1"/>
  <c r="M9" i="6" s="1"/>
  <c r="K10" i="6"/>
  <c r="L10" i="6" s="1"/>
  <c r="M10" i="6" s="1"/>
  <c r="K11" i="6"/>
  <c r="L11" i="6" s="1"/>
  <c r="M11" i="6" s="1"/>
  <c r="K12" i="6"/>
  <c r="L12" i="6" s="1"/>
  <c r="M12" i="6" s="1"/>
  <c r="K13" i="6"/>
  <c r="L13" i="6" s="1"/>
  <c r="M13" i="6" s="1"/>
  <c r="K14" i="6"/>
  <c r="L14" i="6" s="1"/>
  <c r="M14" i="6" s="1"/>
  <c r="K15" i="6"/>
  <c r="L15" i="6" s="1"/>
  <c r="M15" i="6" s="1"/>
  <c r="K16" i="6"/>
  <c r="L16" i="6" s="1"/>
  <c r="M16" i="6" s="1"/>
  <c r="K17" i="6"/>
  <c r="L17" i="6" s="1"/>
  <c r="M17" i="6" s="1"/>
  <c r="K18" i="6"/>
  <c r="L18" i="6" s="1"/>
  <c r="M18" i="6" s="1"/>
  <c r="K19" i="6"/>
  <c r="L19" i="6" s="1"/>
  <c r="M19" i="6" s="1"/>
  <c r="K20" i="6"/>
  <c r="L20" i="6" s="1"/>
  <c r="M20" i="6" s="1"/>
  <c r="K21" i="6"/>
  <c r="L21" i="6" s="1"/>
  <c r="M21" i="6" s="1"/>
  <c r="K22" i="6"/>
  <c r="L22" i="6" s="1"/>
  <c r="M22" i="6" s="1"/>
  <c r="K23" i="6"/>
  <c r="L23" i="6" s="1"/>
  <c r="M23" i="6" s="1"/>
  <c r="K24" i="6"/>
  <c r="L24" i="6" s="1"/>
  <c r="M24" i="6" s="1"/>
  <c r="K25" i="6"/>
  <c r="L25" i="6" s="1"/>
  <c r="M25" i="6" s="1"/>
  <c r="K26" i="6"/>
  <c r="L26" i="6" s="1"/>
  <c r="M26" i="6" s="1"/>
  <c r="K3" i="6"/>
  <c r="L3" i="6" s="1"/>
  <c r="M3" i="6" s="1"/>
  <c r="M27" i="6" s="1"/>
  <c r="M28" i="6" s="1"/>
  <c r="P31" i="6" s="1"/>
  <c r="I27" i="6" l="1"/>
  <c r="J27" i="6"/>
  <c r="G27" i="6"/>
  <c r="F27" i="6"/>
  <c r="J26" i="6"/>
  <c r="H26" i="6"/>
  <c r="G26" i="6"/>
  <c r="F26" i="6"/>
  <c r="I26" i="6" s="1"/>
  <c r="H25" i="6"/>
  <c r="G25" i="6"/>
  <c r="J25" i="6" s="1"/>
  <c r="F25" i="6"/>
  <c r="I25" i="6" s="1"/>
  <c r="H24" i="6"/>
  <c r="J24" i="6" s="1"/>
  <c r="G24" i="6"/>
  <c r="F24" i="6"/>
  <c r="I24" i="6" s="1"/>
  <c r="I23" i="6"/>
  <c r="H23" i="6"/>
  <c r="G23" i="6"/>
  <c r="J23" i="6" s="1"/>
  <c r="F23" i="6"/>
  <c r="H22" i="6"/>
  <c r="J22" i="6" s="1"/>
  <c r="G22" i="6"/>
  <c r="F22" i="6"/>
  <c r="I22" i="6" s="1"/>
  <c r="I21" i="6"/>
  <c r="H21" i="6"/>
  <c r="G21" i="6"/>
  <c r="J21" i="6" s="1"/>
  <c r="F21" i="6"/>
  <c r="J20" i="6"/>
  <c r="H20" i="6"/>
  <c r="G20" i="6"/>
  <c r="F20" i="6"/>
  <c r="I20" i="6" s="1"/>
  <c r="I19" i="6"/>
  <c r="H19" i="6"/>
  <c r="G19" i="6"/>
  <c r="J19" i="6" s="1"/>
  <c r="F19" i="6"/>
  <c r="H18" i="6"/>
  <c r="J18" i="6" s="1"/>
  <c r="G18" i="6"/>
  <c r="F18" i="6"/>
  <c r="I18" i="6" s="1"/>
  <c r="I17" i="6"/>
  <c r="H17" i="6"/>
  <c r="G17" i="6"/>
  <c r="J17" i="6" s="1"/>
  <c r="F17" i="6"/>
  <c r="J16" i="6"/>
  <c r="H16" i="6"/>
  <c r="G16" i="6"/>
  <c r="F16" i="6"/>
  <c r="I16" i="6" s="1"/>
  <c r="I15" i="6"/>
  <c r="H15" i="6"/>
  <c r="G15" i="6"/>
  <c r="J15" i="6" s="1"/>
  <c r="F15" i="6"/>
  <c r="H14" i="6"/>
  <c r="J14" i="6" s="1"/>
  <c r="G14" i="6"/>
  <c r="F14" i="6"/>
  <c r="I14" i="6" s="1"/>
  <c r="I13" i="6"/>
  <c r="H13" i="6"/>
  <c r="G13" i="6"/>
  <c r="J13" i="6" s="1"/>
  <c r="F13" i="6"/>
  <c r="J12" i="6"/>
  <c r="H12" i="6"/>
  <c r="G12" i="6"/>
  <c r="F12" i="6"/>
  <c r="I12" i="6" s="1"/>
  <c r="I11" i="6"/>
  <c r="H11" i="6"/>
  <c r="G11" i="6"/>
  <c r="J11" i="6" s="1"/>
  <c r="F11" i="6"/>
  <c r="H10" i="6"/>
  <c r="J10" i="6" s="1"/>
  <c r="G10" i="6"/>
  <c r="F10" i="6"/>
  <c r="I10" i="6" s="1"/>
  <c r="I9" i="6"/>
  <c r="H9" i="6"/>
  <c r="G9" i="6"/>
  <c r="J9" i="6" s="1"/>
  <c r="F9" i="6"/>
  <c r="J8" i="6"/>
  <c r="H8" i="6"/>
  <c r="G8" i="6"/>
  <c r="F8" i="6"/>
  <c r="I8" i="6" s="1"/>
  <c r="I7" i="6"/>
  <c r="H7" i="6"/>
  <c r="G7" i="6"/>
  <c r="J7" i="6" s="1"/>
  <c r="F7" i="6"/>
  <c r="H6" i="6"/>
  <c r="J6" i="6" s="1"/>
  <c r="G6" i="6"/>
  <c r="F6" i="6"/>
  <c r="I6" i="6" s="1"/>
  <c r="I5" i="6"/>
  <c r="H5" i="6"/>
  <c r="G5" i="6"/>
  <c r="J5" i="6" s="1"/>
  <c r="F5" i="6"/>
  <c r="J4" i="6"/>
  <c r="H4" i="6"/>
  <c r="G4" i="6"/>
  <c r="F4" i="6"/>
  <c r="I4" i="6" s="1"/>
  <c r="I3" i="6"/>
  <c r="H3" i="6"/>
  <c r="G3" i="6"/>
  <c r="J3" i="6" s="1"/>
  <c r="F3" i="6"/>
  <c r="U4" i="5" l="1"/>
  <c r="V4" i="5"/>
  <c r="U5" i="5"/>
  <c r="U6" i="5" s="1"/>
  <c r="U7" i="5" s="1"/>
  <c r="U8" i="5" s="1"/>
  <c r="U9" i="5" s="1"/>
  <c r="U10" i="5" s="1"/>
  <c r="U11" i="5" s="1"/>
  <c r="U12" i="5" s="1"/>
  <c r="U13" i="5" s="1"/>
  <c r="U14" i="5" s="1"/>
  <c r="U15" i="5" s="1"/>
  <c r="U16" i="5" s="1"/>
  <c r="U17" i="5" s="1"/>
  <c r="U18" i="5" s="1"/>
  <c r="U19" i="5" s="1"/>
  <c r="U20" i="5" s="1"/>
  <c r="U21" i="5" s="1"/>
  <c r="U22" i="5" s="1"/>
  <c r="U23" i="5" s="1"/>
  <c r="U24" i="5" s="1"/>
  <c r="U25" i="5" s="1"/>
  <c r="U26" i="5" s="1"/>
  <c r="U27" i="5" s="1"/>
  <c r="U28" i="5" s="1"/>
  <c r="U29" i="5" s="1"/>
  <c r="U30" i="5" s="1"/>
  <c r="U31" i="5" s="1"/>
  <c r="U32" i="5" s="1"/>
  <c r="V5" i="5"/>
  <c r="V6" i="5" s="1"/>
  <c r="V7" i="5" s="1"/>
  <c r="V8" i="5" s="1"/>
  <c r="V9" i="5" s="1"/>
  <c r="V10" i="5" s="1"/>
  <c r="V11" i="5" s="1"/>
  <c r="V12" i="5" s="1"/>
  <c r="V13" i="5" s="1"/>
  <c r="V14" i="5" s="1"/>
  <c r="V15" i="5" s="1"/>
  <c r="V16" i="5" s="1"/>
  <c r="V17" i="5" s="1"/>
  <c r="V18" i="5" s="1"/>
  <c r="V19" i="5" s="1"/>
  <c r="V20" i="5" s="1"/>
  <c r="V21" i="5" s="1"/>
  <c r="V22" i="5" s="1"/>
  <c r="V23" i="5" s="1"/>
  <c r="V24" i="5" s="1"/>
  <c r="V26" i="5" s="1"/>
  <c r="V27" i="5" s="1"/>
  <c r="V28" i="5" s="1"/>
  <c r="V29" i="5" s="1"/>
  <c r="V30" i="5" s="1"/>
  <c r="V31" i="5" s="1"/>
  <c r="V32" i="5" s="1"/>
  <c r="V3" i="5"/>
  <c r="U3" i="5"/>
  <c r="V2" i="5"/>
  <c r="U2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" i="5"/>
  <c r="Q86" i="5"/>
  <c r="R4" i="5"/>
  <c r="R5" i="5" s="1"/>
  <c r="R6" i="5" s="1"/>
  <c r="R7" i="5" s="1"/>
  <c r="R8" i="5" s="1"/>
  <c r="R9" i="5" s="1"/>
  <c r="R10" i="5" s="1"/>
  <c r="R11" i="5" s="1"/>
  <c r="R12" i="5" s="1"/>
  <c r="R13" i="5" s="1"/>
  <c r="R14" i="5" s="1"/>
  <c r="R15" i="5" s="1"/>
  <c r="R16" i="5" s="1"/>
  <c r="R17" i="5" s="1"/>
  <c r="R18" i="5" s="1"/>
  <c r="R19" i="5" s="1"/>
  <c r="R20" i="5" s="1"/>
  <c r="R21" i="5" s="1"/>
  <c r="R22" i="5" s="1"/>
  <c r="R23" i="5" s="1"/>
  <c r="R24" i="5" s="1"/>
  <c r="R25" i="5" s="1"/>
  <c r="R26" i="5" s="1"/>
  <c r="R27" i="5" s="1"/>
  <c r="R28" i="5" s="1"/>
  <c r="R29" i="5" s="1"/>
  <c r="R30" i="5" s="1"/>
  <c r="R31" i="5" s="1"/>
  <c r="R32" i="5" s="1"/>
  <c r="R3" i="5"/>
  <c r="R2" i="5"/>
  <c r="J28" i="5" l="1"/>
  <c r="M28" i="5" s="1"/>
  <c r="J32" i="5"/>
  <c r="M32" i="5" s="1"/>
  <c r="G27" i="5"/>
  <c r="J27" i="5" s="1"/>
  <c r="M27" i="5" s="1"/>
  <c r="G28" i="5"/>
  <c r="G29" i="5"/>
  <c r="J29" i="5" s="1"/>
  <c r="M29" i="5" s="1"/>
  <c r="G30" i="5"/>
  <c r="J30" i="5" s="1"/>
  <c r="M30" i="5" s="1"/>
  <c r="G31" i="5"/>
  <c r="J31" i="5" s="1"/>
  <c r="M31" i="5" s="1"/>
  <c r="G32" i="5"/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G4" i="5"/>
  <c r="G5" i="5"/>
  <c r="J5" i="5" s="1"/>
  <c r="M5" i="5" s="1"/>
  <c r="G6" i="5"/>
  <c r="J6" i="5" s="1"/>
  <c r="M6" i="5" s="1"/>
  <c r="G7" i="5"/>
  <c r="G8" i="5"/>
  <c r="G9" i="5"/>
  <c r="J9" i="5" s="1"/>
  <c r="M9" i="5" s="1"/>
  <c r="O9" i="5" s="1"/>
  <c r="P9" i="5" s="1"/>
  <c r="G10" i="5"/>
  <c r="J10" i="5" s="1"/>
  <c r="M10" i="5" s="1"/>
  <c r="G11" i="5"/>
  <c r="G12" i="5"/>
  <c r="G13" i="5"/>
  <c r="J13" i="5" s="1"/>
  <c r="M13" i="5" s="1"/>
  <c r="O13" i="5" s="1"/>
  <c r="P13" i="5" s="1"/>
  <c r="G14" i="5"/>
  <c r="J14" i="5" s="1"/>
  <c r="M14" i="5" s="1"/>
  <c r="G15" i="5"/>
  <c r="G16" i="5"/>
  <c r="G17" i="5"/>
  <c r="J17" i="5" s="1"/>
  <c r="M17" i="5" s="1"/>
  <c r="O17" i="5" s="1"/>
  <c r="P17" i="5" s="1"/>
  <c r="G18" i="5"/>
  <c r="J18" i="5" s="1"/>
  <c r="M18" i="5" s="1"/>
  <c r="G19" i="5"/>
  <c r="G20" i="5"/>
  <c r="G21" i="5"/>
  <c r="J21" i="5" s="1"/>
  <c r="M21" i="5" s="1"/>
  <c r="O21" i="5" s="1"/>
  <c r="P21" i="5" s="1"/>
  <c r="G22" i="5"/>
  <c r="J22" i="5" s="1"/>
  <c r="M22" i="5" s="1"/>
  <c r="G23" i="5"/>
  <c r="G24" i="5"/>
  <c r="G25" i="5"/>
  <c r="J25" i="5" s="1"/>
  <c r="M25" i="5" s="1"/>
  <c r="O25" i="5" s="1"/>
  <c r="P25" i="5" s="1"/>
  <c r="G26" i="5"/>
  <c r="J26" i="5" s="1"/>
  <c r="M26" i="5" s="1"/>
  <c r="G3" i="5"/>
  <c r="J3" i="5" s="1"/>
  <c r="M3" i="5" s="1"/>
  <c r="F4" i="5"/>
  <c r="F5" i="5"/>
  <c r="I5" i="5" s="1"/>
  <c r="F6" i="5"/>
  <c r="I6" i="5" s="1"/>
  <c r="F7" i="5"/>
  <c r="I7" i="5" s="1"/>
  <c r="F8" i="5"/>
  <c r="F9" i="5"/>
  <c r="I9" i="5" s="1"/>
  <c r="F10" i="5"/>
  <c r="I10" i="5" s="1"/>
  <c r="F11" i="5"/>
  <c r="I11" i="5" s="1"/>
  <c r="F12" i="5"/>
  <c r="F13" i="5"/>
  <c r="I13" i="5" s="1"/>
  <c r="F14" i="5"/>
  <c r="I14" i="5" s="1"/>
  <c r="F15" i="5"/>
  <c r="I15" i="5" s="1"/>
  <c r="F16" i="5"/>
  <c r="F17" i="5"/>
  <c r="I17" i="5" s="1"/>
  <c r="F18" i="5"/>
  <c r="I18" i="5" s="1"/>
  <c r="F19" i="5"/>
  <c r="I19" i="5" s="1"/>
  <c r="F20" i="5"/>
  <c r="F21" i="5"/>
  <c r="I21" i="5" s="1"/>
  <c r="F22" i="5"/>
  <c r="I22" i="5" s="1"/>
  <c r="F23" i="5"/>
  <c r="I23" i="5" s="1"/>
  <c r="F24" i="5"/>
  <c r="F25" i="5"/>
  <c r="I25" i="5" s="1"/>
  <c r="F26" i="5"/>
  <c r="I26" i="5" s="1"/>
  <c r="F3" i="5"/>
  <c r="I3" i="5" s="1"/>
  <c r="M32" i="4"/>
  <c r="M33" i="4"/>
  <c r="M34" i="4"/>
  <c r="B33" i="4"/>
  <c r="C33" i="4"/>
  <c r="D33" i="4"/>
  <c r="E33" i="4"/>
  <c r="E34" i="4" s="1"/>
  <c r="F33" i="4"/>
  <c r="G33" i="4"/>
  <c r="H33" i="4"/>
  <c r="I33" i="4"/>
  <c r="I34" i="4" s="1"/>
  <c r="J33" i="4"/>
  <c r="K33" i="4"/>
  <c r="L33" i="4"/>
  <c r="B34" i="4"/>
  <c r="C34" i="4"/>
  <c r="D34" i="4"/>
  <c r="F34" i="4"/>
  <c r="G34" i="4"/>
  <c r="H34" i="4"/>
  <c r="J34" i="4"/>
  <c r="K34" i="4"/>
  <c r="L34" i="4"/>
  <c r="K32" i="4"/>
  <c r="G32" i="4"/>
  <c r="E32" i="4"/>
  <c r="D32" i="4"/>
  <c r="B32" i="4"/>
  <c r="C32" i="4"/>
  <c r="F32" i="4"/>
  <c r="H32" i="4"/>
  <c r="I32" i="4"/>
  <c r="J32" i="4"/>
  <c r="L32" i="4"/>
  <c r="M31" i="4"/>
  <c r="C31" i="4"/>
  <c r="D31" i="4"/>
  <c r="E31" i="4"/>
  <c r="F31" i="4"/>
  <c r="G31" i="4"/>
  <c r="H31" i="4"/>
  <c r="I31" i="4"/>
  <c r="J31" i="4"/>
  <c r="K31" i="4"/>
  <c r="L31" i="4"/>
  <c r="B31" i="4"/>
  <c r="H29" i="4"/>
  <c r="H30" i="4" s="1"/>
  <c r="H28" i="4"/>
  <c r="G29" i="4"/>
  <c r="G30" i="4" s="1"/>
  <c r="G28" i="4"/>
  <c r="B29" i="4"/>
  <c r="C29" i="4"/>
  <c r="D29" i="4"/>
  <c r="E29" i="4"/>
  <c r="E30" i="4" s="1"/>
  <c r="F29" i="4"/>
  <c r="I29" i="4"/>
  <c r="I30" i="4" s="1"/>
  <c r="J29" i="4"/>
  <c r="K29" i="4"/>
  <c r="L29" i="4"/>
  <c r="B30" i="4"/>
  <c r="C30" i="4"/>
  <c r="D30" i="4"/>
  <c r="F30" i="4"/>
  <c r="J30" i="4"/>
  <c r="K30" i="4"/>
  <c r="L30" i="4"/>
  <c r="L28" i="4"/>
  <c r="C28" i="4"/>
  <c r="D28" i="4"/>
  <c r="E28" i="4"/>
  <c r="F28" i="4"/>
  <c r="I28" i="4"/>
  <c r="J28" i="4"/>
  <c r="K28" i="4"/>
  <c r="B28" i="4"/>
  <c r="M27" i="4"/>
  <c r="C27" i="4"/>
  <c r="D27" i="4"/>
  <c r="E27" i="4"/>
  <c r="F27" i="4"/>
  <c r="G27" i="4"/>
  <c r="H27" i="4"/>
  <c r="I27" i="4"/>
  <c r="J27" i="4"/>
  <c r="K27" i="4"/>
  <c r="L27" i="4"/>
  <c r="B27" i="4"/>
  <c r="M26" i="4"/>
  <c r="M24" i="4"/>
  <c r="M25" i="4"/>
  <c r="B25" i="4"/>
  <c r="C25" i="4"/>
  <c r="C26" i="4" s="1"/>
  <c r="D25" i="4"/>
  <c r="D26" i="4" s="1"/>
  <c r="E25" i="4"/>
  <c r="E26" i="4" s="1"/>
  <c r="F25" i="4"/>
  <c r="G25" i="4"/>
  <c r="G26" i="4" s="1"/>
  <c r="H25" i="4"/>
  <c r="H26" i="4" s="1"/>
  <c r="I25" i="4"/>
  <c r="I26" i="4" s="1"/>
  <c r="J25" i="4"/>
  <c r="K25" i="4"/>
  <c r="K26" i="4" s="1"/>
  <c r="L25" i="4"/>
  <c r="L26" i="4" s="1"/>
  <c r="B26" i="4"/>
  <c r="F26" i="4"/>
  <c r="J26" i="4"/>
  <c r="C24" i="4"/>
  <c r="D24" i="4"/>
  <c r="E24" i="4"/>
  <c r="F24" i="4"/>
  <c r="G24" i="4"/>
  <c r="H24" i="4"/>
  <c r="I24" i="4"/>
  <c r="J24" i="4"/>
  <c r="K24" i="4"/>
  <c r="L24" i="4"/>
  <c r="B24" i="4"/>
  <c r="M23" i="4"/>
  <c r="C23" i="4"/>
  <c r="D23" i="4"/>
  <c r="E23" i="4"/>
  <c r="F23" i="4"/>
  <c r="G23" i="4"/>
  <c r="H23" i="4"/>
  <c r="I23" i="4"/>
  <c r="J23" i="4"/>
  <c r="K23" i="4"/>
  <c r="L23" i="4"/>
  <c r="B23" i="4"/>
  <c r="K21" i="4"/>
  <c r="K22" i="4"/>
  <c r="K20" i="4"/>
  <c r="I21" i="4"/>
  <c r="I22" i="4"/>
  <c r="I20" i="4"/>
  <c r="G21" i="4"/>
  <c r="G22" i="4"/>
  <c r="G20" i="4"/>
  <c r="H21" i="4"/>
  <c r="J21" i="4"/>
  <c r="H20" i="4"/>
  <c r="J20" i="4"/>
  <c r="L20" i="4"/>
  <c r="M19" i="4"/>
  <c r="B21" i="4"/>
  <c r="C21" i="4"/>
  <c r="D21" i="4"/>
  <c r="D22" i="4" s="1"/>
  <c r="E21" i="4"/>
  <c r="E22" i="4" s="1"/>
  <c r="F21" i="4"/>
  <c r="L21" i="4"/>
  <c r="L22" i="4" s="1"/>
  <c r="B22" i="4"/>
  <c r="C22" i="4"/>
  <c r="F22" i="4"/>
  <c r="J22" i="4"/>
  <c r="C20" i="4"/>
  <c r="D20" i="4"/>
  <c r="E20" i="4"/>
  <c r="F20" i="4"/>
  <c r="B20" i="4"/>
  <c r="C19" i="4"/>
  <c r="D19" i="4"/>
  <c r="E19" i="4"/>
  <c r="F19" i="4"/>
  <c r="G19" i="4"/>
  <c r="H19" i="4"/>
  <c r="I19" i="4"/>
  <c r="J19" i="4"/>
  <c r="K19" i="4"/>
  <c r="L19" i="4"/>
  <c r="B19" i="4"/>
  <c r="M15" i="4"/>
  <c r="M16" i="4"/>
  <c r="M17" i="4"/>
  <c r="M18" i="4"/>
  <c r="B17" i="4"/>
  <c r="C17" i="4"/>
  <c r="D17" i="4"/>
  <c r="E17" i="4"/>
  <c r="E18" i="4" s="1"/>
  <c r="F17" i="4"/>
  <c r="G17" i="4"/>
  <c r="H17" i="4"/>
  <c r="I17" i="4"/>
  <c r="I18" i="4" s="1"/>
  <c r="J17" i="4"/>
  <c r="K17" i="4"/>
  <c r="L17" i="4"/>
  <c r="B18" i="4"/>
  <c r="C18" i="4"/>
  <c r="D18" i="4"/>
  <c r="F18" i="4"/>
  <c r="G18" i="4"/>
  <c r="H18" i="4"/>
  <c r="J18" i="4"/>
  <c r="K18" i="4"/>
  <c r="L18" i="4"/>
  <c r="B16" i="4"/>
  <c r="C16" i="4"/>
  <c r="D16" i="4"/>
  <c r="E16" i="4"/>
  <c r="F16" i="4"/>
  <c r="G16" i="4"/>
  <c r="H16" i="4"/>
  <c r="I16" i="4"/>
  <c r="J16" i="4"/>
  <c r="K16" i="4"/>
  <c r="L16" i="4"/>
  <c r="C15" i="4"/>
  <c r="D15" i="4"/>
  <c r="E15" i="4"/>
  <c r="F15" i="4"/>
  <c r="G15" i="4"/>
  <c r="H15" i="4"/>
  <c r="I15" i="4"/>
  <c r="J15" i="4"/>
  <c r="K15" i="4"/>
  <c r="L15" i="4"/>
  <c r="B15" i="4"/>
  <c r="F11" i="4"/>
  <c r="F12" i="4"/>
  <c r="F13" i="4" s="1"/>
  <c r="F14" i="4" s="1"/>
  <c r="E11" i="4"/>
  <c r="L4" i="4"/>
  <c r="L5" i="4" s="1"/>
  <c r="L6" i="4" s="1"/>
  <c r="D4" i="4"/>
  <c r="D5" i="4" s="1"/>
  <c r="D6" i="4" s="1"/>
  <c r="I4" i="4"/>
  <c r="I5" i="4" s="1"/>
  <c r="I6" i="4" s="1"/>
  <c r="J4" i="4"/>
  <c r="J5" i="4" s="1"/>
  <c r="J6" i="4" s="1"/>
  <c r="C3" i="4"/>
  <c r="M3" i="4" s="1"/>
  <c r="D3" i="4"/>
  <c r="E3" i="4"/>
  <c r="E4" i="4" s="1"/>
  <c r="E5" i="4" s="1"/>
  <c r="E6" i="4" s="1"/>
  <c r="F3" i="4"/>
  <c r="F4" i="4" s="1"/>
  <c r="F5" i="4" s="1"/>
  <c r="F6" i="4" s="1"/>
  <c r="G3" i="4"/>
  <c r="G4" i="4" s="1"/>
  <c r="G5" i="4" s="1"/>
  <c r="G6" i="4" s="1"/>
  <c r="H3" i="4"/>
  <c r="H4" i="4" s="1"/>
  <c r="H5" i="4" s="1"/>
  <c r="H6" i="4" s="1"/>
  <c r="I3" i="4"/>
  <c r="J3" i="4"/>
  <c r="K3" i="4"/>
  <c r="K4" i="4" s="1"/>
  <c r="K5" i="4" s="1"/>
  <c r="K6" i="4" s="1"/>
  <c r="L3" i="4"/>
  <c r="B3" i="4"/>
  <c r="B4" i="4" s="1"/>
  <c r="B5" i="4" s="1"/>
  <c r="B6" i="4" s="1"/>
  <c r="N9" i="3"/>
  <c r="N7" i="3"/>
  <c r="N8" i="3"/>
  <c r="N3" i="3"/>
  <c r="N4" i="3"/>
  <c r="N5" i="3"/>
  <c r="N6" i="3"/>
  <c r="N2" i="3"/>
  <c r="B4" i="2"/>
  <c r="C4" i="2"/>
  <c r="D4" i="2"/>
  <c r="E4" i="2"/>
  <c r="F4" i="2"/>
  <c r="G4" i="2"/>
  <c r="H4" i="2"/>
  <c r="I4" i="2"/>
  <c r="J4" i="2"/>
  <c r="K4" i="2"/>
  <c r="L4" i="2"/>
  <c r="B5" i="2"/>
  <c r="C5" i="2"/>
  <c r="D5" i="2"/>
  <c r="E5" i="2"/>
  <c r="F5" i="2"/>
  <c r="G5" i="2"/>
  <c r="H5" i="2"/>
  <c r="I5" i="2"/>
  <c r="J5" i="2"/>
  <c r="K5" i="2"/>
  <c r="L5" i="2"/>
  <c r="B6" i="2"/>
  <c r="C6" i="2"/>
  <c r="D6" i="2"/>
  <c r="E6" i="2"/>
  <c r="F6" i="2"/>
  <c r="G6" i="2"/>
  <c r="H6" i="2"/>
  <c r="I6" i="2"/>
  <c r="J6" i="2"/>
  <c r="K6" i="2"/>
  <c r="L6" i="2"/>
  <c r="B7" i="2"/>
  <c r="C7" i="2"/>
  <c r="D7" i="2"/>
  <c r="E7" i="2"/>
  <c r="F7" i="2"/>
  <c r="G7" i="2"/>
  <c r="H7" i="2"/>
  <c r="I7" i="2"/>
  <c r="J7" i="2"/>
  <c r="K7" i="2"/>
  <c r="L7" i="2"/>
  <c r="B8" i="2"/>
  <c r="C8" i="2"/>
  <c r="D8" i="2"/>
  <c r="E8" i="2"/>
  <c r="F8" i="2"/>
  <c r="G8" i="2"/>
  <c r="H8" i="2"/>
  <c r="I8" i="2"/>
  <c r="J8" i="2"/>
  <c r="K8" i="2"/>
  <c r="L8" i="2"/>
  <c r="B9" i="2"/>
  <c r="C9" i="2"/>
  <c r="D9" i="2"/>
  <c r="E9" i="2"/>
  <c r="F9" i="2"/>
  <c r="G9" i="2"/>
  <c r="H9" i="2"/>
  <c r="I9" i="2"/>
  <c r="J9" i="2"/>
  <c r="K9" i="2"/>
  <c r="L9" i="2"/>
  <c r="B10" i="2"/>
  <c r="C10" i="2"/>
  <c r="D10" i="2"/>
  <c r="E10" i="2"/>
  <c r="F10" i="2"/>
  <c r="G10" i="2"/>
  <c r="H10" i="2"/>
  <c r="I10" i="2"/>
  <c r="J10" i="2"/>
  <c r="K10" i="2"/>
  <c r="L10" i="2"/>
  <c r="B11" i="2"/>
  <c r="C11" i="2"/>
  <c r="D11" i="2"/>
  <c r="E11" i="2"/>
  <c r="F11" i="2"/>
  <c r="G11" i="2"/>
  <c r="H11" i="2"/>
  <c r="I11" i="2"/>
  <c r="J11" i="2"/>
  <c r="K11" i="2"/>
  <c r="L11" i="2"/>
  <c r="B12" i="2"/>
  <c r="C12" i="2"/>
  <c r="D12" i="2"/>
  <c r="E12" i="2"/>
  <c r="F12" i="2"/>
  <c r="G12" i="2"/>
  <c r="H12" i="2"/>
  <c r="I12" i="2"/>
  <c r="J12" i="2"/>
  <c r="K12" i="2"/>
  <c r="L12" i="2"/>
  <c r="B13" i="2"/>
  <c r="C13" i="2"/>
  <c r="D13" i="2"/>
  <c r="E13" i="2"/>
  <c r="F13" i="2"/>
  <c r="G13" i="2"/>
  <c r="H13" i="2"/>
  <c r="I13" i="2"/>
  <c r="J13" i="2"/>
  <c r="K13" i="2"/>
  <c r="L13" i="2"/>
  <c r="B14" i="2"/>
  <c r="C14" i="2"/>
  <c r="D14" i="2"/>
  <c r="E14" i="2"/>
  <c r="F14" i="2"/>
  <c r="G14" i="2"/>
  <c r="H14" i="2"/>
  <c r="I14" i="2"/>
  <c r="J14" i="2"/>
  <c r="K14" i="2"/>
  <c r="L14" i="2"/>
  <c r="B15" i="2"/>
  <c r="C15" i="2"/>
  <c r="D15" i="2"/>
  <c r="E15" i="2"/>
  <c r="F15" i="2"/>
  <c r="G15" i="2"/>
  <c r="H15" i="2"/>
  <c r="I15" i="2"/>
  <c r="J15" i="2"/>
  <c r="K15" i="2"/>
  <c r="L15" i="2"/>
  <c r="B16" i="2"/>
  <c r="C16" i="2"/>
  <c r="D16" i="2"/>
  <c r="E16" i="2"/>
  <c r="F16" i="2"/>
  <c r="G16" i="2"/>
  <c r="H16" i="2"/>
  <c r="I16" i="2"/>
  <c r="J16" i="2"/>
  <c r="K16" i="2"/>
  <c r="L16" i="2"/>
  <c r="B17" i="2"/>
  <c r="C17" i="2"/>
  <c r="D17" i="2"/>
  <c r="E17" i="2"/>
  <c r="F17" i="2"/>
  <c r="G17" i="2"/>
  <c r="H17" i="2"/>
  <c r="I17" i="2"/>
  <c r="J17" i="2"/>
  <c r="K17" i="2"/>
  <c r="L17" i="2"/>
  <c r="B18" i="2"/>
  <c r="C18" i="2"/>
  <c r="D18" i="2"/>
  <c r="E18" i="2"/>
  <c r="F18" i="2"/>
  <c r="G18" i="2"/>
  <c r="H18" i="2"/>
  <c r="I18" i="2"/>
  <c r="J18" i="2"/>
  <c r="K18" i="2"/>
  <c r="L18" i="2"/>
  <c r="B19" i="2"/>
  <c r="C19" i="2"/>
  <c r="D19" i="2"/>
  <c r="E19" i="2"/>
  <c r="F19" i="2"/>
  <c r="G19" i="2"/>
  <c r="H19" i="2"/>
  <c r="I19" i="2"/>
  <c r="J19" i="2"/>
  <c r="K19" i="2"/>
  <c r="L19" i="2"/>
  <c r="B20" i="2"/>
  <c r="C20" i="2"/>
  <c r="D20" i="2"/>
  <c r="E20" i="2"/>
  <c r="F20" i="2"/>
  <c r="G20" i="2"/>
  <c r="H20" i="2"/>
  <c r="I20" i="2"/>
  <c r="J20" i="2"/>
  <c r="K20" i="2"/>
  <c r="L20" i="2"/>
  <c r="B21" i="2"/>
  <c r="C21" i="2"/>
  <c r="D21" i="2"/>
  <c r="E21" i="2"/>
  <c r="F21" i="2"/>
  <c r="G21" i="2"/>
  <c r="H21" i="2"/>
  <c r="I21" i="2"/>
  <c r="J21" i="2"/>
  <c r="K21" i="2"/>
  <c r="L21" i="2"/>
  <c r="B22" i="2"/>
  <c r="C22" i="2"/>
  <c r="D22" i="2"/>
  <c r="E22" i="2"/>
  <c r="F22" i="2"/>
  <c r="G22" i="2"/>
  <c r="H22" i="2"/>
  <c r="I22" i="2"/>
  <c r="J22" i="2"/>
  <c r="K22" i="2"/>
  <c r="L22" i="2"/>
  <c r="B23" i="2"/>
  <c r="C23" i="2"/>
  <c r="D23" i="2"/>
  <c r="E23" i="2"/>
  <c r="F23" i="2"/>
  <c r="G23" i="2"/>
  <c r="H23" i="2"/>
  <c r="I23" i="2"/>
  <c r="J23" i="2"/>
  <c r="K23" i="2"/>
  <c r="L23" i="2"/>
  <c r="B24" i="2"/>
  <c r="C24" i="2"/>
  <c r="D24" i="2"/>
  <c r="E24" i="2"/>
  <c r="F24" i="2"/>
  <c r="G24" i="2"/>
  <c r="H24" i="2"/>
  <c r="I24" i="2"/>
  <c r="J24" i="2"/>
  <c r="K24" i="2"/>
  <c r="L24" i="2"/>
  <c r="B25" i="2"/>
  <c r="C25" i="2"/>
  <c r="D25" i="2"/>
  <c r="E25" i="2"/>
  <c r="F25" i="2"/>
  <c r="G25" i="2"/>
  <c r="H25" i="2"/>
  <c r="I25" i="2"/>
  <c r="J25" i="2"/>
  <c r="K25" i="2"/>
  <c r="L25" i="2"/>
  <c r="B26" i="2"/>
  <c r="C26" i="2"/>
  <c r="D26" i="2"/>
  <c r="E26" i="2"/>
  <c r="F26" i="2"/>
  <c r="G26" i="2"/>
  <c r="H26" i="2"/>
  <c r="I26" i="2"/>
  <c r="J26" i="2"/>
  <c r="K26" i="2"/>
  <c r="L26" i="2"/>
  <c r="G3" i="2"/>
  <c r="H3" i="2"/>
  <c r="I3" i="2"/>
  <c r="J3" i="2"/>
  <c r="K3" i="2"/>
  <c r="L3" i="2"/>
  <c r="C3" i="2"/>
  <c r="D3" i="2"/>
  <c r="E3" i="2"/>
  <c r="F3" i="2"/>
  <c r="B3" i="2"/>
  <c r="I24" i="5" l="1"/>
  <c r="I20" i="5"/>
  <c r="I16" i="5"/>
  <c r="I12" i="5"/>
  <c r="I8" i="5"/>
  <c r="I4" i="5"/>
  <c r="J24" i="5"/>
  <c r="M24" i="5" s="1"/>
  <c r="O24" i="5" s="1"/>
  <c r="P24" i="5" s="1"/>
  <c r="Q24" i="5" s="1"/>
  <c r="J20" i="5"/>
  <c r="M20" i="5" s="1"/>
  <c r="O20" i="5" s="1"/>
  <c r="P20" i="5" s="1"/>
  <c r="Q20" i="5" s="1"/>
  <c r="J16" i="5"/>
  <c r="M16" i="5" s="1"/>
  <c r="O16" i="5" s="1"/>
  <c r="P16" i="5" s="1"/>
  <c r="J12" i="5"/>
  <c r="M12" i="5" s="1"/>
  <c r="O12" i="5" s="1"/>
  <c r="P12" i="5" s="1"/>
  <c r="Q12" i="5" s="1"/>
  <c r="J8" i="5"/>
  <c r="M8" i="5" s="1"/>
  <c r="O8" i="5" s="1"/>
  <c r="P8" i="5" s="1"/>
  <c r="Q8" i="5" s="1"/>
  <c r="J4" i="5"/>
  <c r="M4" i="5" s="1"/>
  <c r="J23" i="5"/>
  <c r="M23" i="5" s="1"/>
  <c r="O23" i="5" s="1"/>
  <c r="P23" i="5" s="1"/>
  <c r="J19" i="5"/>
  <c r="M19" i="5" s="1"/>
  <c r="O19" i="5" s="1"/>
  <c r="P19" i="5" s="1"/>
  <c r="J15" i="5"/>
  <c r="M15" i="5" s="1"/>
  <c r="O15" i="5" s="1"/>
  <c r="P15" i="5" s="1"/>
  <c r="Q15" i="5" s="1"/>
  <c r="J11" i="5"/>
  <c r="M11" i="5" s="1"/>
  <c r="O11" i="5" s="1"/>
  <c r="P11" i="5" s="1"/>
  <c r="Q11" i="5" s="1"/>
  <c r="J7" i="5"/>
  <c r="M7" i="5" s="1"/>
  <c r="O7" i="5" s="1"/>
  <c r="P7" i="5" s="1"/>
  <c r="O26" i="5"/>
  <c r="P26" i="5" s="1"/>
  <c r="O22" i="5"/>
  <c r="P22" i="5" s="1"/>
  <c r="Q22" i="5" s="1"/>
  <c r="O18" i="5"/>
  <c r="P18" i="5" s="1"/>
  <c r="O14" i="5"/>
  <c r="P14" i="5" s="1"/>
  <c r="O10" i="5"/>
  <c r="P10" i="5" s="1"/>
  <c r="O6" i="5"/>
  <c r="P6" i="5" s="1"/>
  <c r="Q6" i="5" s="1"/>
  <c r="O4" i="5"/>
  <c r="P4" i="5" s="1"/>
  <c r="Q4" i="5" s="1"/>
  <c r="O5" i="5"/>
  <c r="P5" i="5" s="1"/>
  <c r="Q5" i="5" s="1"/>
  <c r="Q16" i="5"/>
  <c r="Q23" i="5"/>
  <c r="Q19" i="5"/>
  <c r="Q7" i="5"/>
  <c r="O3" i="5"/>
  <c r="P3" i="5" s="1"/>
  <c r="Q3" i="5" s="1"/>
  <c r="N3" i="5"/>
  <c r="Q18" i="5"/>
  <c r="Q14" i="5"/>
  <c r="Q10" i="5"/>
  <c r="Q25" i="5"/>
  <c r="Q13" i="5"/>
  <c r="Q17" i="5"/>
  <c r="Q21" i="5"/>
  <c r="Q9" i="5"/>
  <c r="Q26" i="5"/>
  <c r="M28" i="4"/>
  <c r="H22" i="4"/>
  <c r="M21" i="4"/>
  <c r="M20" i="4"/>
  <c r="C4" i="4"/>
  <c r="C5" i="4" s="1"/>
  <c r="C6" i="4" s="1"/>
  <c r="M5" i="4"/>
  <c r="M4" i="4"/>
  <c r="M6" i="4"/>
  <c r="N4" i="5" l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M29" i="4"/>
  <c r="M30" i="4"/>
  <c r="M22" i="4"/>
  <c r="D7" i="4"/>
  <c r="D8" i="4" s="1"/>
  <c r="D9" i="4" s="1"/>
  <c r="D10" i="4" s="1"/>
  <c r="H7" i="4"/>
  <c r="H8" i="4" s="1"/>
  <c r="H9" i="4" s="1"/>
  <c r="H10" i="4" s="1"/>
  <c r="L7" i="4"/>
  <c r="L8" i="4" s="1"/>
  <c r="L9" i="4" s="1"/>
  <c r="L10" i="4" s="1"/>
  <c r="G7" i="4"/>
  <c r="G8" i="4" s="1"/>
  <c r="G9" i="4" s="1"/>
  <c r="G10" i="4" s="1"/>
  <c r="K7" i="4"/>
  <c r="K8" i="4" s="1"/>
  <c r="K9" i="4" s="1"/>
  <c r="K10" i="4" s="1"/>
  <c r="E7" i="4"/>
  <c r="E8" i="4" s="1"/>
  <c r="E9" i="4" s="1"/>
  <c r="E10" i="4" s="1"/>
  <c r="I7" i="4"/>
  <c r="I8" i="4" s="1"/>
  <c r="I9" i="4" s="1"/>
  <c r="I10" i="4" s="1"/>
  <c r="B7" i="4"/>
  <c r="F7" i="4"/>
  <c r="F8" i="4" s="1"/>
  <c r="F9" i="4" s="1"/>
  <c r="F10" i="4" s="1"/>
  <c r="J7" i="4"/>
  <c r="J8" i="4" s="1"/>
  <c r="J9" i="4" s="1"/>
  <c r="J10" i="4" s="1"/>
  <c r="C7" i="4"/>
  <c r="C8" i="4" s="1"/>
  <c r="C9" i="4" s="1"/>
  <c r="C10" i="4" s="1"/>
  <c r="M7" i="4" l="1"/>
  <c r="B8" i="4"/>
  <c r="M8" i="4" l="1"/>
  <c r="B9" i="4"/>
  <c r="B10" i="4" l="1"/>
  <c r="M10" i="4" s="1"/>
  <c r="M9" i="4"/>
  <c r="J11" i="4" l="1"/>
  <c r="J12" i="4" s="1"/>
  <c r="J13" i="4" s="1"/>
  <c r="J14" i="4" s="1"/>
  <c r="D11" i="4"/>
  <c r="D12" i="4" s="1"/>
  <c r="D13" i="4" s="1"/>
  <c r="D14" i="4" s="1"/>
  <c r="L11" i="4"/>
  <c r="L12" i="4" s="1"/>
  <c r="L13" i="4" s="1"/>
  <c r="L14" i="4" s="1"/>
  <c r="I11" i="4"/>
  <c r="I12" i="4" s="1"/>
  <c r="I13" i="4" s="1"/>
  <c r="I14" i="4" s="1"/>
  <c r="B11" i="4"/>
  <c r="C11" i="4"/>
  <c r="C12" i="4" s="1"/>
  <c r="C13" i="4" s="1"/>
  <c r="C14" i="4" s="1"/>
  <c r="G11" i="4"/>
  <c r="G12" i="4" s="1"/>
  <c r="G13" i="4" s="1"/>
  <c r="G14" i="4" s="1"/>
  <c r="K11" i="4"/>
  <c r="K12" i="4" s="1"/>
  <c r="K13" i="4" s="1"/>
  <c r="K14" i="4" s="1"/>
  <c r="H11" i="4"/>
  <c r="H12" i="4" s="1"/>
  <c r="H13" i="4" s="1"/>
  <c r="H14" i="4" s="1"/>
  <c r="E12" i="4"/>
  <c r="E13" i="4" s="1"/>
  <c r="E14" i="4" s="1"/>
  <c r="B12" i="4" l="1"/>
  <c r="M11" i="4"/>
  <c r="M12" i="4" l="1"/>
  <c r="B13" i="4"/>
  <c r="M13" i="4" l="1"/>
  <c r="B14" i="4"/>
  <c r="M14" i="4" s="1"/>
</calcChain>
</file>

<file path=xl/sharedStrings.xml><?xml version="1.0" encoding="utf-8"?>
<sst xmlns="http://schemas.openxmlformats.org/spreadsheetml/2006/main" count="268" uniqueCount="115">
  <si>
    <t>AAPL</t>
  </si>
  <si>
    <t>Date</t>
  </si>
  <si>
    <t>GOOGL</t>
  </si>
  <si>
    <t>WFC</t>
  </si>
  <si>
    <t>GS</t>
  </si>
  <si>
    <t>ATVJ</t>
  </si>
  <si>
    <t>MS</t>
  </si>
  <si>
    <t>FL</t>
  </si>
  <si>
    <t>COLM</t>
  </si>
  <si>
    <t>JPM</t>
  </si>
  <si>
    <t>BAC</t>
  </si>
  <si>
    <t>LULU</t>
  </si>
  <si>
    <t>-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</si>
  <si>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</si>
  <si>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</si>
  <si>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</si>
  <si>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</si>
  <si>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</si>
  <si>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</si>
  <si>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</si>
  <si>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</si>
  <si>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ATVI</t>
  </si>
  <si>
    <t>Port Values</t>
  </si>
  <si>
    <t>Portfolio</t>
  </si>
  <si>
    <t>SPX</t>
  </si>
  <si>
    <t>TNX</t>
  </si>
  <si>
    <t>P_Ret</t>
  </si>
  <si>
    <t>SPX_Ret</t>
  </si>
  <si>
    <t>TNX_M</t>
  </si>
  <si>
    <t>RP</t>
  </si>
  <si>
    <t>MRP</t>
  </si>
  <si>
    <t>SMB</t>
  </si>
  <si>
    <t>HML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</si>
  <si>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</si>
  <si>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</si>
  <si>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</si>
  <si>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</si>
  <si>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</si>
  <si>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</si>
  <si>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</si>
  <si>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</si>
  <si>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</si>
  <si>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</si>
  <si>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</si>
  <si>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df</t>
  </si>
  <si>
    <t>SS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</si>
  <si>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</si>
  <si>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</si>
  <si>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</si>
  <si>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</si>
  <si>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</si>
  <si>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</si>
  <si>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</si>
  <si>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</si>
  <si>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</si>
  <si>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Beta</t>
  </si>
  <si>
    <t>F_Ret</t>
  </si>
  <si>
    <t>F_P</t>
  </si>
  <si>
    <t>AR</t>
  </si>
  <si>
    <t>T_AR</t>
  </si>
  <si>
    <t>P value</t>
  </si>
  <si>
    <t>Month</t>
  </si>
  <si>
    <t>S&amp;P Ret</t>
  </si>
  <si>
    <t>RESIDUAL OUTPUT</t>
  </si>
  <si>
    <t>Observation</t>
  </si>
  <si>
    <t>Predicted Y</t>
  </si>
  <si>
    <t>Residuals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</si>
  <si>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</si>
  <si>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</si>
  <si>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</si>
  <si>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</si>
  <si>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</si>
  <si>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</si>
  <si>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</si>
  <si>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</si>
  <si>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</si>
  <si>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</si>
  <si>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</si>
  <si>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</si>
  <si>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</si>
  <si>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Alpha</t>
  </si>
  <si>
    <t>F_P Upper 95%</t>
  </si>
  <si>
    <t>F_P Lower 95%</t>
  </si>
  <si>
    <t>F_P95</t>
  </si>
  <si>
    <t>F_PU95</t>
  </si>
  <si>
    <t>Average</t>
  </si>
  <si>
    <t>P_Ret - E[P_Ret]</t>
  </si>
  <si>
    <t>DS</t>
  </si>
  <si>
    <t>DS^2</t>
  </si>
  <si>
    <t>Annual</t>
  </si>
  <si>
    <t>Sharpe</t>
  </si>
  <si>
    <t>Treynor</t>
  </si>
  <si>
    <t>Sortino</t>
  </si>
  <si>
    <t>P_SPX</t>
  </si>
  <si>
    <t>SPX_ret-Mean</t>
  </si>
  <si>
    <t>DSSPX</t>
  </si>
  <si>
    <t>DSSPX^2</t>
  </si>
  <si>
    <t>10% VAR</t>
  </si>
  <si>
    <t>5%  VAR</t>
  </si>
  <si>
    <t>Portfolio Total</t>
  </si>
  <si>
    <t>&gt; tseries::adf.test(tsP_ret)</t>
  </si>
  <si>
    <t xml:space="preserve">        Augmented Dickey-Fuller Test</t>
  </si>
  <si>
    <t>data:  tsP_ret</t>
  </si>
  <si>
    <t>Dickey-Fuller = -3.0513, Lag order = 2, p-value = 0.1719</t>
  </si>
  <si>
    <t>alternative hypothesis: stationary</t>
  </si>
  <si>
    <t>Intercept</t>
  </si>
  <si>
    <t>X Variable 1</t>
  </si>
  <si>
    <t>Quarterly</t>
  </si>
  <si>
    <t>t-Test: Two-Sample Assuming Unequal Variances</t>
  </si>
  <si>
    <t>Variance</t>
  </si>
  <si>
    <t>Hypothesized Mean Difference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</si>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</sst>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0000"/>
    <numFmt numFmtId="165" formatCode="_(&quot;$&quot;* #,##0.0_);_(&quot;$&quot;* \(#,##0.0\);_(&quot;$&quot;* &quot;-&quot;??_);_(@_)"/>
    <numFmt numFmtId="166" formatCode="0.0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i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32">
    <xf numFmtId="0" fontId="0" fillId="0" borderId="0" xfId="0"/>
    <xf numFmtId="14" fontId="0" fillId="34" borderId="0" xfId="0" applyNumberFormat="1" applyFill="1"/>
    <xf numFmtId="0" fontId="16" fillId="33" borderId="0" xfId="0" applyFont="1" applyFill="1"/>
    <xf numFmtId="14" fontId="0" fillId="33" borderId="0" xfId="0" applyNumberFormat="1" applyFill="1"/>
    <xf numFmtId="14" fontId="16" fillId="33" borderId="0" xfId="0" applyNumberFormat="1" applyFont="1" applyFill="1"/>
    <xf numFmtId="0" fontId="0" fillId="0" borderId="0" xfId="0"/>
    <xf numFmtId="0" fontId="0" fillId="0" borderId="0" xfId="0"/>
    <xf numFmtId="0" fontId="0" fillId="0" borderId="0" xfId="0"/>
    <xf numFmtId="14" fontId="16" fillId="34" borderId="0" xfId="0" applyNumberFormat="1" applyFont="1" applyFill="1"/>
    <xf numFmtId="0" fontId="0" fillId="0" borderId="0" xfId="0"/>
    <xf numFmtId="0" fontId="0" fillId="0" borderId="0" xfId="0"/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"/>
    </xf>
    <xf numFmtId="0" fontId="19" fillId="0" borderId="11" xfId="0" applyFont="1" applyFill="1" applyBorder="1" applyAlignment="1">
      <alignment horizontal="centerContinuous"/>
    </xf>
    <xf numFmtId="0" fontId="16" fillId="33" borderId="0" xfId="0" applyNumberFormat="1" applyFont="1" applyFill="1"/>
    <xf numFmtId="0" fontId="0" fillId="34" borderId="0" xfId="0" applyNumberFormat="1" applyFill="1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16" fillId="34" borderId="12" xfId="0" applyFont="1" applyFill="1" applyBorder="1"/>
    <xf numFmtId="0" fontId="21" fillId="0" borderId="0" xfId="0" applyFont="1" applyAlignment="1">
      <alignment vertical="center"/>
    </xf>
    <xf numFmtId="0" fontId="0" fillId="35" borderId="0" xfId="0" applyFill="1" applyAlignment="1">
      <alignment vertical="center"/>
    </xf>
    <xf numFmtId="0" fontId="20" fillId="35" borderId="0" xfId="0" applyFont="1" applyFill="1" applyAlignment="1">
      <alignment vertical="center"/>
    </xf>
    <xf numFmtId="165" fontId="0" fillId="0" borderId="0" xfId="0" applyNumberFormat="1"/>
    <xf numFmtId="165" fontId="0" fillId="0" borderId="0" xfId="1" applyNumberFormat="1" applyFont="1"/>
    <xf numFmtId="165" fontId="16" fillId="34" borderId="13" xfId="0" applyNumberFormat="1" applyFont="1" applyFill="1" applyBorder="1"/>
    <xf numFmtId="165" fontId="16" fillId="34" borderId="14" xfId="0" applyNumberFormat="1" applyFont="1" applyFill="1" applyBorder="1"/>
    <xf numFmtId="166" fontId="0" fillId="0" borderId="0" xfId="0" applyNumberForma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 xr:uid="{E6EECAE9-F5B9-46B8-9E93-7CEB321DF5BF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Portfolio vs.</a:t>
            </a:r>
            <a:r>
              <a:rPr lang="en-US" baseline="0"/>
              <a:t> Forecast vs. S&amp;P 500</a:t>
            </a:r>
          </a:p>
        </c:rich>
      </c:tx>
      <c:layout>
        <c:manualLayout>
          <c:xMode val="edge"/>
          <c:yMode val="edge"/>
          <c:x val="0.27811395741258116"/>
          <c:y val="3.35515378417190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Project!$C$1</c:f>
              <c:strCache>
                <c:ptCount val="1"/>
                <c:pt idx="0">
                  <c:v>Portfolio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Project!$B$2:$B$26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Project!$C$2:$C$26</c:f>
              <c:numCache>
                <c:formatCode>_("$"* #,##0.00_);_("$"* \(#,##0.00\);_("$"* "-"??_);_(@_)</c:formatCode>
                <c:ptCount val="25"/>
                <c:pt idx="0">
                  <c:v>999999.99999999953</c:v>
                </c:pt>
                <c:pt idx="1">
                  <c:v>1081834.0161597591</c:v>
                </c:pt>
                <c:pt idx="2">
                  <c:v>1112827.2089606598</c:v>
                </c:pt>
                <c:pt idx="3">
                  <c:v>1126904.6356334188</c:v>
                </c:pt>
                <c:pt idx="4">
                  <c:v>1161739.6543557304</c:v>
                </c:pt>
                <c:pt idx="5">
                  <c:v>1138372.7379580492</c:v>
                </c:pt>
                <c:pt idx="6">
                  <c:v>1152657.0135841349</c:v>
                </c:pt>
                <c:pt idx="7">
                  <c:v>1143090.3862811201</c:v>
                </c:pt>
                <c:pt idx="8">
                  <c:v>1188735.1483829832</c:v>
                </c:pt>
                <c:pt idx="9">
                  <c:v>1248058.4606632763</c:v>
                </c:pt>
                <c:pt idx="10">
                  <c:v>1266592.8113734694</c:v>
                </c:pt>
                <c:pt idx="11">
                  <c:v>1315476.8570807078</c:v>
                </c:pt>
                <c:pt idx="12">
                  <c:v>1406027.0617908784</c:v>
                </c:pt>
                <c:pt idx="13">
                  <c:v>1376639.7154690251</c:v>
                </c:pt>
                <c:pt idx="14">
                  <c:v>1324638.0410549545</c:v>
                </c:pt>
                <c:pt idx="15">
                  <c:v>1317124.3385841234</c:v>
                </c:pt>
                <c:pt idx="16">
                  <c:v>1409826.1947370311</c:v>
                </c:pt>
                <c:pt idx="17">
                  <c:v>1437280.5560599114</c:v>
                </c:pt>
                <c:pt idx="18">
                  <c:v>1514527.9031522041</c:v>
                </c:pt>
                <c:pt idx="19">
                  <c:v>1576758.5542030553</c:v>
                </c:pt>
                <c:pt idx="20">
                  <c:v>1559290.0082343924</c:v>
                </c:pt>
                <c:pt idx="21">
                  <c:v>1526192.0250292646</c:v>
                </c:pt>
                <c:pt idx="22">
                  <c:v>1525227.1273693901</c:v>
                </c:pt>
                <c:pt idx="23">
                  <c:v>1450935.5884177277</c:v>
                </c:pt>
                <c:pt idx="24">
                  <c:v>1582119.2254666816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45-467D-A7BA-0BBCA2415C2C}"/>
            </c:ext>
          </c:extLst>
        </c:ser>
        <c:ser>
          <c:idx val="1"/>
          <c:order val="1"/>
          <c:tx>
            <c:v>Forecast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Project!$B$2:$B$32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Project!$N$2:$N$32</c:f>
              <c:numCache>
                <c:formatCode>_("$"* #,##0.00_);_("$"* \(#,##0.00\);_("$"* "-"??_);_(@_)</c:formatCode>
                <c:ptCount val="31"/>
                <c:pt idx="0">
                  <c:v>1000000</c:v>
                </c:pt>
                <c:pt idx="1">
                  <c:v>1040177.6476719577</c:v>
                </c:pt>
                <c:pt idx="2">
                  <c:v>1049696.2837705382</c:v>
                </c:pt>
                <c:pt idx="3">
                  <c:v>1067707.248795778</c:v>
                </c:pt>
                <c:pt idx="4">
                  <c:v>1088297.0463175231</c:v>
                </c:pt>
                <c:pt idx="5">
                  <c:v>1103072.5738704754</c:v>
                </c:pt>
                <c:pt idx="6">
                  <c:v>1131361.1144603856</c:v>
                </c:pt>
                <c:pt idx="7">
                  <c:v>1142820.8324314933</c:v>
                </c:pt>
                <c:pt idx="8">
                  <c:v>1172058.3630895095</c:v>
                </c:pt>
                <c:pt idx="9">
                  <c:v>1204785.1156715103</c:v>
                </c:pt>
                <c:pt idx="10">
                  <c:v>1219943.2518906</c:v>
                </c:pt>
                <c:pt idx="11">
                  <c:v>1266092.9132884021</c:v>
                </c:pt>
                <c:pt idx="12">
                  <c:v>1335923.1696619152</c:v>
                </c:pt>
                <c:pt idx="13">
                  <c:v>1303572.9010538231</c:v>
                </c:pt>
                <c:pt idx="14">
                  <c:v>1285777.7550888429</c:v>
                </c:pt>
                <c:pt idx="15">
                  <c:v>1300410.1440060788</c:v>
                </c:pt>
                <c:pt idx="16">
                  <c:v>1335695.2496300633</c:v>
                </c:pt>
                <c:pt idx="17">
                  <c:v>1353350.2998065841</c:v>
                </c:pt>
                <c:pt idx="18">
                  <c:v>1405860.6734064992</c:v>
                </c:pt>
                <c:pt idx="19">
                  <c:v>1453936.965136657</c:v>
                </c:pt>
                <c:pt idx="20">
                  <c:v>1472278.0062789561</c:v>
                </c:pt>
                <c:pt idx="21">
                  <c:v>1396507.7921264397</c:v>
                </c:pt>
                <c:pt idx="22">
                  <c:v>1429901.8778917978</c:v>
                </c:pt>
                <c:pt idx="23">
                  <c:v>1327561.5060999354</c:v>
                </c:pt>
                <c:pt idx="24">
                  <c:v>1424368.9578673425</c:v>
                </c:pt>
                <c:pt idx="25">
                  <c:v>1475301.6562757078</c:v>
                </c:pt>
                <c:pt idx="26">
                  <c:v>1513769.8365046273</c:v>
                </c:pt>
                <c:pt idx="27">
                  <c:v>1579677.8392452251</c:v>
                </c:pt>
                <c:pt idx="28">
                  <c:v>1507031.4391089573</c:v>
                </c:pt>
                <c:pt idx="29">
                  <c:v>1608208.2302906089</c:v>
                </c:pt>
                <c:pt idx="30">
                  <c:v>1658810.5440280926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45-467D-A7BA-0BBCA2415C2C}"/>
            </c:ext>
          </c:extLst>
        </c:ser>
        <c:ser>
          <c:idx val="2"/>
          <c:order val="2"/>
          <c:tx>
            <c:v>SP500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Project!$R$2:$R$32</c:f>
              <c:numCache>
                <c:formatCode>_("$"* #,##0.00_);_("$"* \(#,##0.00\);_("$"* "-"??_);_(@_)</c:formatCode>
                <c:ptCount val="31"/>
                <c:pt idx="0">
                  <c:v>1000000</c:v>
                </c:pt>
                <c:pt idx="1">
                  <c:v>1036523.0009990399</c:v>
                </c:pt>
                <c:pt idx="2">
                  <c:v>1036119.510637915</c:v>
                </c:pt>
                <c:pt idx="3">
                  <c:v>1045496.5292675531</c:v>
                </c:pt>
                <c:pt idx="4">
                  <c:v>1057529.9426206644</c:v>
                </c:pt>
                <c:pt idx="5">
                  <c:v>1062608.4403266369</c:v>
                </c:pt>
                <c:pt idx="6">
                  <c:v>1082972.2872446449</c:v>
                </c:pt>
                <c:pt idx="7">
                  <c:v>1083563.8972130595</c:v>
                </c:pt>
                <c:pt idx="8">
                  <c:v>1104280.5979739199</c:v>
                </c:pt>
                <c:pt idx="9">
                  <c:v>1128514.6544141711</c:v>
                </c:pt>
                <c:pt idx="10">
                  <c:v>1132704.9881789079</c:v>
                </c:pt>
                <c:pt idx="11">
                  <c:v>1170951.9213584526</c:v>
                </c:pt>
                <c:pt idx="12">
                  <c:v>1234953.1073358192</c:v>
                </c:pt>
                <c:pt idx="13">
                  <c:v>1185893.2270806583</c:v>
                </c:pt>
                <c:pt idx="14">
                  <c:v>1153574.6750025959</c:v>
                </c:pt>
                <c:pt idx="15">
                  <c:v>1156706.729392353</c:v>
                </c:pt>
                <c:pt idx="16">
                  <c:v>1181435.0271213902</c:v>
                </c:pt>
                <c:pt idx="17">
                  <c:v>1187142.243367729</c:v>
                </c:pt>
                <c:pt idx="18">
                  <c:v>1229152.7746499982</c:v>
                </c:pt>
                <c:pt idx="19">
                  <c:v>1265799.122297782</c:v>
                </c:pt>
                <c:pt idx="20">
                  <c:v>1271223.1892104736</c:v>
                </c:pt>
                <c:pt idx="21">
                  <c:v>1179784.9367432494</c:v>
                </c:pt>
                <c:pt idx="22">
                  <c:v>1200669.1973284183</c:v>
                </c:pt>
                <c:pt idx="23">
                  <c:v>1085086.5131812571</c:v>
                </c:pt>
                <c:pt idx="24">
                  <c:v>1167273.3007705575</c:v>
                </c:pt>
                <c:pt idx="25">
                  <c:v>1201469.2177986538</c:v>
                </c:pt>
                <c:pt idx="26">
                  <c:v>1222813.9322271484</c:v>
                </c:pt>
                <c:pt idx="27">
                  <c:v>1269966.1235179824</c:v>
                </c:pt>
                <c:pt idx="28">
                  <c:v>1183556.4932602139</c:v>
                </c:pt>
                <c:pt idx="29">
                  <c:v>1262450.358824414</c:v>
                </c:pt>
                <c:pt idx="30">
                  <c:v>1292981.1405249995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45-467D-A7BA-0BBCA2415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029840"/>
        <c:axId val="449030824"/>
      </c:scatterChart>
      <c:valAx>
        <c:axId val="44902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30824"/>
        <c:crosses val="autoZero"/>
        <c:crossBetween val="midCat"/>
      </c:valAx>
      <c:valAx>
        <c:axId val="449030824"/>
        <c:scaling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2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Project!$Q$59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Project!$Q$60:$Q$83</c:f>
              <c:numCache>
                <c:formatCode>General</c:formatCode>
                <c:ptCount val="24"/>
                <c:pt idx="0">
                  <c:v>3.1632681127056375E-2</c:v>
                </c:pt>
                <c:pt idx="1">
                  <c:v>1.2171821795433066E-2</c:v>
                </c:pt>
                <c:pt idx="2">
                  <c:v>-9.3841925375974418E-3</c:v>
                </c:pt>
                <c:pt idx="3">
                  <c:v>3.2735510901202303E-4</c:v>
                </c:pt>
                <c:pt idx="4">
                  <c:v>-3.161120867170325E-2</c:v>
                </c:pt>
                <c:pt idx="5">
                  <c:v>-1.6709899961719704E-2</c:v>
                </c:pt>
                <c:pt idx="6">
                  <c:v>-2.5722567104502141E-2</c:v>
                </c:pt>
                <c:pt idx="7">
                  <c:v>2.0823830410256046E-2</c:v>
                </c:pt>
                <c:pt idx="8">
                  <c:v>1.7154448699195995E-2</c:v>
                </c:pt>
                <c:pt idx="9">
                  <c:v>-4.6808267549710604E-4</c:v>
                </c:pt>
                <c:pt idx="10">
                  <c:v>-2.6992388339190584E-3</c:v>
                </c:pt>
                <c:pt idx="11">
                  <c:v>4.2137888844594046E-3</c:v>
                </c:pt>
                <c:pt idx="12">
                  <c:v>-1.2847852265537134E-3</c:v>
                </c:pt>
                <c:pt idx="13">
                  <c:v>-2.424215707805737E-2</c:v>
                </c:pt>
                <c:pt idx="14">
                  <c:v>-1.7663378337477727E-2</c:v>
                </c:pt>
                <c:pt idx="15">
                  <c:v>3.6799654293960274E-2</c:v>
                </c:pt>
                <c:pt idx="16">
                  <c:v>1.8128372727007833E-4</c:v>
                </c:pt>
                <c:pt idx="17">
                  <c:v>1.0110663971391071E-2</c:v>
                </c:pt>
                <c:pt idx="18">
                  <c:v>-2.9419050844513989E-3</c:v>
                </c:pt>
                <c:pt idx="19">
                  <c:v>-3.0662470486468009E-2</c:v>
                </c:pt>
                <c:pt idx="20">
                  <c:v>3.0005830450623029E-2</c:v>
                </c:pt>
                <c:pt idx="21">
                  <c:v>-2.7300130825295955E-2</c:v>
                </c:pt>
                <c:pt idx="22">
                  <c:v>1.4559547858286219E-2</c:v>
                </c:pt>
                <c:pt idx="23">
                  <c:v>1.2709110496299358E-2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E9-466D-9EDF-FE5B69FF8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177592"/>
        <c:axId val="331181528"/>
      </c:scatterChart>
      <c:valAx>
        <c:axId val="331177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181528"/>
        <c:crosses val="autoZero"/>
        <c:crossBetween val="midCat"/>
      </c:valAx>
      <c:valAx>
        <c:axId val="33118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177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 95%</a:t>
            </a:r>
            <a:r>
              <a:rPr lang="en-US" baseline="0"/>
              <a:t> Confidence Interval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Project!$U$2:$U$32</c:f>
              <c:numCache>
                <c:formatCode>_("$"* #,##0.00_);_("$"* \(#,##0.00\);_("$"* "-"??_);_(@_)</c:formatCode>
                <c:ptCount val="31"/>
                <c:pt idx="0">
                  <c:v>1000000</c:v>
                </c:pt>
                <c:pt idx="1">
                  <c:v>1059382.9114208873</c:v>
                </c:pt>
                <c:pt idx="2">
                  <c:v>1079082.5977804675</c:v>
                </c:pt>
                <c:pt idx="3">
                  <c:v>1110507.3941939378</c:v>
                </c:pt>
                <c:pt idx="4">
                  <c:v>1145950.8066673526</c:v>
                </c:pt>
                <c:pt idx="5">
                  <c:v>1173927.5051468792</c:v>
                </c:pt>
                <c:pt idx="6">
                  <c:v>1221211.7485875539</c:v>
                </c:pt>
                <c:pt idx="7">
                  <c:v>1245491.065687764</c:v>
                </c:pt>
                <c:pt idx="8">
                  <c:v>1295556.9859174206</c:v>
                </c:pt>
                <c:pt idx="9">
                  <c:v>1351618.7390700867</c:v>
                </c:pt>
                <c:pt idx="10">
                  <c:v>1382848.3374423173</c:v>
                </c:pt>
                <c:pt idx="11">
                  <c:v>1460696.9670465374</c:v>
                </c:pt>
                <c:pt idx="12">
                  <c:v>1576195.5991317383</c:v>
                </c:pt>
                <c:pt idx="13">
                  <c:v>1536368.0694768098</c:v>
                </c:pt>
                <c:pt idx="14">
                  <c:v>1518884.2497013181</c:v>
                </c:pt>
                <c:pt idx="15">
                  <c:v>1551579.6694566966</c:v>
                </c:pt>
                <c:pt idx="16">
                  <c:v>1617111.5481149782</c:v>
                </c:pt>
                <c:pt idx="17">
                  <c:v>1655828.0425501422</c:v>
                </c:pt>
                <c:pt idx="18">
                  <c:v>1751157.7643245927</c:v>
                </c:pt>
                <c:pt idx="19">
                  <c:v>1841378.9157214081</c:v>
                </c:pt>
                <c:pt idx="20">
                  <c:v>1884004.7894608721</c:v>
                </c:pt>
                <c:pt idx="21">
                  <c:v>1768912.0043780182</c:v>
                </c:pt>
                <c:pt idx="22">
                  <c:v>1836132.317638427</c:v>
                </c:pt>
                <c:pt idx="23">
                  <c:v>1675430.4124808188</c:v>
                </c:pt>
                <c:pt idx="24">
                  <c:v>1847040.4863107884</c:v>
                </c:pt>
                <c:pt idx="25">
                  <c:v>1945991.9391147413</c:v>
                </c:pt>
                <c:pt idx="26">
                  <c:v>2025472.8303363742</c:v>
                </c:pt>
                <c:pt idx="27">
                  <c:v>2154701.4505683449</c:v>
                </c:pt>
                <c:pt idx="28">
                  <c:v>2038584.4572489029</c:v>
                </c:pt>
                <c:pt idx="29">
                  <c:v>2231888.8043239089</c:v>
                </c:pt>
                <c:pt idx="30">
                  <c:v>2338861.7905006693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73-4E12-8900-364B8BABE49F}"/>
            </c:ext>
          </c:extLst>
        </c:ser>
        <c:ser>
          <c:idx val="1"/>
          <c:order val="1"/>
          <c:tx>
            <c:v>U 95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Project!$V$2:$V$32</c:f>
              <c:numCache>
                <c:formatCode>_("$"* #,##0.00_);_("$"* \(#,##0.00\);_("$"* "-"??_);_(@_)</c:formatCode>
                <c:ptCount val="31"/>
                <c:pt idx="0">
                  <c:v>1000000</c:v>
                </c:pt>
                <c:pt idx="1">
                  <c:v>1020972.3839230294</c:v>
                </c:pt>
                <c:pt idx="2">
                  <c:v>1020672.7365927829</c:v>
                </c:pt>
                <c:pt idx="3">
                  <c:v>1025974.8815195676</c:v>
                </c:pt>
                <c:pt idx="4">
                  <c:v>1032799.4944873387</c:v>
                </c:pt>
                <c:pt idx="5">
                  <c:v>1035629.3216659491</c:v>
                </c:pt>
                <c:pt idx="6">
                  <c:v>1047033.4325758539</c:v>
                </c:pt>
                <c:pt idx="7">
                  <c:v>1047428.1142552545</c:v>
                </c:pt>
                <c:pt idx="8">
                  <c:v>1058917.9492036027</c:v>
                </c:pt>
                <c:pt idx="9">
                  <c:v>1072231.3034020024</c:v>
                </c:pt>
                <c:pt idx="10">
                  <c:v>1074437.8359633365</c:v>
                </c:pt>
                <c:pt idx="11">
                  <c:v>1095242.011167157</c:v>
                </c:pt>
                <c:pt idx="12">
                  <c:v>1129454.4795624272</c:v>
                </c:pt>
                <c:pt idx="13">
                  <c:v>1103292.7087188298</c:v>
                </c:pt>
                <c:pt idx="14">
                  <c:v>1085725.9247554971</c:v>
                </c:pt>
                <c:pt idx="15">
                  <c:v>1087066.1716419144</c:v>
                </c:pt>
                <c:pt idx="16">
                  <c:v>1100145.8271947275</c:v>
                </c:pt>
                <c:pt idx="17">
                  <c:v>1102889.5769439901</c:v>
                </c:pt>
                <c:pt idx="18">
                  <c:v>1124978.6123751251</c:v>
                </c:pt>
                <c:pt idx="19">
                  <c:v>1143960.6545611965</c:v>
                </c:pt>
                <c:pt idx="20">
                  <c:v>1146340.7771329745</c:v>
                </c:pt>
                <c:pt idx="21">
                  <c:v>1098378.1224652082</c:v>
                </c:pt>
                <c:pt idx="22">
                  <c:v>1109168.8051570042</c:v>
                </c:pt>
                <c:pt idx="23">
                  <c:v>1047475.4542493116</c:v>
                </c:pt>
                <c:pt idx="24">
                  <c:v>1092951.6593306628</c:v>
                </c:pt>
                <c:pt idx="25">
                  <c:v>1112562.6926073979</c:v>
                </c:pt>
                <c:pt idx="26">
                  <c:v>1125141.5462484353</c:v>
                </c:pt>
                <c:pt idx="27">
                  <c:v>1151330.6397123991</c:v>
                </c:pt>
                <c:pt idx="28">
                  <c:v>1107480.8755166226</c:v>
                </c:pt>
                <c:pt idx="29">
                  <c:v>1151171.1477325412</c:v>
                </c:pt>
                <c:pt idx="30">
                  <c:v>1168439.5196510921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73-4E12-8900-364B8BABE49F}"/>
            </c:ext>
          </c:extLst>
        </c:ser>
        <c:ser>
          <c:idx val="2"/>
          <c:order val="2"/>
          <c:tx>
            <c:v>Forecast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Project!$N$2:$N$32</c:f>
              <c:numCache>
                <c:formatCode>_("$"* #,##0.00_);_("$"* \(#,##0.00\);_("$"* "-"??_);_(@_)</c:formatCode>
                <c:ptCount val="31"/>
                <c:pt idx="0">
                  <c:v>1000000</c:v>
                </c:pt>
                <c:pt idx="1">
                  <c:v>1040177.6476719577</c:v>
                </c:pt>
                <c:pt idx="2">
                  <c:v>1049696.2837705382</c:v>
                </c:pt>
                <c:pt idx="3">
                  <c:v>1067707.248795778</c:v>
                </c:pt>
                <c:pt idx="4">
                  <c:v>1088297.0463175231</c:v>
                </c:pt>
                <c:pt idx="5">
                  <c:v>1103072.5738704754</c:v>
                </c:pt>
                <c:pt idx="6">
                  <c:v>1131361.1144603856</c:v>
                </c:pt>
                <c:pt idx="7">
                  <c:v>1142820.8324314933</c:v>
                </c:pt>
                <c:pt idx="8">
                  <c:v>1172058.3630895095</c:v>
                </c:pt>
                <c:pt idx="9">
                  <c:v>1204785.1156715103</c:v>
                </c:pt>
                <c:pt idx="10">
                  <c:v>1219943.2518906</c:v>
                </c:pt>
                <c:pt idx="11">
                  <c:v>1266092.9132884021</c:v>
                </c:pt>
                <c:pt idx="12">
                  <c:v>1335923.1696619152</c:v>
                </c:pt>
                <c:pt idx="13">
                  <c:v>1303572.9010538231</c:v>
                </c:pt>
                <c:pt idx="14">
                  <c:v>1285777.7550888429</c:v>
                </c:pt>
                <c:pt idx="15">
                  <c:v>1300410.1440060788</c:v>
                </c:pt>
                <c:pt idx="16">
                  <c:v>1335695.2496300633</c:v>
                </c:pt>
                <c:pt idx="17">
                  <c:v>1353350.2998065841</c:v>
                </c:pt>
                <c:pt idx="18">
                  <c:v>1405860.6734064992</c:v>
                </c:pt>
                <c:pt idx="19">
                  <c:v>1453936.965136657</c:v>
                </c:pt>
                <c:pt idx="20">
                  <c:v>1472278.0062789561</c:v>
                </c:pt>
                <c:pt idx="21">
                  <c:v>1396507.7921264397</c:v>
                </c:pt>
                <c:pt idx="22">
                  <c:v>1429901.8778917978</c:v>
                </c:pt>
                <c:pt idx="23">
                  <c:v>1327561.5060999354</c:v>
                </c:pt>
                <c:pt idx="24">
                  <c:v>1424368.9578673425</c:v>
                </c:pt>
                <c:pt idx="25">
                  <c:v>1475301.6562757078</c:v>
                </c:pt>
                <c:pt idx="26">
                  <c:v>1513769.8365046273</c:v>
                </c:pt>
                <c:pt idx="27">
                  <c:v>1579677.8392452251</c:v>
                </c:pt>
                <c:pt idx="28">
                  <c:v>1507031.4391089573</c:v>
                </c:pt>
                <c:pt idx="29">
                  <c:v>1608208.2302906089</c:v>
                </c:pt>
                <c:pt idx="30">
                  <c:v>1658810.5440280926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73-4E12-8900-364B8BABE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588120"/>
        <c:axId val="841585496"/>
      </c:scatterChart>
      <c:valAx>
        <c:axId val="841588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585496"/>
        <c:crosses val="autoZero"/>
        <c:crossBetween val="midCat"/>
      </c:valAx>
      <c:valAx>
        <c:axId val="841585496"/>
        <c:scaling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588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2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436541</xdr:colOff>
      <xdr:row>33</xdr:row>
      <xdr:rowOff>100756</xdr:rowOff>
    </xdr:from>
    <xdr:to>
      <xdr:col>13</xdr:col>
      <xdr:colOff>224117</xdr:colOff>
      <xdr:row>49</xdr:row>
      <xdr:rowOff>116541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FE5D96-3264-45C6-ADA6-2D6FA1752C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566897</xdr:colOff>
      <xdr:row>50</xdr:row>
      <xdr:rowOff>60881</xdr:rowOff>
    </xdr:from>
    <xdr:to>
      <xdr:col>13</xdr:col>
      <xdr:colOff>266987</xdr:colOff>
      <xdr:row>65</xdr:row>
      <xdr:rowOff>134227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CD6B496-76E1-4488-8444-CF705449F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103910</xdr:colOff>
      <xdr:row>66</xdr:row>
      <xdr:rowOff>110836</xdr:rowOff>
    </xdr:from>
    <xdr:to>
      <xdr:col>5</xdr:col>
      <xdr:colOff>42950</xdr:colOff>
      <xdr:row>81</xdr:row>
      <xdr:rowOff>111611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58A4A9D-3629-43F7-A2AB-9D39A883D4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330" y="12249496"/>
          <a:ext cx="3657600" cy="2743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372056</xdr:colOff>
      <xdr:row>54</xdr:row>
      <xdr:rowOff>662</xdr:rowOff>
    </xdr:from>
    <xdr:to>
      <xdr:col>21</xdr:col>
      <xdr:colOff>35451</xdr:colOff>
      <xdr:row>68</xdr:row>
      <xdr:rowOff>161091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7C90A06-F597-4053-8EB8-E7B157A950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6947" y="10353923"/>
          <a:ext cx="3589352" cy="2835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243840</xdr:colOff>
      <xdr:row>50</xdr:row>
      <xdr:rowOff>72390</xdr:rowOff>
    </xdr:from>
    <xdr:to>
      <xdr:col>5</xdr:col>
      <xdr:colOff>403860</xdr:colOff>
      <xdr:row>65</xdr:row>
      <xdr:rowOff>57150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165086F-978F-4D3D-8348-690F3CEE4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200025</xdr:colOff>
      <xdr:row>66</xdr:row>
      <xdr:rowOff>133350</xdr:rowOff>
    </xdr:from>
    <xdr:to>
      <xdr:col>13</xdr:col>
      <xdr:colOff>219075</xdr:colOff>
      <xdr:row>89</xdr:row>
      <xdr:rowOff>18515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14C718-C008-425A-ADE0-A545FB738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14850" y="12792075"/>
          <a:ext cx="6200775" cy="4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9852D-AB4C-4BD7-9FCC-EAC046ADF9B2}">
  <dimension ref="A1:L26"/>
  <sheetViews>
    <sheetView workbookViewId="0">
      <selection activeCell="J31" sqref="J31"/>
    </sheetView>
  </sheetViews>
  <sheetFormatPr defaultRowHeight="15" x14ac:dyDescent="0.25"/>
  <cols>
    <col min="1" max="1" width="9.5703125" bestFit="1" customWidth="1"/>
  </cols>
  <sheetData>
    <row r="1" spans="1:12" x14ac:dyDescent="0.25">
      <c r="A1" s="2" t="s">
        <v>1</v>
      </c>
      <c r="B1" s="2" t="s">
        <v>0</v>
      </c>
      <c r="C1" s="2" t="s">
        <v>5</v>
      </c>
      <c r="D1" s="2" t="s">
        <v>10</v>
      </c>
      <c r="E1" s="2" t="s">
        <v>8</v>
      </c>
      <c r="F1" s="2" t="s">
        <v>7</v>
      </c>
      <c r="G1" s="2" t="s">
        <v>2</v>
      </c>
      <c r="H1" s="2" t="s">
        <v>4</v>
      </c>
      <c r="I1" s="2" t="s">
        <v>9</v>
      </c>
      <c r="J1" s="2" t="s">
        <v>11</v>
      </c>
      <c r="K1" s="2" t="s">
        <v>6</v>
      </c>
      <c r="L1" s="2" t="s">
        <v>3</v>
      </c>
    </row>
    <row r="2" spans="1:12" x14ac:dyDescent="0.25">
      <c r="A2" s="4">
        <v>42736</v>
      </c>
      <c r="B2">
        <v>116.711029</v>
      </c>
      <c r="C2">
        <v>39.443485000000003</v>
      </c>
      <c r="D2">
        <v>21.65728</v>
      </c>
      <c r="E2">
        <v>52.869961000000004</v>
      </c>
      <c r="F2">
        <v>64.265274000000005</v>
      </c>
      <c r="G2">
        <v>820.19000200000005</v>
      </c>
      <c r="H2" s="5">
        <v>221.493256</v>
      </c>
      <c r="I2" s="6">
        <v>78.615356000000006</v>
      </c>
      <c r="J2" s="7">
        <v>67.510002</v>
      </c>
      <c r="K2" s="7">
        <v>40.234085</v>
      </c>
      <c r="L2" s="7">
        <v>52.238788999999997</v>
      </c>
    </row>
    <row r="3" spans="1:12" x14ac:dyDescent="0.25">
      <c r="A3" s="4">
        <v>42767</v>
      </c>
      <c r="B3">
        <v>131.75315900000001</v>
      </c>
      <c r="C3">
        <v>44.269694999999999</v>
      </c>
      <c r="D3">
        <v>23.608732</v>
      </c>
      <c r="E3">
        <v>53.424239999999998</v>
      </c>
      <c r="F3">
        <v>71.226723000000007</v>
      </c>
      <c r="G3">
        <v>844.92999299999997</v>
      </c>
      <c r="H3" s="5">
        <v>239.593628</v>
      </c>
      <c r="I3" s="6">
        <v>84.645415999999997</v>
      </c>
      <c r="J3" s="7">
        <v>65.260002</v>
      </c>
      <c r="K3" s="7">
        <v>43.442611999999997</v>
      </c>
      <c r="L3" s="7">
        <v>53.676208000000003</v>
      </c>
    </row>
    <row r="4" spans="1:12" x14ac:dyDescent="0.25">
      <c r="A4" s="4">
        <v>42795</v>
      </c>
      <c r="B4">
        <v>138.76719700000001</v>
      </c>
      <c r="C4">
        <v>48.909531000000001</v>
      </c>
      <c r="D4">
        <v>22.566044000000002</v>
      </c>
      <c r="E4">
        <v>57.12912</v>
      </c>
      <c r="F4">
        <v>70.417205999999993</v>
      </c>
      <c r="G4">
        <v>847.79998799999998</v>
      </c>
      <c r="H4" s="5">
        <v>222.45953399999999</v>
      </c>
      <c r="I4" s="6">
        <v>82.048676</v>
      </c>
      <c r="J4" s="7">
        <v>51.869999</v>
      </c>
      <c r="K4" s="7">
        <v>40.750641000000002</v>
      </c>
      <c r="L4" s="7">
        <v>51.968021</v>
      </c>
    </row>
    <row r="5" spans="1:12" x14ac:dyDescent="0.25">
      <c r="A5" s="4">
        <v>42826</v>
      </c>
      <c r="B5">
        <v>138.75753800000001</v>
      </c>
      <c r="C5">
        <v>51.567768000000001</v>
      </c>
      <c r="D5">
        <v>22.394950999999999</v>
      </c>
      <c r="E5">
        <v>55.238407000000002</v>
      </c>
      <c r="F5">
        <v>72.798653000000002</v>
      </c>
      <c r="G5">
        <v>924.52002000000005</v>
      </c>
      <c r="H5" s="5">
        <v>216.72663900000001</v>
      </c>
      <c r="I5" s="6">
        <v>81.264069000000006</v>
      </c>
      <c r="J5" s="7">
        <v>52</v>
      </c>
      <c r="K5" s="7">
        <v>41.254795000000001</v>
      </c>
      <c r="L5" s="7">
        <v>50.268734000000002</v>
      </c>
    </row>
    <row r="6" spans="1:12" x14ac:dyDescent="0.25">
      <c r="A6" s="4">
        <v>42856</v>
      </c>
      <c r="B6">
        <v>147.55728099999999</v>
      </c>
      <c r="C6">
        <v>57.815117000000001</v>
      </c>
      <c r="D6">
        <v>21.502609</v>
      </c>
      <c r="E6">
        <v>52.955508999999999</v>
      </c>
      <c r="F6">
        <v>56.161430000000003</v>
      </c>
      <c r="G6">
        <v>987.09002699999996</v>
      </c>
      <c r="H6" s="5">
        <v>204.58294699999999</v>
      </c>
      <c r="I6" s="6">
        <v>77.619231999999997</v>
      </c>
      <c r="J6" s="7">
        <v>48.27</v>
      </c>
      <c r="K6" s="7">
        <v>39.884070999999999</v>
      </c>
      <c r="L6" s="7">
        <v>47.747829000000003</v>
      </c>
    </row>
    <row r="7" spans="1:12" x14ac:dyDescent="0.25">
      <c r="A7" s="4">
        <v>42887</v>
      </c>
      <c r="B7">
        <v>139.68914799999999</v>
      </c>
      <c r="C7">
        <v>56.818302000000003</v>
      </c>
      <c r="D7">
        <v>23.354156</v>
      </c>
      <c r="E7">
        <v>56.826946</v>
      </c>
      <c r="F7">
        <v>46.585335000000001</v>
      </c>
      <c r="G7">
        <v>929.67999299999997</v>
      </c>
      <c r="H7" s="5">
        <v>215.61013800000001</v>
      </c>
      <c r="I7" s="6">
        <v>86.359084999999993</v>
      </c>
      <c r="J7" s="7">
        <v>59.669998</v>
      </c>
      <c r="K7" s="7">
        <v>42.578682000000001</v>
      </c>
      <c r="L7" s="7">
        <v>52.097583999999998</v>
      </c>
    </row>
    <row r="8" spans="1:12" x14ac:dyDescent="0.25">
      <c r="A8" s="4">
        <v>42917</v>
      </c>
      <c r="B8">
        <v>144.257507</v>
      </c>
      <c r="C8">
        <v>60.973334999999999</v>
      </c>
      <c r="D8">
        <v>23.219380999999998</v>
      </c>
      <c r="E8">
        <v>59.293422999999997</v>
      </c>
      <c r="F8">
        <v>44.609627000000003</v>
      </c>
      <c r="G8">
        <v>945.5</v>
      </c>
      <c r="H8" s="5">
        <v>218.94288599999999</v>
      </c>
      <c r="I8" s="6">
        <v>86.737021999999996</v>
      </c>
      <c r="J8" s="7">
        <v>61.639999000000003</v>
      </c>
      <c r="K8" s="7">
        <v>44.814632000000003</v>
      </c>
      <c r="L8" s="7">
        <v>50.715457999999998</v>
      </c>
    </row>
    <row r="9" spans="1:12" x14ac:dyDescent="0.25">
      <c r="A9" s="4">
        <v>42948</v>
      </c>
      <c r="B9">
        <v>159.06832900000001</v>
      </c>
      <c r="C9">
        <v>64.703971999999993</v>
      </c>
      <c r="D9">
        <v>22.997971</v>
      </c>
      <c r="E9">
        <v>56.073298999999999</v>
      </c>
      <c r="F9">
        <v>33.518645999999997</v>
      </c>
      <c r="G9">
        <v>944.27002000000005</v>
      </c>
      <c r="H9" s="5">
        <v>217.397964</v>
      </c>
      <c r="I9" s="6">
        <v>86.349570999999997</v>
      </c>
      <c r="J9" s="7">
        <v>57.549999</v>
      </c>
      <c r="K9" s="7">
        <v>43.70834</v>
      </c>
      <c r="L9" s="7">
        <v>48.017029000000001</v>
      </c>
    </row>
    <row r="10" spans="1:12" x14ac:dyDescent="0.25">
      <c r="A10" s="4">
        <v>42979</v>
      </c>
      <c r="B10">
        <v>150.072464</v>
      </c>
      <c r="C10">
        <v>63.66769</v>
      </c>
      <c r="D10">
        <v>24.518605999999998</v>
      </c>
      <c r="E10">
        <v>60.456791000000003</v>
      </c>
      <c r="F10">
        <v>33.509132000000001</v>
      </c>
      <c r="G10">
        <v>973.71997099999999</v>
      </c>
      <c r="H10" s="5">
        <v>231.25386</v>
      </c>
      <c r="I10" s="6">
        <v>90.738784999999993</v>
      </c>
      <c r="J10" s="7">
        <v>62.25</v>
      </c>
      <c r="K10" s="7">
        <v>46.273201</v>
      </c>
      <c r="L10" s="7">
        <v>52.229790000000001</v>
      </c>
    </row>
    <row r="11" spans="1:12" x14ac:dyDescent="0.25">
      <c r="A11" s="4">
        <v>43009</v>
      </c>
      <c r="B11">
        <v>164.60063199999999</v>
      </c>
      <c r="C11">
        <v>64.634888000000004</v>
      </c>
      <c r="D11">
        <v>26.502153</v>
      </c>
      <c r="E11">
        <v>61.242198999999999</v>
      </c>
      <c r="F11">
        <v>28.618814</v>
      </c>
      <c r="G11">
        <v>1033.040039</v>
      </c>
      <c r="H11" s="5">
        <v>236.41145299999999</v>
      </c>
      <c r="I11" s="6">
        <v>95.584014999999994</v>
      </c>
      <c r="J11" s="7">
        <v>61.509998000000003</v>
      </c>
      <c r="K11" s="7">
        <v>48.031143</v>
      </c>
      <c r="L11" s="7">
        <v>53.167361999999997</v>
      </c>
    </row>
    <row r="12" spans="1:12" x14ac:dyDescent="0.25">
      <c r="A12" s="4">
        <v>43040</v>
      </c>
      <c r="B12">
        <v>167.336838</v>
      </c>
      <c r="C12">
        <v>61.585239000000001</v>
      </c>
      <c r="D12">
        <v>27.256869999999999</v>
      </c>
      <c r="E12">
        <v>69.027550000000005</v>
      </c>
      <c r="F12">
        <v>41.146320000000003</v>
      </c>
      <c r="G12">
        <v>1036.170044</v>
      </c>
      <c r="H12" s="5">
        <v>241.44227599999999</v>
      </c>
      <c r="I12" s="6">
        <v>99.879135000000005</v>
      </c>
      <c r="J12" s="7">
        <v>66.959998999999996</v>
      </c>
      <c r="K12" s="7">
        <v>46.915531000000001</v>
      </c>
      <c r="L12" s="7">
        <v>53.479892999999997</v>
      </c>
    </row>
    <row r="13" spans="1:12" x14ac:dyDescent="0.25">
      <c r="A13" s="4">
        <v>43070</v>
      </c>
      <c r="B13">
        <v>165.37802099999999</v>
      </c>
      <c r="C13">
        <v>62.493228999999999</v>
      </c>
      <c r="D13">
        <v>28.684830000000002</v>
      </c>
      <c r="E13">
        <v>70.781097000000003</v>
      </c>
      <c r="F13">
        <v>45.026603999999999</v>
      </c>
      <c r="G13">
        <v>1053.400024</v>
      </c>
      <c r="H13" s="5">
        <v>249.164658</v>
      </c>
      <c r="I13" s="6">
        <v>102.19169599999999</v>
      </c>
      <c r="J13" s="7">
        <v>78.589995999999999</v>
      </c>
      <c r="K13" s="7">
        <v>50.651398</v>
      </c>
      <c r="L13" s="7">
        <v>57.858932000000003</v>
      </c>
    </row>
    <row r="14" spans="1:12" x14ac:dyDescent="0.25">
      <c r="A14" s="4">
        <v>43101</v>
      </c>
      <c r="B14">
        <v>163.618988</v>
      </c>
      <c r="C14">
        <v>73.162079000000006</v>
      </c>
      <c r="D14">
        <v>31.094664000000002</v>
      </c>
      <c r="E14">
        <v>73.528458000000001</v>
      </c>
      <c r="F14">
        <v>47.206859999999999</v>
      </c>
      <c r="G14">
        <v>1182.219971</v>
      </c>
      <c r="H14" s="5">
        <v>262.00628699999999</v>
      </c>
      <c r="I14" s="6">
        <v>110.53404999999999</v>
      </c>
      <c r="J14" s="7">
        <v>78.209998999999996</v>
      </c>
      <c r="K14" s="7">
        <v>54.589981000000002</v>
      </c>
      <c r="L14" s="7">
        <v>62.732182000000002</v>
      </c>
    </row>
    <row r="15" spans="1:12" x14ac:dyDescent="0.25">
      <c r="A15" s="4">
        <v>43132</v>
      </c>
      <c r="B15">
        <v>174.065674</v>
      </c>
      <c r="C15">
        <v>72.175133000000002</v>
      </c>
      <c r="D15">
        <v>31.191832999999999</v>
      </c>
      <c r="E15">
        <v>74.424537999999998</v>
      </c>
      <c r="F15">
        <v>44.381160999999999</v>
      </c>
      <c r="G15">
        <v>1103.920044</v>
      </c>
      <c r="H15" s="5">
        <v>257.15521200000001</v>
      </c>
      <c r="I15" s="6">
        <v>110.946579</v>
      </c>
      <c r="J15" s="7">
        <v>81.099997999999999</v>
      </c>
      <c r="K15" s="7">
        <v>54.314720000000001</v>
      </c>
      <c r="L15" s="7">
        <v>55.703651000000001</v>
      </c>
    </row>
    <row r="16" spans="1:12" x14ac:dyDescent="0.25">
      <c r="A16" s="4">
        <v>43160</v>
      </c>
      <c r="B16">
        <v>164.629501</v>
      </c>
      <c r="C16">
        <v>66.579170000000005</v>
      </c>
      <c r="D16">
        <v>29.141528999999998</v>
      </c>
      <c r="E16">
        <v>75.261550999999997</v>
      </c>
      <c r="F16">
        <v>44.023487000000003</v>
      </c>
      <c r="G16">
        <v>1037.1400149999999</v>
      </c>
      <c r="H16" s="5">
        <v>247.01980599999999</v>
      </c>
      <c r="I16" s="6">
        <v>105.63458300000001</v>
      </c>
      <c r="J16" s="7">
        <v>89.120002999999997</v>
      </c>
      <c r="K16" s="7">
        <v>52.317416999999999</v>
      </c>
      <c r="L16" s="7">
        <v>50.279758000000001</v>
      </c>
    </row>
    <row r="17" spans="1:12" x14ac:dyDescent="0.25">
      <c r="A17" s="4">
        <v>43191</v>
      </c>
      <c r="B17">
        <v>162.15683000000001</v>
      </c>
      <c r="C17">
        <v>65.821258999999998</v>
      </c>
      <c r="D17">
        <v>29.182606</v>
      </c>
      <c r="E17">
        <v>81.970764000000003</v>
      </c>
      <c r="F17">
        <v>41.645404999999997</v>
      </c>
      <c r="G17">
        <v>1018.580017</v>
      </c>
      <c r="H17" s="5">
        <v>233.749832</v>
      </c>
      <c r="I17" s="6">
        <v>104.491508</v>
      </c>
      <c r="J17" s="7">
        <v>99.800003000000004</v>
      </c>
      <c r="K17" s="7">
        <v>50.048648999999997</v>
      </c>
      <c r="L17" s="7">
        <v>49.848049000000003</v>
      </c>
    </row>
    <row r="18" spans="1:12" x14ac:dyDescent="0.25">
      <c r="A18" s="4">
        <v>43221</v>
      </c>
      <c r="B18">
        <v>183.36103800000001</v>
      </c>
      <c r="C18">
        <v>70.344925000000003</v>
      </c>
      <c r="D18">
        <v>28.324294999999999</v>
      </c>
      <c r="E18">
        <v>86.019440000000003</v>
      </c>
      <c r="F18">
        <v>52.600555</v>
      </c>
      <c r="G18">
        <v>1100</v>
      </c>
      <c r="H18" s="5">
        <v>221.539108</v>
      </c>
      <c r="I18" s="6">
        <v>103.312538</v>
      </c>
      <c r="J18" s="7">
        <v>105.050003</v>
      </c>
      <c r="K18" s="7">
        <v>48.847648999999997</v>
      </c>
      <c r="L18" s="7">
        <v>51.795535999999998</v>
      </c>
    </row>
    <row r="19" spans="1:12" x14ac:dyDescent="0.25">
      <c r="A19" s="4">
        <v>43252</v>
      </c>
      <c r="B19">
        <v>182.33448799999999</v>
      </c>
      <c r="C19">
        <v>75.711806999999993</v>
      </c>
      <c r="D19">
        <v>27.607582000000001</v>
      </c>
      <c r="E19">
        <v>90.564941000000005</v>
      </c>
      <c r="F19">
        <v>51.314053000000001</v>
      </c>
      <c r="G19">
        <v>1129.1899410000001</v>
      </c>
      <c r="H19" s="5">
        <v>217.096146</v>
      </c>
      <c r="I19" s="6">
        <v>100.59961699999999</v>
      </c>
      <c r="J19" s="7">
        <v>124.849998</v>
      </c>
      <c r="K19" s="7">
        <v>46.178275999999997</v>
      </c>
      <c r="L19" s="7">
        <v>53.587043999999999</v>
      </c>
    </row>
    <row r="20" spans="1:12" x14ac:dyDescent="0.25">
      <c r="A20" s="4">
        <v>43282</v>
      </c>
      <c r="B20">
        <v>187.43682899999999</v>
      </c>
      <c r="C20">
        <v>72.834914999999995</v>
      </c>
      <c r="D20">
        <v>30.242001999999999</v>
      </c>
      <c r="E20">
        <v>86.119370000000004</v>
      </c>
      <c r="F20">
        <v>47.571491000000002</v>
      </c>
      <c r="G20">
        <v>1227.219971</v>
      </c>
      <c r="H20" s="5">
        <v>233.69059799999999</v>
      </c>
      <c r="I20" s="6">
        <v>110.978188</v>
      </c>
      <c r="J20" s="7">
        <v>119.949997</v>
      </c>
      <c r="K20" s="7">
        <v>49.256824000000002</v>
      </c>
      <c r="L20" s="7">
        <v>55.375210000000003</v>
      </c>
    </row>
    <row r="21" spans="1:12" x14ac:dyDescent="0.25">
      <c r="A21" s="4">
        <v>43313</v>
      </c>
      <c r="B21">
        <v>224.21698000000001</v>
      </c>
      <c r="C21">
        <v>71.525435999999999</v>
      </c>
      <c r="D21">
        <v>30.290970000000002</v>
      </c>
      <c r="E21">
        <v>89.802550999999994</v>
      </c>
      <c r="F21">
        <v>48.364955999999999</v>
      </c>
      <c r="G21">
        <v>1231.8000489999999</v>
      </c>
      <c r="H21" s="5">
        <v>234.064606</v>
      </c>
      <c r="I21" s="6">
        <v>111.222122</v>
      </c>
      <c r="J21" s="7">
        <v>154.929993</v>
      </c>
      <c r="K21" s="7">
        <v>47.852626999999998</v>
      </c>
      <c r="L21" s="7">
        <v>56.525435999999999</v>
      </c>
    </row>
    <row r="22" spans="1:12" x14ac:dyDescent="0.25">
      <c r="A22" s="4">
        <v>43344</v>
      </c>
      <c r="B22">
        <v>223.13514699999999</v>
      </c>
      <c r="C22">
        <v>82.527061000000003</v>
      </c>
      <c r="D22">
        <v>28.851341000000001</v>
      </c>
      <c r="E22">
        <v>92.374206999999998</v>
      </c>
      <c r="F22">
        <v>50.013092</v>
      </c>
      <c r="G22">
        <v>1207.079956</v>
      </c>
      <c r="H22" s="5">
        <v>221.43924000000001</v>
      </c>
      <c r="I22" s="6">
        <v>109.53310399999999</v>
      </c>
      <c r="J22" s="7">
        <v>162.490005</v>
      </c>
      <c r="K22" s="7">
        <v>45.637863000000003</v>
      </c>
      <c r="L22" s="7">
        <v>51.175072</v>
      </c>
    </row>
    <row r="23" spans="1:12" x14ac:dyDescent="0.25">
      <c r="A23" s="4">
        <v>43374</v>
      </c>
      <c r="B23">
        <v>216.334518</v>
      </c>
      <c r="C23">
        <v>68.499747999999997</v>
      </c>
      <c r="D23">
        <v>27.062024999999998</v>
      </c>
      <c r="E23">
        <v>89.605063999999999</v>
      </c>
      <c r="F23">
        <v>46.245922</v>
      </c>
      <c r="G23">
        <v>1090.579956</v>
      </c>
      <c r="H23" s="5">
        <v>222.55512999999999</v>
      </c>
      <c r="I23" s="6">
        <v>105.82505</v>
      </c>
      <c r="J23" s="7">
        <v>140.729996</v>
      </c>
      <c r="K23" s="7">
        <v>44.746077999999997</v>
      </c>
      <c r="L23" s="7">
        <v>51.827418999999999</v>
      </c>
    </row>
    <row r="24" spans="1:12" x14ac:dyDescent="0.25">
      <c r="A24" s="4">
        <v>43405</v>
      </c>
      <c r="B24">
        <v>176.519318</v>
      </c>
      <c r="C24">
        <v>49.482509999999998</v>
      </c>
      <c r="D24">
        <v>27.947693000000001</v>
      </c>
      <c r="E24">
        <v>90.647216999999998</v>
      </c>
      <c r="F24">
        <v>55.719982000000002</v>
      </c>
      <c r="G24">
        <v>1109.650024</v>
      </c>
      <c r="H24" s="5">
        <v>188.308289</v>
      </c>
      <c r="I24" s="6">
        <v>108.687286</v>
      </c>
      <c r="J24" s="7">
        <v>132.550003</v>
      </c>
      <c r="K24" s="7">
        <v>43.800471999999999</v>
      </c>
      <c r="L24" s="7">
        <v>52.849747000000001</v>
      </c>
    </row>
    <row r="25" spans="1:12" x14ac:dyDescent="0.25">
      <c r="A25" s="4">
        <v>43435</v>
      </c>
      <c r="B25">
        <v>156.46383700000001</v>
      </c>
      <c r="C25">
        <v>46.198886999999999</v>
      </c>
      <c r="D25">
        <v>24.247574</v>
      </c>
      <c r="E25">
        <v>83.681411999999995</v>
      </c>
      <c r="F25">
        <v>52.558566999999996</v>
      </c>
      <c r="G25">
        <v>1044.959961</v>
      </c>
      <c r="H25" s="5">
        <v>165.63157699999999</v>
      </c>
      <c r="I25" s="6">
        <v>95.422729000000004</v>
      </c>
      <c r="J25" s="7">
        <v>121.610001</v>
      </c>
      <c r="K25" s="7">
        <v>39.123424999999997</v>
      </c>
      <c r="L25" s="7">
        <v>45.228797999999998</v>
      </c>
    </row>
    <row r="26" spans="1:12" x14ac:dyDescent="0.25">
      <c r="A26" s="4">
        <v>43466</v>
      </c>
      <c r="B26">
        <v>165.093445</v>
      </c>
      <c r="C26">
        <v>46.863548000000002</v>
      </c>
      <c r="D26">
        <v>28.173151000000001</v>
      </c>
      <c r="E26">
        <v>88.756637999999995</v>
      </c>
      <c r="F26">
        <v>55.216129000000002</v>
      </c>
      <c r="G26">
        <v>1125.8900149999999</v>
      </c>
      <c r="H26" s="5">
        <v>196.32868999999999</v>
      </c>
      <c r="I26" s="6">
        <v>101.170372</v>
      </c>
      <c r="J26" s="7">
        <v>147.80999800000001</v>
      </c>
      <c r="K26" s="7">
        <v>41.738232000000004</v>
      </c>
      <c r="L26" s="7">
        <v>48.006518999999997</v>
      </c>
    </row>
  </sheetData>
  <sortState xmlns:xlrd2="http://schemas.microsoft.com/office/spreadsheetml/2017/richdata2" columnSort="1" ref="B1:L26">
    <sortCondition ref="B1:L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F7112-1FBC-4E75-A4BC-2D7211C3B008}">
  <dimension ref="A1:M26"/>
  <sheetViews>
    <sheetView workbookViewId="0">
      <selection activeCell="D36" sqref="D36"/>
    </sheetView>
  </sheetViews>
  <sheetFormatPr defaultRowHeight="15" x14ac:dyDescent="0.25"/>
  <cols>
    <col min="1" max="1" width="9.7109375" bestFit="1" customWidth="1"/>
  </cols>
  <sheetData>
    <row r="1" spans="1:13" x14ac:dyDescent="0.25">
      <c r="A1" s="2" t="s">
        <v>1</v>
      </c>
      <c r="B1" s="2" t="s">
        <v>0</v>
      </c>
      <c r="C1" s="2" t="s">
        <v>5</v>
      </c>
      <c r="D1" s="2" t="s">
        <v>10</v>
      </c>
      <c r="E1" s="2" t="s">
        <v>8</v>
      </c>
      <c r="F1" s="2" t="s">
        <v>7</v>
      </c>
      <c r="G1" s="2" t="s">
        <v>2</v>
      </c>
      <c r="H1" s="2" t="s">
        <v>4</v>
      </c>
      <c r="I1" s="2" t="s">
        <v>9</v>
      </c>
      <c r="J1" s="2" t="s">
        <v>11</v>
      </c>
      <c r="K1" s="2" t="s">
        <v>6</v>
      </c>
      <c r="L1" s="2" t="s">
        <v>3</v>
      </c>
    </row>
    <row r="2" spans="1:13" x14ac:dyDescent="0.25">
      <c r="A2" s="4">
        <v>42736</v>
      </c>
      <c r="B2" t="s">
        <v>12</v>
      </c>
      <c r="C2" t="s">
        <v>12</v>
      </c>
      <c r="D2" t="s">
        <v>12</v>
      </c>
      <c r="E2" t="s">
        <v>12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  <c r="K2" t="s">
        <v>12</v>
      </c>
      <c r="L2" t="s">
        <v>12</v>
      </c>
    </row>
    <row r="3" spans="1:13" x14ac:dyDescent="0.25">
      <c r="A3" s="4">
        <v>42767</v>
      </c>
      <c r="B3">
        <f>LN(Price!B3/Price!B2)</f>
        <v>0.12122912225301252</v>
      </c>
      <c r="C3" s="7">
        <f>LN(Price!C3/Price!C2)</f>
        <v>0.11543146927916388</v>
      </c>
      <c r="D3" s="7">
        <f>LN(Price!D3/Price!D2)</f>
        <v>8.627498701171013E-2</v>
      </c>
      <c r="E3" s="7">
        <f>LN(Price!E3/Price!E2)</f>
        <v>1.0429242965511523E-2</v>
      </c>
      <c r="F3" s="7">
        <f>LN(Price!F3/Price!F2)</f>
        <v>0.10284864788651303</v>
      </c>
      <c r="G3" s="7">
        <f>LN(Price!G3/Price!G2)</f>
        <v>2.9717752230498447E-2</v>
      </c>
      <c r="H3" s="7">
        <f>LN(Price!H3/Price!H2)</f>
        <v>7.8552129494709369E-2</v>
      </c>
      <c r="I3" s="7">
        <f>LN(Price!I3/Price!I2)</f>
        <v>7.3903905410772838E-2</v>
      </c>
      <c r="J3" s="7">
        <f>LN(Price!J3/Price!J2)</f>
        <v>-3.3896442867201136E-2</v>
      </c>
      <c r="K3" s="7">
        <f>LN(Price!K3/Price!K2)</f>
        <v>7.6726280786254833E-2</v>
      </c>
      <c r="L3" s="7">
        <f>LN(Price!L3/Price!L2)</f>
        <v>2.7144546104326674E-2</v>
      </c>
      <c r="M3" s="7"/>
    </row>
    <row r="4" spans="1:13" x14ac:dyDescent="0.25">
      <c r="A4" s="4">
        <v>42795</v>
      </c>
      <c r="B4" s="7">
        <f>LN(Price!B4/Price!B3)</f>
        <v>5.1867522925044617E-2</v>
      </c>
      <c r="C4" s="7">
        <f>LN(Price!C4/Price!C3)</f>
        <v>9.9671928285328296E-2</v>
      </c>
      <c r="D4" s="7">
        <f>LN(Price!D4/Price!D3)</f>
        <v>-4.5170345048054054E-2</v>
      </c>
      <c r="E4" s="7">
        <f>LN(Price!E4/Price!E3)</f>
        <v>6.7049393597765794E-2</v>
      </c>
      <c r="F4" s="7">
        <f>LN(Price!F4/Price!F3)</f>
        <v>-1.1430434324127088E-2</v>
      </c>
      <c r="G4" s="7">
        <f>LN(Price!G4/Price!G3)</f>
        <v>3.390969359919459E-3</v>
      </c>
      <c r="H4" s="7">
        <f>LN(Price!H4/Price!H3)</f>
        <v>-7.4199056160704949E-2</v>
      </c>
      <c r="I4" s="7">
        <f>LN(Price!I4/Price!I3)</f>
        <v>-3.1158273816875078E-2</v>
      </c>
      <c r="J4" s="7">
        <f>LN(Price!J4/Price!J3)</f>
        <v>-0.22963875272747628</v>
      </c>
      <c r="K4" s="7">
        <f>LN(Price!K4/Price!K3)</f>
        <v>-6.3969233106947798E-2</v>
      </c>
      <c r="L4" s="7">
        <f>LN(Price!L4/Price!L3)</f>
        <v>-3.2341300699711133E-2</v>
      </c>
    </row>
    <row r="5" spans="1:13" x14ac:dyDescent="0.25">
      <c r="A5" s="4">
        <v>42826</v>
      </c>
      <c r="B5" s="7">
        <f>LN(Price!B5/Price!B4)</f>
        <v>-6.9608209905310556E-5</v>
      </c>
      <c r="C5" s="7">
        <f>LN(Price!C5/Price!C4)</f>
        <v>5.2924540684711814E-2</v>
      </c>
      <c r="D5" s="7">
        <f>LN(Price!D5/Price!D4)</f>
        <v>-7.6107668819105469E-3</v>
      </c>
      <c r="E5" s="7">
        <f>LN(Price!E5/Price!E4)</f>
        <v>-3.3655478825379247E-2</v>
      </c>
      <c r="F5" s="7">
        <f>LN(Price!F5/Price!F4)</f>
        <v>3.3259815572769955E-2</v>
      </c>
      <c r="G5" s="7">
        <f>LN(Price!G5/Price!G4)</f>
        <v>8.6629960777080545E-2</v>
      </c>
      <c r="H5" s="7">
        <f>LN(Price!H5/Price!H4)</f>
        <v>-2.6108384097667379E-2</v>
      </c>
      <c r="I5" s="7">
        <f>LN(Price!I5/Price!I4)</f>
        <v>-9.608717760778018E-3</v>
      </c>
      <c r="J5" s="7">
        <f>LN(Price!J5/Price!J4)</f>
        <v>2.5031494970854033E-3</v>
      </c>
      <c r="K5" s="7">
        <f>LN(Price!K5/Price!K4)</f>
        <v>1.229577882480013E-2</v>
      </c>
      <c r="L5" s="7">
        <f>LN(Price!L5/Price!L4)</f>
        <v>-3.3245255252962805E-2</v>
      </c>
    </row>
    <row r="6" spans="1:13" x14ac:dyDescent="0.25">
      <c r="A6" s="4">
        <v>42856</v>
      </c>
      <c r="B6" s="7">
        <f>LN(Price!B6/Price!B5)</f>
        <v>6.1488367077123969E-2</v>
      </c>
      <c r="C6" s="7">
        <f>LN(Price!C6/Price!C5)</f>
        <v>0.1143534551262434</v>
      </c>
      <c r="D6" s="7">
        <f>LN(Price!D6/Price!D5)</f>
        <v>-4.0661255059827546E-2</v>
      </c>
      <c r="E6" s="7">
        <f>LN(Price!E6/Price!E5)</f>
        <v>-4.2206382142477759E-2</v>
      </c>
      <c r="F6" s="7">
        <f>LN(Price!F6/Price!F5)</f>
        <v>-0.25946722992786664</v>
      </c>
      <c r="G6" s="7">
        <f>LN(Price!G6/Price!G5)</f>
        <v>6.5486542498472175E-2</v>
      </c>
      <c r="H6" s="7">
        <f>LN(Price!H6/Price!H5)</f>
        <v>-5.7663329257614609E-2</v>
      </c>
      <c r="I6" s="7">
        <f>LN(Price!I6/Price!I5)</f>
        <v>-4.588873160830792E-2</v>
      </c>
      <c r="J6" s="7">
        <f>LN(Price!J6/Price!J5)</f>
        <v>-7.4433468909025732E-2</v>
      </c>
      <c r="K6" s="7">
        <f>LN(Price!K6/Price!K5)</f>
        <v>-3.3790327321872253E-2</v>
      </c>
      <c r="L6" s="7">
        <f>LN(Price!L6/Price!L5)</f>
        <v>-5.1449693456451485E-2</v>
      </c>
    </row>
    <row r="7" spans="1:13" x14ac:dyDescent="0.25">
      <c r="A7" s="4">
        <v>42887</v>
      </c>
      <c r="B7" s="7">
        <f>LN(Price!B7/Price!B6)</f>
        <v>-5.4796863654728974E-2</v>
      </c>
      <c r="C7" s="7">
        <f>LN(Price!C7/Price!C6)</f>
        <v>-1.7391789139356024E-2</v>
      </c>
      <c r="D7" s="7">
        <f>LN(Price!D7/Price!D6)</f>
        <v>8.260067882045484E-2</v>
      </c>
      <c r="E7" s="7">
        <f>LN(Price!E7/Price!E6)</f>
        <v>7.0558506458684819E-2</v>
      </c>
      <c r="F7" s="7">
        <f>LN(Price!F7/Price!F6)</f>
        <v>-0.18694443032385946</v>
      </c>
      <c r="G7" s="7">
        <f>LN(Price!G7/Price!G6)</f>
        <v>-5.9920814654661939E-2</v>
      </c>
      <c r="H7" s="7">
        <f>LN(Price!H7/Price!H6)</f>
        <v>5.2498358144982007E-2</v>
      </c>
      <c r="I7" s="7">
        <f>LN(Price!I7/Price!I6)</f>
        <v>0.10669877887283577</v>
      </c>
      <c r="J7" s="7">
        <f>LN(Price!J7/Price!J6)</f>
        <v>0.21201909834390775</v>
      </c>
      <c r="K7" s="7">
        <f>LN(Price!K7/Price!K6)</f>
        <v>6.5376684359535406E-2</v>
      </c>
      <c r="L7" s="7">
        <f>LN(Price!L7/Price!L6)</f>
        <v>8.718497539870107E-2</v>
      </c>
    </row>
    <row r="8" spans="1:13" x14ac:dyDescent="0.25">
      <c r="A8" s="4">
        <v>42917</v>
      </c>
      <c r="B8" s="7">
        <f>LN(Price!B8/Price!B7)</f>
        <v>3.218036312738784E-2</v>
      </c>
      <c r="C8" s="7">
        <f>LN(Price!C8/Price!C7)</f>
        <v>7.0578145320304222E-2</v>
      </c>
      <c r="D8" s="7">
        <f>LN(Price!D8/Price!D7)</f>
        <v>-5.7876375680957189E-3</v>
      </c>
      <c r="E8" s="7">
        <f>LN(Price!E8/Price!E7)</f>
        <v>4.2487774585911103E-2</v>
      </c>
      <c r="F8" s="7">
        <f>LN(Price!F8/Price!F7)</f>
        <v>-4.3336104281222934E-2</v>
      </c>
      <c r="G8" s="7">
        <f>LN(Price!G8/Price!G7)</f>
        <v>1.6873454713366487E-2</v>
      </c>
      <c r="H8" s="7">
        <f>LN(Price!H8/Price!H7)</f>
        <v>1.5339041090367156E-2</v>
      </c>
      <c r="I8" s="7">
        <f>LN(Price!I8/Price!I7)</f>
        <v>4.3667949224299061E-3</v>
      </c>
      <c r="J8" s="7">
        <f>LN(Price!J8/Price!J7)</f>
        <v>3.2481646212373969E-2</v>
      </c>
      <c r="K8" s="7">
        <f>LN(Price!K8/Price!K7)</f>
        <v>5.1180987752325671E-2</v>
      </c>
      <c r="L8" s="7">
        <f>LN(Price!L8/Price!L7)</f>
        <v>-2.6887819677344132E-2</v>
      </c>
    </row>
    <row r="9" spans="1:13" x14ac:dyDescent="0.25">
      <c r="A9" s="4">
        <v>42948</v>
      </c>
      <c r="B9" s="7">
        <f>LN(Price!B9/Price!B8)</f>
        <v>9.7733906417343447E-2</v>
      </c>
      <c r="C9" s="7">
        <f>LN(Price!C9/Price!C8)</f>
        <v>5.9385953201952869E-2</v>
      </c>
      <c r="D9" s="7">
        <f>LN(Price!D9/Price!D8)</f>
        <v>-9.5813232145485136E-3</v>
      </c>
      <c r="E9" s="7">
        <f>LN(Price!E9/Price!E8)</f>
        <v>-5.5838643656126827E-2</v>
      </c>
      <c r="F9" s="7">
        <f>LN(Price!F9/Price!F8)</f>
        <v>-0.28584780674797916</v>
      </c>
      <c r="G9" s="7">
        <f>LN(Price!G9/Price!G8)</f>
        <v>-1.3017247185264254E-3</v>
      </c>
      <c r="H9" s="7">
        <f>LN(Price!H9/Price!H8)</f>
        <v>-7.081291865284097E-3</v>
      </c>
      <c r="I9" s="7">
        <f>LN(Price!I9/Price!I8)</f>
        <v>-4.4769689024718885E-3</v>
      </c>
      <c r="J9" s="7">
        <f>LN(Price!J9/Price!J8)</f>
        <v>-6.8656876436986328E-2</v>
      </c>
      <c r="K9" s="7">
        <f>LN(Price!K9/Price!K8)</f>
        <v>-2.4995762664738963E-2</v>
      </c>
      <c r="L9" s="7">
        <f>LN(Price!L9/Price!L8)</f>
        <v>-5.4675036820969004E-2</v>
      </c>
    </row>
    <row r="10" spans="1:13" x14ac:dyDescent="0.25">
      <c r="A10" s="4">
        <v>42979</v>
      </c>
      <c r="B10" s="7">
        <f>LN(Price!B10/Price!B9)</f>
        <v>-5.8215581268317329E-2</v>
      </c>
      <c r="C10" s="7">
        <f>LN(Price!C10/Price!C9)</f>
        <v>-1.6145378110275561E-2</v>
      </c>
      <c r="D10" s="7">
        <f>LN(Price!D10/Price!D9)</f>
        <v>6.402626325568235E-2</v>
      </c>
      <c r="E10" s="7">
        <f>LN(Price!E10/Price!E9)</f>
        <v>7.5269165955982431E-2</v>
      </c>
      <c r="F10" s="7">
        <f>LN(Price!F10/Price!F9)</f>
        <v>-2.8388230515080524E-4</v>
      </c>
      <c r="G10" s="7">
        <f>LN(Price!G10/Price!G9)</f>
        <v>3.0711594818544231E-2</v>
      </c>
      <c r="H10" s="7">
        <f>LN(Price!H10/Price!H9)</f>
        <v>6.1786458727254398E-2</v>
      </c>
      <c r="I10" s="7">
        <f>LN(Price!I10/Price!I9)</f>
        <v>4.9581047813468525E-2</v>
      </c>
      <c r="J10" s="7">
        <f>LN(Price!J10/Price!J9)</f>
        <v>7.8504417553120043E-2</v>
      </c>
      <c r="K10" s="7">
        <f>LN(Price!K10/Price!K9)</f>
        <v>5.7024050846213363E-2</v>
      </c>
      <c r="L10" s="7">
        <f>LN(Price!L10/Price!L9)</f>
        <v>8.409730293742064E-2</v>
      </c>
    </row>
    <row r="11" spans="1:13" x14ac:dyDescent="0.25">
      <c r="A11" s="4">
        <v>43009</v>
      </c>
      <c r="B11" s="7">
        <f>LN(Price!B11/Price!B10)</f>
        <v>9.2403857069204273E-2</v>
      </c>
      <c r="C11" s="7">
        <f>LN(Price!C11/Price!C10)</f>
        <v>1.5077114379331838E-2</v>
      </c>
      <c r="D11" s="7">
        <f>LN(Price!D11/Price!D10)</f>
        <v>7.7793717072831448E-2</v>
      </c>
      <c r="E11" s="7">
        <f>LN(Price!E11/Price!E10)</f>
        <v>1.2907566519589663E-2</v>
      </c>
      <c r="F11" s="7">
        <f>LN(Price!F11/Price!F10)</f>
        <v>-0.15775366498122814</v>
      </c>
      <c r="G11" s="7">
        <f>LN(Price!G11/Price!G10)</f>
        <v>5.9137470092517866E-2</v>
      </c>
      <c r="H11" s="7">
        <f>LN(Price!H11/Price!H10)</f>
        <v>2.2057663759811535E-2</v>
      </c>
      <c r="I11" s="7">
        <f>LN(Price!I11/Price!I10)</f>
        <v>5.2020714722768521E-2</v>
      </c>
      <c r="J11" s="7">
        <f>LN(Price!J11/Price!J10)</f>
        <v>-1.1958804639578749E-2</v>
      </c>
      <c r="K11" s="7">
        <f>LN(Price!K11/Price!K10)</f>
        <v>3.7286631599288758E-2</v>
      </c>
      <c r="L11" s="7">
        <f>LN(Price!L11/Price!L10)</f>
        <v>1.7791690078821257E-2</v>
      </c>
    </row>
    <row r="12" spans="1:13" x14ac:dyDescent="0.25">
      <c r="A12" s="4">
        <v>43040</v>
      </c>
      <c r="B12" s="7">
        <f>LN(Price!B12/Price!B11)</f>
        <v>1.6486647180623218E-2</v>
      </c>
      <c r="C12" s="7">
        <f>LN(Price!C12/Price!C11)</f>
        <v>-4.8332111726056434E-2</v>
      </c>
      <c r="D12" s="7">
        <f>LN(Price!D12/Price!D11)</f>
        <v>2.8079624451611121E-2</v>
      </c>
      <c r="E12" s="7">
        <f>LN(Price!E12/Price!E11)</f>
        <v>0.11966922222224123</v>
      </c>
      <c r="F12" s="7">
        <f>LN(Price!F12/Price!F11)</f>
        <v>0.36307016048858159</v>
      </c>
      <c r="G12" s="7">
        <f>LN(Price!G12/Price!G11)</f>
        <v>3.0253161948181418E-3</v>
      </c>
      <c r="H12" s="7">
        <f>LN(Price!H12/Price!H11)</f>
        <v>2.1056689842874128E-2</v>
      </c>
      <c r="I12" s="7">
        <f>LN(Price!I12/Price!I11)</f>
        <v>4.3955206017883199E-2</v>
      </c>
      <c r="J12" s="7">
        <f>LN(Price!J12/Price!J11)</f>
        <v>8.4895680541692289E-2</v>
      </c>
      <c r="K12" s="7">
        <f>LN(Price!K12/Price!K11)</f>
        <v>-2.3500841000414652E-2</v>
      </c>
      <c r="L12" s="7">
        <f>LN(Price!L12/Price!L11)</f>
        <v>5.8610396426234564E-3</v>
      </c>
    </row>
    <row r="13" spans="1:13" x14ac:dyDescent="0.25">
      <c r="A13" s="4">
        <v>43070</v>
      </c>
      <c r="B13" s="7">
        <f>LN(Price!B13/Price!B12)</f>
        <v>-1.1774885185434176E-2</v>
      </c>
      <c r="C13" s="7">
        <f>LN(Price!C13/Price!C12)</f>
        <v>1.4635999672536646E-2</v>
      </c>
      <c r="D13" s="7">
        <f>LN(Price!D13/Price!D12)</f>
        <v>5.106281216729415E-2</v>
      </c>
      <c r="E13" s="7">
        <f>LN(Price!E13/Price!E12)</f>
        <v>2.5086273255285532E-2</v>
      </c>
      <c r="F13" s="7">
        <f>LN(Price!F13/Price!F12)</f>
        <v>9.0119020874963165E-2</v>
      </c>
      <c r="G13" s="7">
        <f>LN(Price!G13/Price!G12)</f>
        <v>1.6491785346790841E-2</v>
      </c>
      <c r="H13" s="7">
        <f>LN(Price!H13/Price!H12)</f>
        <v>3.1483533277971668E-2</v>
      </c>
      <c r="I13" s="7">
        <f>LN(Price!I13/Price!I12)</f>
        <v>2.2889617040660983E-2</v>
      </c>
      <c r="J13" s="7">
        <f>LN(Price!J13/Price!J12)</f>
        <v>0.16014900273409102</v>
      </c>
      <c r="K13" s="7">
        <f>LN(Price!K13/Price!K12)</f>
        <v>7.6618059478744102E-2</v>
      </c>
      <c r="L13" s="7">
        <f>LN(Price!L13/Price!L12)</f>
        <v>7.8702089546098031E-2</v>
      </c>
    </row>
    <row r="14" spans="1:13" x14ac:dyDescent="0.25">
      <c r="A14" s="4">
        <v>43101</v>
      </c>
      <c r="B14" s="7">
        <f>LN(Price!B14/Price!B13)</f>
        <v>-1.0693408838491927E-2</v>
      </c>
      <c r="C14" s="7">
        <f>LN(Price!C14/Price!C13)</f>
        <v>0.15761902541316872</v>
      </c>
      <c r="D14" s="7">
        <f>LN(Price!D14/Price!D13)</f>
        <v>8.0667817307835288E-2</v>
      </c>
      <c r="E14" s="7">
        <f>LN(Price!E14/Price!E13)</f>
        <v>3.8080541430336408E-2</v>
      </c>
      <c r="F14" s="7">
        <f>LN(Price!F14/Price!F13)</f>
        <v>4.7285705933426368E-2</v>
      </c>
      <c r="G14" s="7">
        <f>LN(Price!G14/Price!G13)</f>
        <v>0.11537095149562283</v>
      </c>
      <c r="H14" s="7">
        <f>LN(Price!H14/Price!H13)</f>
        <v>5.0254544630623232E-2</v>
      </c>
      <c r="I14" s="7">
        <f>LN(Price!I14/Price!I13)</f>
        <v>7.8473196265069392E-2</v>
      </c>
      <c r="J14" s="7">
        <f>LN(Price!J14/Price!J13)</f>
        <v>-4.8469101535903404E-3</v>
      </c>
      <c r="K14" s="7">
        <f>LN(Price!K14/Price!K13)</f>
        <v>7.4883536246125496E-2</v>
      </c>
      <c r="L14" s="7">
        <f>LN(Price!L14/Price!L13)</f>
        <v>8.0866744468705787E-2</v>
      </c>
    </row>
    <row r="15" spans="1:13" x14ac:dyDescent="0.25">
      <c r="A15" s="4">
        <v>43132</v>
      </c>
      <c r="B15" s="7">
        <f>LN(Price!B15/Price!B14)</f>
        <v>6.1892183781320206E-2</v>
      </c>
      <c r="C15" s="7">
        <f>LN(Price!C15/Price!C14)</f>
        <v>-1.3581671996123042E-2</v>
      </c>
      <c r="D15" s="7">
        <f>LN(Price!D15/Price!D14)</f>
        <v>3.1200688273401514E-3</v>
      </c>
      <c r="E15" s="7">
        <f>LN(Price!E15/Price!E14)</f>
        <v>1.211318433503387E-2</v>
      </c>
      <c r="F15" s="7">
        <f>LN(Price!F15/Price!F14)</f>
        <v>-6.1724143418976758E-2</v>
      </c>
      <c r="G15" s="7">
        <f>LN(Price!G15/Price!G14)</f>
        <v>-6.8526481027020691E-2</v>
      </c>
      <c r="H15" s="7">
        <f>LN(Price!H15/Price!H14)</f>
        <v>-1.8688659314993777E-2</v>
      </c>
      <c r="I15" s="7">
        <f>LN(Price!I15/Price!I14)</f>
        <v>3.7251969070258629E-3</v>
      </c>
      <c r="J15" s="7">
        <f>LN(Price!J15/Price!J14)</f>
        <v>3.6285432633023265E-2</v>
      </c>
      <c r="K15" s="7">
        <f>LN(Price!K15/Price!K14)</f>
        <v>-5.0550909857745869E-3</v>
      </c>
      <c r="L15" s="7">
        <f>LN(Price!L15/Price!L14)</f>
        <v>-0.1188288931372101</v>
      </c>
    </row>
    <row r="16" spans="1:13" x14ac:dyDescent="0.25">
      <c r="A16" s="4">
        <v>43160</v>
      </c>
      <c r="B16" s="7">
        <f>LN(Price!B16/Price!B15)</f>
        <v>-5.5735164168757505E-2</v>
      </c>
      <c r="C16" s="7">
        <f>LN(Price!C16/Price!C15)</f>
        <v>-8.0703802427525825E-2</v>
      </c>
      <c r="D16" s="7">
        <f>LN(Price!D16/Price!D15)</f>
        <v>-6.7992027508070457E-2</v>
      </c>
      <c r="E16" s="7">
        <f>LN(Price!E16/Price!E15)</f>
        <v>1.118369421890234E-2</v>
      </c>
      <c r="F16" s="7">
        <f>LN(Price!F16/Price!F15)</f>
        <v>-8.0917906402048177E-3</v>
      </c>
      <c r="G16" s="7">
        <f>LN(Price!G16/Price!G15)</f>
        <v>-6.2400581899611993E-2</v>
      </c>
      <c r="H16" s="7">
        <f>LN(Price!H16/Price!H15)</f>
        <v>-4.0211320693354681E-2</v>
      </c>
      <c r="I16" s="7">
        <f>LN(Price!I16/Price!I15)</f>
        <v>-4.9063007005211087E-2</v>
      </c>
      <c r="J16" s="7">
        <f>LN(Price!J16/Price!J15)</f>
        <v>9.4300873380996436E-2</v>
      </c>
      <c r="K16" s="7">
        <f>LN(Price!K16/Price!K15)</f>
        <v>-3.7465940094552022E-2</v>
      </c>
      <c r="L16" s="7">
        <f>LN(Price!L16/Price!L15)</f>
        <v>-0.10244312169786461</v>
      </c>
    </row>
    <row r="17" spans="1:12" x14ac:dyDescent="0.25">
      <c r="A17" s="4">
        <v>43191</v>
      </c>
      <c r="B17" s="7">
        <f>LN(Price!B17/Price!B16)</f>
        <v>-1.5133547257349368E-2</v>
      </c>
      <c r="C17" s="7">
        <f>LN(Price!C17/Price!C16)</f>
        <v>-1.1448894606206855E-2</v>
      </c>
      <c r="D17" s="7">
        <f>LN(Price!D17/Price!D16)</f>
        <v>1.4085766309846549E-3</v>
      </c>
      <c r="E17" s="7">
        <f>LN(Price!E17/Price!E16)</f>
        <v>8.5393253594667332E-2</v>
      </c>
      <c r="F17" s="7">
        <f>LN(Price!F17/Price!F16)</f>
        <v>-5.5532248557646914E-2</v>
      </c>
      <c r="G17" s="7">
        <f>LN(Price!G17/Price!G16)</f>
        <v>-1.8057422246859217E-2</v>
      </c>
      <c r="H17" s="7">
        <f>LN(Price!H17/Price!H16)</f>
        <v>-5.5217070196090123E-2</v>
      </c>
      <c r="I17" s="7">
        <f>LN(Price!I17/Price!I16)</f>
        <v>-1.0880003244203795E-2</v>
      </c>
      <c r="J17" s="7">
        <f>LN(Price!J17/Price!J16)</f>
        <v>0.11318440353608733</v>
      </c>
      <c r="K17" s="7">
        <f>LN(Price!K17/Price!K16)</f>
        <v>-4.4333824274267138E-2</v>
      </c>
      <c r="L17" s="7">
        <f>LN(Price!L17/Price!L16)</f>
        <v>-8.623212433804631E-3</v>
      </c>
    </row>
    <row r="18" spans="1:12" x14ac:dyDescent="0.25">
      <c r="A18" s="4">
        <v>43221</v>
      </c>
      <c r="B18" s="7">
        <f>LN(Price!B18/Price!B17)</f>
        <v>0.1228931411464287</v>
      </c>
      <c r="C18" s="7">
        <f>LN(Price!C18/Price!C17)</f>
        <v>6.6467770397850484E-2</v>
      </c>
      <c r="D18" s="7">
        <f>LN(Price!D18/Price!D17)</f>
        <v>-2.9852929921087588E-2</v>
      </c>
      <c r="E18" s="7">
        <f>LN(Price!E18/Price!E17)</f>
        <v>4.8210670115864912E-2</v>
      </c>
      <c r="F18" s="7">
        <f>LN(Price!F18/Price!F17)</f>
        <v>0.23353563262175242</v>
      </c>
      <c r="G18" s="7">
        <f>LN(Price!G18/Price!G17)</f>
        <v>7.6900662631674221E-2</v>
      </c>
      <c r="H18" s="7">
        <f>LN(Price!H18/Price!H17)</f>
        <v>-5.3652315732207675E-2</v>
      </c>
      <c r="I18" s="7">
        <f>LN(Price!I18/Price!I17)</f>
        <v>-1.1347061547674352E-2</v>
      </c>
      <c r="J18" s="7">
        <f>LN(Price!J18/Price!J17)</f>
        <v>5.126824247130056E-2</v>
      </c>
      <c r="K18" s="7">
        <f>LN(Price!K18/Price!K17)</f>
        <v>-2.4289261978404659E-2</v>
      </c>
      <c r="L18" s="7">
        <f>LN(Price!L18/Price!L17)</f>
        <v>3.8324609716034339E-2</v>
      </c>
    </row>
    <row r="19" spans="1:12" x14ac:dyDescent="0.25">
      <c r="A19" s="4">
        <v>43252</v>
      </c>
      <c r="B19" s="7">
        <f>LN(Price!B19/Price!B18)</f>
        <v>-5.6142480473471796E-3</v>
      </c>
      <c r="C19" s="7">
        <f>LN(Price!C19/Price!C18)</f>
        <v>7.3523477564362796E-2</v>
      </c>
      <c r="D19" s="7">
        <f>LN(Price!D19/Price!D18)</f>
        <v>-2.5629471788774623E-2</v>
      </c>
      <c r="E19" s="7">
        <f>LN(Price!E19/Price!E18)</f>
        <v>5.1493856258397377E-2</v>
      </c>
      <c r="F19" s="7">
        <f>LN(Price!F19/Price!F18)</f>
        <v>-2.4762018734301006E-2</v>
      </c>
      <c r="G19" s="7">
        <f>LN(Price!G19/Price!G18)</f>
        <v>2.619032947668086E-2</v>
      </c>
      <c r="H19" s="7">
        <f>LN(Price!H19/Price!H18)</f>
        <v>-2.0258809181010484E-2</v>
      </c>
      <c r="I19" s="7">
        <f>LN(Price!I19/Price!I18)</f>
        <v>-2.6610292895933415E-2</v>
      </c>
      <c r="J19" s="7">
        <f>LN(Price!J19/Price!J18)</f>
        <v>0.17267654485772038</v>
      </c>
      <c r="K19" s="7">
        <f>LN(Price!K19/Price!K18)</f>
        <v>-5.6196779360460219E-2</v>
      </c>
      <c r="L19" s="7">
        <f>LN(Price!L19/Price!L18)</f>
        <v>3.4003354494967532E-2</v>
      </c>
    </row>
    <row r="20" spans="1:12" x14ac:dyDescent="0.25">
      <c r="A20" s="4">
        <v>43282</v>
      </c>
      <c r="B20" s="7">
        <f>LN(Price!B20/Price!B19)</f>
        <v>2.7599030185097986E-2</v>
      </c>
      <c r="C20" s="7">
        <f>LN(Price!C20/Price!C19)</f>
        <v>-3.8738677340233257E-2</v>
      </c>
      <c r="D20" s="7">
        <f>LN(Price!D20/Price!D19)</f>
        <v>9.1141307681558439E-2</v>
      </c>
      <c r="E20" s="7">
        <f>LN(Price!E20/Price!E19)</f>
        <v>-5.0332816383361768E-2</v>
      </c>
      <c r="F20" s="7">
        <f>LN(Price!F20/Price!F19)</f>
        <v>-7.5730999047914957E-2</v>
      </c>
      <c r="G20" s="7">
        <f>LN(Price!G20/Price!G19)</f>
        <v>8.3250915848464835E-2</v>
      </c>
      <c r="H20" s="7">
        <f>LN(Price!H20/Price!H19)</f>
        <v>7.3657685131310255E-2</v>
      </c>
      <c r="I20" s="7">
        <f>LN(Price!I20/Price!I19)</f>
        <v>9.8185226996955977E-2</v>
      </c>
      <c r="J20" s="7">
        <f>LN(Price!J20/Price!J19)</f>
        <v>-4.003803643127677E-2</v>
      </c>
      <c r="K20" s="7">
        <f>LN(Price!K20/Price!K19)</f>
        <v>6.4538445344353462E-2</v>
      </c>
      <c r="L20" s="7">
        <f>LN(Price!L20/Price!L19)</f>
        <v>3.2824698242441268E-2</v>
      </c>
    </row>
    <row r="21" spans="1:12" x14ac:dyDescent="0.25">
      <c r="A21" s="4">
        <v>43313</v>
      </c>
      <c r="B21" s="7">
        <f>LN(Price!B21/Price!B20)</f>
        <v>0.17917236707741521</v>
      </c>
      <c r="C21" s="7">
        <f>LN(Price!C21/Price!C20)</f>
        <v>-1.814230719057601E-2</v>
      </c>
      <c r="D21" s="7">
        <f>LN(Price!D21/Price!D20)</f>
        <v>1.6178954729498163E-3</v>
      </c>
      <c r="E21" s="7">
        <f>LN(Price!E21/Price!E20)</f>
        <v>4.1879025381541424E-2</v>
      </c>
      <c r="F21" s="7">
        <f>LN(Price!F21/Price!F20)</f>
        <v>1.6541848648729488E-2</v>
      </c>
      <c r="G21" s="7">
        <f>LN(Price!G21/Price!G20)</f>
        <v>3.7251289205192995E-3</v>
      </c>
      <c r="H21" s="7">
        <f>LN(Price!H21/Price!H20)</f>
        <v>1.5991615978035395E-3</v>
      </c>
      <c r="I21" s="7">
        <f>LN(Price!I21/Price!I20)</f>
        <v>2.1956233814042258E-3</v>
      </c>
      <c r="J21" s="7">
        <f>LN(Price!J21/Price!J20)</f>
        <v>0.25589839255122221</v>
      </c>
      <c r="K21" s="7">
        <f>LN(Price!K21/Price!K20)</f>
        <v>-2.8921899271981619E-2</v>
      </c>
      <c r="L21" s="7">
        <f>LN(Price!L21/Price!L20)</f>
        <v>2.0558710852270064E-2</v>
      </c>
    </row>
    <row r="22" spans="1:12" x14ac:dyDescent="0.25">
      <c r="A22" s="4">
        <v>43344</v>
      </c>
      <c r="B22" s="7">
        <f>LN(Price!B22/Price!B21)</f>
        <v>-4.8366154697142326E-3</v>
      </c>
      <c r="C22" s="7">
        <f>LN(Price!C22/Price!C21)</f>
        <v>0.14307311698932812</v>
      </c>
      <c r="D22" s="7">
        <f>LN(Price!D22/Price!D21)</f>
        <v>-4.8693174620327725E-2</v>
      </c>
      <c r="E22" s="7">
        <f>LN(Price!E22/Price!E21)</f>
        <v>2.8234412180720331E-2</v>
      </c>
      <c r="F22" s="7">
        <f>LN(Price!F22/Price!F21)</f>
        <v>3.3509309268724759E-2</v>
      </c>
      <c r="G22" s="7">
        <f>LN(Price!G22/Price!G21)</f>
        <v>-2.0272370549482707E-2</v>
      </c>
      <c r="H22" s="7">
        <f>LN(Price!H22/Price!H21)</f>
        <v>-5.5448930925365909E-2</v>
      </c>
      <c r="I22" s="7">
        <f>LN(Price!I22/Price!I21)</f>
        <v>-1.5302477677807949E-2</v>
      </c>
      <c r="J22" s="7">
        <f>LN(Price!J22/Price!J21)</f>
        <v>4.7643135359304319E-2</v>
      </c>
      <c r="K22" s="7">
        <f>LN(Price!K22/Price!K21)</f>
        <v>-4.7388316188093589E-2</v>
      </c>
      <c r="L22" s="7">
        <f>LN(Price!L22/Price!L21)</f>
        <v>-9.9438193052090895E-2</v>
      </c>
    </row>
    <row r="23" spans="1:12" x14ac:dyDescent="0.25">
      <c r="A23" s="4">
        <v>43374</v>
      </c>
      <c r="B23" s="7">
        <f>LN(Price!B23/Price!B22)</f>
        <v>-3.0951724112478037E-2</v>
      </c>
      <c r="C23" s="7">
        <f>LN(Price!C23/Price!C22)</f>
        <v>-0.18629618524833669</v>
      </c>
      <c r="D23" s="7">
        <f>LN(Price!D23/Price!D22)</f>
        <v>-6.4025020030666902E-2</v>
      </c>
      <c r="E23" s="7">
        <f>LN(Price!E23/Price!E22)</f>
        <v>-3.0435958416816147E-2</v>
      </c>
      <c r="F23" s="7">
        <f>LN(Price!F23/Price!F22)</f>
        <v>-7.8311524056039916E-2</v>
      </c>
      <c r="G23" s="7">
        <f>LN(Price!G23/Price!G22)</f>
        <v>-0.10149455903359102</v>
      </c>
      <c r="H23" s="7">
        <f>LN(Price!H23/Price!H22)</f>
        <v>5.0266058534780911E-3</v>
      </c>
      <c r="I23" s="7">
        <f>LN(Price!I23/Price!I22)</f>
        <v>-3.4439564316862445E-2</v>
      </c>
      <c r="J23" s="7">
        <f>LN(Price!J23/Price!J22)</f>
        <v>-0.14377335960055462</v>
      </c>
      <c r="K23" s="7">
        <f>LN(Price!K23/Price!K22)</f>
        <v>-1.9733902513392926E-2</v>
      </c>
      <c r="L23" s="7">
        <f>LN(Price!L23/Price!L22)</f>
        <v>1.2666795063713585E-2</v>
      </c>
    </row>
    <row r="24" spans="1:12" x14ac:dyDescent="0.25">
      <c r="A24" s="4">
        <v>43405</v>
      </c>
      <c r="B24" s="7">
        <f>LN(Price!B24/Price!B23)</f>
        <v>-0.20339558332906979</v>
      </c>
      <c r="C24" s="7">
        <f>LN(Price!C24/Price!C23)</f>
        <v>-0.32521079262491459</v>
      </c>
      <c r="D24" s="7">
        <f>LN(Price!D24/Price!D23)</f>
        <v>3.220320229840451E-2</v>
      </c>
      <c r="E24" s="7">
        <f>LN(Price!E24/Price!E23)</f>
        <v>1.1563399992221604E-2</v>
      </c>
      <c r="F24" s="7">
        <f>LN(Price!F24/Price!F23)</f>
        <v>0.18636553876976619</v>
      </c>
      <c r="G24" s="7">
        <f>LN(Price!G24/Price!G23)</f>
        <v>1.7335047448125793E-2</v>
      </c>
      <c r="H24" s="7">
        <f>LN(Price!H24/Price!H23)</f>
        <v>-0.16709439132115844</v>
      </c>
      <c r="I24" s="7">
        <f>LN(Price!I24/Price!I23)</f>
        <v>2.6687564279868729E-2</v>
      </c>
      <c r="J24" s="7">
        <f>LN(Price!J24/Price!J23)</f>
        <v>-5.9883177217251227E-2</v>
      </c>
      <c r="K24" s="7">
        <f>LN(Price!K24/Price!K23)</f>
        <v>-2.1359204841894401E-2</v>
      </c>
      <c r="L24" s="7">
        <f>LN(Price!L24/Price!L23)</f>
        <v>1.9533591624333858E-2</v>
      </c>
    </row>
    <row r="25" spans="1:12" x14ac:dyDescent="0.25">
      <c r="A25" s="4">
        <v>43435</v>
      </c>
      <c r="B25" s="7">
        <f>LN(Price!B25/Price!B24)</f>
        <v>-0.12060541101283059</v>
      </c>
      <c r="C25" s="7">
        <f>LN(Price!C25/Price!C24)</f>
        <v>-6.8663566915969546E-2</v>
      </c>
      <c r="D25" s="7">
        <f>LN(Price!D25/Price!D24)</f>
        <v>-0.14201808480210654</v>
      </c>
      <c r="E25" s="7">
        <f>LN(Price!E25/Price!E24)</f>
        <v>-7.9958362253952336E-2</v>
      </c>
      <c r="F25" s="7">
        <f>LN(Price!F25/Price!F24)</f>
        <v>-5.8410716142226822E-2</v>
      </c>
      <c r="G25" s="7">
        <f>LN(Price!G25/Price!G24)</f>
        <v>-6.0066102064835633E-2</v>
      </c>
      <c r="H25" s="7">
        <f>LN(Price!H25/Price!H24)</f>
        <v>-0.1283145487340728</v>
      </c>
      <c r="I25" s="7">
        <f>LN(Price!I25/Price!I24)</f>
        <v>-0.13015802361165982</v>
      </c>
      <c r="J25" s="7">
        <f>LN(Price!J25/Price!J24)</f>
        <v>-8.6140744152086959E-2</v>
      </c>
      <c r="K25" s="7">
        <f>LN(Price!K25/Price!K24)</f>
        <v>-0.11292320112105989</v>
      </c>
      <c r="L25" s="7">
        <f>LN(Price!L25/Price!L24)</f>
        <v>-0.15571891731666179</v>
      </c>
    </row>
    <row r="26" spans="1:12" x14ac:dyDescent="0.25">
      <c r="A26" s="4">
        <v>43466</v>
      </c>
      <c r="B26" s="7">
        <f>LN(Price!B26/Price!B25)</f>
        <v>5.3686737131524026E-2</v>
      </c>
      <c r="C26" s="7">
        <f>LN(Price!C26/Price!C25)</f>
        <v>1.4284438220443153E-2</v>
      </c>
      <c r="D26" s="7">
        <f>LN(Price!D26/Price!D25)</f>
        <v>0.15005286107589902</v>
      </c>
      <c r="E26" s="7">
        <f>LN(Price!E26/Price!E25)</f>
        <v>5.8881345945540155E-2</v>
      </c>
      <c r="F26" s="7">
        <f>LN(Price!F26/Price!F25)</f>
        <v>4.932699290672226E-2</v>
      </c>
      <c r="G26" s="7">
        <f>LN(Price!G26/Price!G25)</f>
        <v>7.4595277476629251E-2</v>
      </c>
      <c r="H26" s="7">
        <f>LN(Price!H26/Price!H25)</f>
        <v>0.17002433830839908</v>
      </c>
      <c r="I26" s="7">
        <f>LN(Price!I26/Price!I25)</f>
        <v>5.848914763714809E-2</v>
      </c>
      <c r="J26" s="7">
        <f>LN(Price!J26/Price!J25)</f>
        <v>0.19510844047718101</v>
      </c>
      <c r="K26" s="7">
        <f>LN(Price!K26/Price!K25)</f>
        <v>6.469615084208126E-2</v>
      </c>
      <c r="L26" s="7">
        <f>LN(Price!L26/Price!L25)</f>
        <v>5.9602806331478179E-2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EDFAB-B995-4D8B-B022-6249B65942A1}">
  <dimension ref="A1:N9"/>
  <sheetViews>
    <sheetView workbookViewId="0">
      <selection activeCell="K14" sqref="K14"/>
    </sheetView>
  </sheetViews>
  <sheetFormatPr defaultRowHeight="15" x14ac:dyDescent="0.25"/>
  <cols>
    <col min="1" max="1" width="9.7109375" customWidth="1"/>
    <col min="2" max="12" width="8.5703125" bestFit="1" customWidth="1"/>
  </cols>
  <sheetData>
    <row r="1" spans="1:14" x14ac:dyDescent="0.25">
      <c r="A1" s="2" t="s">
        <v>1</v>
      </c>
      <c r="B1" s="2" t="s">
        <v>0</v>
      </c>
      <c r="C1" s="2" t="s">
        <v>21</v>
      </c>
      <c r="D1" s="2" t="s">
        <v>10</v>
      </c>
      <c r="E1" s="2" t="s">
        <v>8</v>
      </c>
      <c r="F1" s="2" t="s">
        <v>7</v>
      </c>
      <c r="G1" s="2" t="s">
        <v>2</v>
      </c>
      <c r="H1" s="2" t="s">
        <v>4</v>
      </c>
      <c r="I1" s="2" t="s">
        <v>9</v>
      </c>
      <c r="J1" s="2" t="s">
        <v>11</v>
      </c>
      <c r="K1" s="2" t="s">
        <v>6</v>
      </c>
      <c r="L1" s="2" t="s">
        <v>3</v>
      </c>
    </row>
    <row r="2" spans="1:14" x14ac:dyDescent="0.25">
      <c r="A2" s="2" t="s">
        <v>13</v>
      </c>
      <c r="B2" s="31">
        <v>0.412925828363231</v>
      </c>
      <c r="C2" s="31">
        <v>0.15651470555952601</v>
      </c>
      <c r="D2" s="31">
        <v>0</v>
      </c>
      <c r="E2" s="31">
        <v>0</v>
      </c>
      <c r="F2" s="31">
        <v>0</v>
      </c>
      <c r="G2" s="31">
        <v>0.14650980482817499</v>
      </c>
      <c r="H2" s="31">
        <v>3.1985880132747599E-2</v>
      </c>
      <c r="I2" s="31">
        <v>0</v>
      </c>
      <c r="J2" s="31">
        <v>0</v>
      </c>
      <c r="K2" s="31">
        <v>0</v>
      </c>
      <c r="L2" s="31">
        <v>0.25206378111632</v>
      </c>
      <c r="N2">
        <f>SUM(B2:L2)</f>
        <v>0.99999999999999967</v>
      </c>
    </row>
    <row r="3" spans="1:14" x14ac:dyDescent="0.25">
      <c r="A3" s="2" t="s">
        <v>14</v>
      </c>
      <c r="B3" s="31">
        <v>8.38145916180177E-2</v>
      </c>
      <c r="C3" s="31">
        <v>0</v>
      </c>
      <c r="D3" s="31">
        <v>0</v>
      </c>
      <c r="E3" s="31">
        <v>9.1406132896366302E-2</v>
      </c>
      <c r="F3" s="31">
        <v>0</v>
      </c>
      <c r="G3" s="31">
        <v>0.61337265741519897</v>
      </c>
      <c r="H3" s="31">
        <v>0</v>
      </c>
      <c r="I3" s="31">
        <v>0</v>
      </c>
      <c r="J3" s="31">
        <v>0</v>
      </c>
      <c r="K3" s="31">
        <v>1.8436531532075601E-2</v>
      </c>
      <c r="L3" s="31">
        <v>0.192970086538341</v>
      </c>
      <c r="N3" s="9">
        <f t="shared" ref="N3:N9" si="0">SUM(B3:L3)</f>
        <v>0.99999999999999956</v>
      </c>
    </row>
    <row r="4" spans="1:14" x14ac:dyDescent="0.25">
      <c r="A4" s="2" t="s">
        <v>15</v>
      </c>
      <c r="B4" s="31">
        <v>4.6955107993864903E-2</v>
      </c>
      <c r="C4" s="31">
        <v>0</v>
      </c>
      <c r="D4" s="31">
        <v>7.3349854448166397E-3</v>
      </c>
      <c r="E4" s="31">
        <v>0.19626620187658</v>
      </c>
      <c r="F4" s="31">
        <v>0</v>
      </c>
      <c r="G4" s="31">
        <v>0.47115019195230201</v>
      </c>
      <c r="H4" s="31">
        <v>0</v>
      </c>
      <c r="I4" s="31">
        <v>0.27829351273243602</v>
      </c>
      <c r="J4" s="31">
        <v>0</v>
      </c>
      <c r="K4" s="31">
        <v>0</v>
      </c>
      <c r="L4" s="31">
        <v>0</v>
      </c>
      <c r="N4" s="9">
        <f t="shared" si="0"/>
        <v>0.99999999999999956</v>
      </c>
    </row>
    <row r="5" spans="1:14" x14ac:dyDescent="0.25">
      <c r="A5" s="2" t="s">
        <v>16</v>
      </c>
      <c r="B5" s="31">
        <v>0.20619213927977401</v>
      </c>
      <c r="C5" s="31">
        <v>0</v>
      </c>
      <c r="D5" s="31">
        <v>2.67764174127164E-2</v>
      </c>
      <c r="E5" s="31">
        <v>0</v>
      </c>
      <c r="F5" s="31">
        <v>0</v>
      </c>
      <c r="G5" s="31">
        <v>0.471303853637557</v>
      </c>
      <c r="H5" s="31">
        <v>0</v>
      </c>
      <c r="I5" s="31">
        <v>0</v>
      </c>
      <c r="J5" s="31">
        <v>9.5403024734170006E-2</v>
      </c>
      <c r="K5" s="31">
        <v>0</v>
      </c>
      <c r="L5" s="31">
        <v>0.20032456493578199</v>
      </c>
      <c r="N5" s="9">
        <f t="shared" si="0"/>
        <v>0.99999999999999944</v>
      </c>
    </row>
    <row r="6" spans="1:14" x14ac:dyDescent="0.25">
      <c r="A6" s="2" t="s">
        <v>17</v>
      </c>
      <c r="B6" s="31">
        <v>0.20619213927977401</v>
      </c>
      <c r="C6" s="31">
        <v>0</v>
      </c>
      <c r="D6" s="31">
        <v>0</v>
      </c>
      <c r="E6" s="31">
        <v>0</v>
      </c>
      <c r="F6" s="31">
        <v>0</v>
      </c>
      <c r="G6" s="31">
        <v>0.471303853637557</v>
      </c>
      <c r="H6" s="31">
        <v>0</v>
      </c>
      <c r="I6" s="31">
        <v>6.1089721073443501E-2</v>
      </c>
      <c r="J6" s="31">
        <v>0</v>
      </c>
      <c r="K6" s="31">
        <v>6.1089721073443515E-2</v>
      </c>
      <c r="L6" s="31">
        <v>0.20032456493578199</v>
      </c>
      <c r="N6" s="9">
        <f t="shared" si="0"/>
        <v>0.99999999999999989</v>
      </c>
    </row>
    <row r="7" spans="1:14" x14ac:dyDescent="0.25">
      <c r="A7" s="2" t="s">
        <v>18</v>
      </c>
      <c r="B7" s="31">
        <v>0.20619213927977401</v>
      </c>
      <c r="C7" s="31">
        <v>0</v>
      </c>
      <c r="D7" s="31">
        <v>6.1089721073443515E-2</v>
      </c>
      <c r="E7" s="31">
        <v>6.1089721073443515E-2</v>
      </c>
      <c r="F7" s="31">
        <v>0</v>
      </c>
      <c r="G7" s="31">
        <v>0.471303853637557</v>
      </c>
      <c r="H7" s="31">
        <v>0</v>
      </c>
      <c r="I7" s="31">
        <v>0</v>
      </c>
      <c r="J7" s="31">
        <v>0</v>
      </c>
      <c r="K7" s="31">
        <v>0</v>
      </c>
      <c r="L7" s="31">
        <v>0.20032456493578199</v>
      </c>
      <c r="N7" s="10">
        <f t="shared" si="0"/>
        <v>1</v>
      </c>
    </row>
    <row r="8" spans="1:14" x14ac:dyDescent="0.25">
      <c r="A8" s="2" t="s">
        <v>19</v>
      </c>
      <c r="B8" s="31">
        <v>0.14906869822914101</v>
      </c>
      <c r="C8" s="31">
        <v>0</v>
      </c>
      <c r="D8" s="31">
        <v>0</v>
      </c>
      <c r="E8" s="31">
        <v>0.315664913326894</v>
      </c>
      <c r="F8" s="31">
        <v>0</v>
      </c>
      <c r="G8" s="31">
        <v>0.110805071692267</v>
      </c>
      <c r="H8" s="31">
        <v>0.30900467804634801</v>
      </c>
      <c r="I8" s="31">
        <v>0.115456638705351</v>
      </c>
      <c r="J8" s="31">
        <v>0</v>
      </c>
      <c r="K8" s="31">
        <v>0</v>
      </c>
      <c r="L8" s="31">
        <v>0</v>
      </c>
      <c r="N8" s="10">
        <f t="shared" si="0"/>
        <v>1.0000000000000011</v>
      </c>
    </row>
    <row r="9" spans="1:14" x14ac:dyDescent="0.25">
      <c r="A9" s="2" t="s">
        <v>20</v>
      </c>
      <c r="B9" s="31">
        <v>0.14906869822914101</v>
      </c>
      <c r="C9" s="31">
        <v>0</v>
      </c>
      <c r="D9" s="31">
        <v>0.315664913326894</v>
      </c>
      <c r="E9" s="31">
        <v>0.115456638705351</v>
      </c>
      <c r="F9" s="31">
        <v>0</v>
      </c>
      <c r="G9" s="31">
        <v>0.110805071692267</v>
      </c>
      <c r="H9" s="31">
        <v>0</v>
      </c>
      <c r="I9" s="31">
        <v>0</v>
      </c>
      <c r="J9" s="31">
        <v>0</v>
      </c>
      <c r="K9" s="31">
        <v>0.30900467804634801</v>
      </c>
      <c r="L9" s="31">
        <v>0</v>
      </c>
      <c r="N9">
        <f t="shared" si="0"/>
        <v>1.0000000000000011</v>
      </c>
    </row>
  </sheetData>
  <sortState xmlns:xlrd2="http://schemas.microsoft.com/office/spreadsheetml/2017/richdata2" columnSort="1" ref="B1:L9">
    <sortCondition ref="B1:L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4E588-F10D-4BE8-8E2E-D11B9CFD01C1}">
  <dimension ref="A1:M34"/>
  <sheetViews>
    <sheetView zoomScaleNormal="100" workbookViewId="0">
      <selection activeCell="I33" sqref="I33"/>
    </sheetView>
  </sheetViews>
  <sheetFormatPr defaultRowHeight="15" x14ac:dyDescent="0.25"/>
  <cols>
    <col min="1" max="1" width="12.85546875" customWidth="1"/>
    <col min="2" max="2" width="16.28515625" customWidth="1"/>
    <col min="3" max="3" width="16.5703125" customWidth="1"/>
    <col min="4" max="4" width="13.28515625" customWidth="1"/>
    <col min="5" max="5" width="14" customWidth="1"/>
    <col min="6" max="6" width="6.140625" bestFit="1" customWidth="1"/>
    <col min="7" max="7" width="12.28515625" customWidth="1"/>
    <col min="8" max="8" width="11.5703125" bestFit="1" customWidth="1"/>
    <col min="9" max="9" width="12.5703125" customWidth="1"/>
    <col min="10" max="10" width="13" customWidth="1"/>
    <col min="11" max="11" width="14.5703125" customWidth="1"/>
    <col min="12" max="12" width="12.5703125" customWidth="1"/>
    <col min="13" max="13" width="15.28515625" customWidth="1"/>
  </cols>
  <sheetData>
    <row r="1" spans="1:13" ht="15.75" thickBot="1" x14ac:dyDescent="0.3">
      <c r="A1" t="s">
        <v>22</v>
      </c>
      <c r="B1" s="12">
        <v>1000000</v>
      </c>
      <c r="C1" s="13">
        <v>1127717.6692458293</v>
      </c>
    </row>
    <row r="2" spans="1:13" x14ac:dyDescent="0.25">
      <c r="A2" s="2" t="s">
        <v>1</v>
      </c>
      <c r="B2" s="2" t="s">
        <v>0</v>
      </c>
      <c r="C2" s="2" t="s">
        <v>5</v>
      </c>
      <c r="D2" s="2" t="s">
        <v>10</v>
      </c>
      <c r="E2" s="2" t="s">
        <v>8</v>
      </c>
      <c r="F2" s="2" t="s">
        <v>7</v>
      </c>
      <c r="G2" s="2" t="s">
        <v>2</v>
      </c>
      <c r="H2" s="2" t="s">
        <v>4</v>
      </c>
      <c r="I2" s="2" t="s">
        <v>9</v>
      </c>
      <c r="J2" s="2" t="s">
        <v>11</v>
      </c>
      <c r="K2" s="2" t="s">
        <v>6</v>
      </c>
      <c r="L2" s="2" t="s">
        <v>3</v>
      </c>
      <c r="M2" s="23" t="s">
        <v>99</v>
      </c>
    </row>
    <row r="3" spans="1:13" x14ac:dyDescent="0.25">
      <c r="A3" s="4">
        <v>42736</v>
      </c>
      <c r="B3" s="27">
        <f>$B$1*Weights!B2</f>
        <v>412925.82836323098</v>
      </c>
      <c r="C3" s="27">
        <f>$B$1*Weights!C2</f>
        <v>156514.70555952602</v>
      </c>
      <c r="D3" s="27">
        <f>$B$1*Weights!D2</f>
        <v>0</v>
      </c>
      <c r="E3" s="27">
        <f>$B$1*Weights!E2</f>
        <v>0</v>
      </c>
      <c r="F3" s="27">
        <f>$B$1*Weights!F2</f>
        <v>0</v>
      </c>
      <c r="G3" s="27">
        <f>$B$1*Weights!G2</f>
        <v>146509.80482817499</v>
      </c>
      <c r="H3" s="27">
        <f>$B$1*Weights!H2</f>
        <v>31985.880132747599</v>
      </c>
      <c r="I3" s="27">
        <f>$B$1*Weights!I2</f>
        <v>0</v>
      </c>
      <c r="J3" s="27">
        <f>$B$1*Weights!J2</f>
        <v>0</v>
      </c>
      <c r="K3" s="27">
        <f>$B$1*Weights!K2</f>
        <v>0</v>
      </c>
      <c r="L3" s="27">
        <f>$B$1*Weights!L2</f>
        <v>252063.78111631999</v>
      </c>
      <c r="M3" s="29">
        <f>SUM(B3:L3)</f>
        <v>999999.99999999953</v>
      </c>
    </row>
    <row r="4" spans="1:13" x14ac:dyDescent="0.25">
      <c r="A4" s="4">
        <v>42767</v>
      </c>
      <c r="B4" s="27">
        <f>MAX(B3*(1+Returns!B3),B3*0.95)</f>
        <v>462984.46409130364</v>
      </c>
      <c r="C4" s="27">
        <f>MAX(C3*(1+Returns!C3),$C$3*0.95)</f>
        <v>174581.42798605782</v>
      </c>
      <c r="D4" s="27">
        <f>MAX(D3*(1+Returns!D3),D3*0.95)</f>
        <v>0</v>
      </c>
      <c r="E4" s="27">
        <f>MAX(E3*(1+Returns!E3),E3*0.95)</f>
        <v>0</v>
      </c>
      <c r="F4" s="27">
        <f>MAX(F3*(1+Returns!F3),F3*0.95)</f>
        <v>0</v>
      </c>
      <c r="G4" s="27">
        <f>MAX(G3*(1+Returns!G3),$G$3*0.95)</f>
        <v>150863.74690739741</v>
      </c>
      <c r="H4" s="27">
        <f>MAX(H3*(1+Returns!H3),$H$3*0.95)</f>
        <v>34498.43913093744</v>
      </c>
      <c r="I4" s="27">
        <f>MAX(I3*(1+Returns!I3),I3*0.95)</f>
        <v>0</v>
      </c>
      <c r="J4" s="27">
        <f>MAX(J3*(1+Returns!J3),J3*0.95)</f>
        <v>0</v>
      </c>
      <c r="K4" s="27">
        <f>MAX(K3*(1+Returns!K3),K3*0.95)</f>
        <v>0</v>
      </c>
      <c r="L4" s="27">
        <f>MAX(L3*(1+Returns!L3),$L$3*0.95)</f>
        <v>258905.93804406284</v>
      </c>
      <c r="M4" s="29">
        <f t="shared" ref="M4:M34" si="0">SUM(B4:L4)</f>
        <v>1081834.0161597591</v>
      </c>
    </row>
    <row r="5" spans="1:13" x14ac:dyDescent="0.25">
      <c r="A5" s="4">
        <v>42795</v>
      </c>
      <c r="B5" s="27">
        <f>MAX(B4*(1+Returns!B4),B4*0.95)</f>
        <v>486998.32139649888</v>
      </c>
      <c r="C5" s="27">
        <f>MAX(C4*(1+Returns!C4),$C$3*0.95)</f>
        <v>191982.29555623437</v>
      </c>
      <c r="D5" s="27">
        <f>MAX(D4*(1+Returns!D4),D4*0.95)</f>
        <v>0</v>
      </c>
      <c r="E5" s="27">
        <f>MAX(E4*(1+Returns!E4),E4*0.95)</f>
        <v>0</v>
      </c>
      <c r="F5" s="27">
        <f>MAX(F4*(1+Returns!F4),F4*0.95)</f>
        <v>0</v>
      </c>
      <c r="G5" s="27">
        <f>MAX(G4*(1+Returns!G4),$G$3*0.95)</f>
        <v>151375.32125068305</v>
      </c>
      <c r="H5" s="27">
        <f>MAX(H4*(1+Returns!H4),$H$3*0.95)</f>
        <v>31938.68750840435</v>
      </c>
      <c r="I5" s="27">
        <f>MAX(I4*(1+Returns!I4),I4*0.95)</f>
        <v>0</v>
      </c>
      <c r="J5" s="27">
        <f>MAX(J4*(1+Returns!J4),J4*0.95)</f>
        <v>0</v>
      </c>
      <c r="K5" s="27">
        <f>MAX(K4*(1+Returns!K4),K4*0.95)</f>
        <v>0</v>
      </c>
      <c r="L5" s="27">
        <f>MAX(L4*(1+Returns!L4),$L$3*0.95)</f>
        <v>250532.58324883904</v>
      </c>
      <c r="M5" s="29">
        <f t="shared" si="0"/>
        <v>1112827.2089606598</v>
      </c>
    </row>
    <row r="6" spans="1:13" x14ac:dyDescent="0.25">
      <c r="A6" s="4">
        <v>42826</v>
      </c>
      <c r="B6" s="27">
        <f>MAX(B5*(1+Returns!B5),B5*0.95)</f>
        <v>486964.42231511959</v>
      </c>
      <c r="C6" s="27">
        <f>MAX(C5*(1+Returns!C5),$C$3*0.95)</f>
        <v>202142.87036814468</v>
      </c>
      <c r="D6" s="27">
        <f>MAX(D5*(1+Returns!D5),D5*0.95)</f>
        <v>0</v>
      </c>
      <c r="E6" s="27">
        <f>MAX(E5*(1+Returns!E5),E5*0.95)</f>
        <v>0</v>
      </c>
      <c r="F6" s="27">
        <f>MAX(F5*(1+Returns!F5),F5*0.95)</f>
        <v>0</v>
      </c>
      <c r="G6" s="27">
        <f>MAX(G5*(1+Returns!G5),$G$3*0.95)</f>
        <v>164488.9593932477</v>
      </c>
      <c r="H6" s="27">
        <f>MAX(H5*(1+Returns!H5),$H$3*0.95)</f>
        <v>31104.819987359559</v>
      </c>
      <c r="I6" s="27">
        <f>MAX(I5*(1+Returns!I5),I5*0.95)</f>
        <v>0</v>
      </c>
      <c r="J6" s="27">
        <f>MAX(J5*(1+Returns!J5),J5*0.95)</f>
        <v>0</v>
      </c>
      <c r="K6" s="27">
        <f>MAX(K5*(1+Returns!K5),K5*0.95)</f>
        <v>0</v>
      </c>
      <c r="L6" s="27">
        <f>MAX(L5*(1+Returns!L5),$L$3*0.95)</f>
        <v>242203.56356954723</v>
      </c>
      <c r="M6" s="29">
        <f t="shared" si="0"/>
        <v>1126904.6356334188</v>
      </c>
    </row>
    <row r="7" spans="1:13" x14ac:dyDescent="0.25">
      <c r="A7" s="8">
        <v>42826</v>
      </c>
      <c r="B7" s="27">
        <f>$M$6*Weights!B3:L3</f>
        <v>94451.051828066033</v>
      </c>
      <c r="C7" s="27">
        <f>$M$6*Weights!C3:M3</f>
        <v>0</v>
      </c>
      <c r="D7" s="27">
        <f>$M$6*Weights!D3:N3</f>
        <v>0</v>
      </c>
      <c r="E7" s="27">
        <f>$M$6*Weights!E3:O3</f>
        <v>103005.99488623952</v>
      </c>
      <c r="F7" s="27">
        <f>$M$6*Weights!F3:P3</f>
        <v>0</v>
      </c>
      <c r="G7" s="27">
        <f>$M$6*Weights!G3:Q3</f>
        <v>691212.49101197661</v>
      </c>
      <c r="H7" s="27">
        <f>$M$6*Weights!H3:R3</f>
        <v>0</v>
      </c>
      <c r="I7" s="27">
        <f>$M$6*Weights!I3:S3</f>
        <v>0</v>
      </c>
      <c r="J7" s="27">
        <f>$M$6*Weights!J3:T3</f>
        <v>0</v>
      </c>
      <c r="K7" s="27">
        <f>$M$6*Weights!K3:U3</f>
        <v>20776.212848497693</v>
      </c>
      <c r="L7" s="27">
        <f>$M$6*Weights!L3:V3</f>
        <v>217458.88505863847</v>
      </c>
      <c r="M7" s="29">
        <f t="shared" si="0"/>
        <v>1126904.6356334183</v>
      </c>
    </row>
    <row r="8" spans="1:13" x14ac:dyDescent="0.25">
      <c r="A8" s="4">
        <v>42856</v>
      </c>
      <c r="B8" s="27">
        <f>B7*(1+Returns!B6)</f>
        <v>100258.69277369062</v>
      </c>
      <c r="C8" s="27">
        <f>C7*(1+Returns!C6)</f>
        <v>0</v>
      </c>
      <c r="D8" s="27">
        <f>D7*(1+Returns!D6)</f>
        <v>0</v>
      </c>
      <c r="E8" s="27">
        <f>E7*(1+Returns!E6)</f>
        <v>98658.484503104788</v>
      </c>
      <c r="F8" s="27">
        <f>F7*(1+Returns!F6)</f>
        <v>0</v>
      </c>
      <c r="G8" s="27">
        <f>G7*(1+Returns!G6)</f>
        <v>736477.60718010715</v>
      </c>
      <c r="H8" s="27">
        <f>H7*(1+Returns!H6)</f>
        <v>0</v>
      </c>
      <c r="I8" s="27">
        <f>I7*(1+Returns!I6)</f>
        <v>0</v>
      </c>
      <c r="J8" s="27">
        <f>J7*(1+Returns!J6)</f>
        <v>0</v>
      </c>
      <c r="K8" s="27">
        <f>K7*(1+Returns!K6)</f>
        <v>20074.177815838069</v>
      </c>
      <c r="L8" s="27">
        <f>L7*(1+Returns!L6)</f>
        <v>206270.69208298982</v>
      </c>
      <c r="M8" s="29">
        <f t="shared" si="0"/>
        <v>1161739.6543557304</v>
      </c>
    </row>
    <row r="9" spans="1:13" x14ac:dyDescent="0.25">
      <c r="A9" s="4">
        <v>42887</v>
      </c>
      <c r="B9" s="27">
        <f>B8*(1+Returns!B7)</f>
        <v>94764.830855569337</v>
      </c>
      <c r="C9" s="27">
        <f>C8*(1+Returns!C7)</f>
        <v>0</v>
      </c>
      <c r="D9" s="27">
        <f>D8*(1+Returns!D7)</f>
        <v>0</v>
      </c>
      <c r="E9" s="27">
        <f>E8*(1+Returns!E7)</f>
        <v>105619.67981912117</v>
      </c>
      <c r="F9" s="27">
        <f>F8*(1+Returns!F7)</f>
        <v>0</v>
      </c>
      <c r="G9" s="27">
        <f>G8*(1+Returns!G7)</f>
        <v>692347.2689829591</v>
      </c>
      <c r="H9" s="27">
        <f>H8*(1+Returns!H7)</f>
        <v>0</v>
      </c>
      <c r="I9" s="27">
        <f>I8*(1+Returns!I7)</f>
        <v>0</v>
      </c>
      <c r="J9" s="27">
        <f>J8*(1+Returns!J7)</f>
        <v>0</v>
      </c>
      <c r="K9" s="27">
        <f>K8*(1+Returns!K7)</f>
        <v>21386.561002681301</v>
      </c>
      <c r="L9" s="27">
        <f>L8*(1+Returns!L7)</f>
        <v>224254.39729771833</v>
      </c>
      <c r="M9" s="29">
        <f t="shared" si="0"/>
        <v>1138372.7379580492</v>
      </c>
    </row>
    <row r="10" spans="1:13" x14ac:dyDescent="0.25">
      <c r="A10" s="4">
        <v>42917</v>
      </c>
      <c r="B10" s="27">
        <f>B9*(1+Returns!B8)</f>
        <v>97814.397524207045</v>
      </c>
      <c r="C10" s="27">
        <f>C9*(1+Returns!C8)</f>
        <v>0</v>
      </c>
      <c r="D10" s="27">
        <f>D9*(1+Returns!D8)</f>
        <v>0</v>
      </c>
      <c r="E10" s="27">
        <f>E9*(1+Returns!E8)</f>
        <v>110107.2249671121</v>
      </c>
      <c r="F10" s="27">
        <f>F9*(1+Returns!F8)</f>
        <v>0</v>
      </c>
      <c r="G10" s="27">
        <f>G9*(1+Returns!G8)</f>
        <v>704029.55927206599</v>
      </c>
      <c r="H10" s="27">
        <f>H9*(1+Returns!H8)</f>
        <v>0</v>
      </c>
      <c r="I10" s="27">
        <f>I9*(1+Returns!I8)</f>
        <v>0</v>
      </c>
      <c r="J10" s="27">
        <f>J9*(1+Returns!J8)</f>
        <v>0</v>
      </c>
      <c r="K10" s="27">
        <f>K9*(1+Returns!K8)</f>
        <v>22481.1463194239</v>
      </c>
      <c r="L10" s="27">
        <f>L9*(1+Returns!L8)</f>
        <v>218224.68550132579</v>
      </c>
      <c r="M10" s="29">
        <f t="shared" si="0"/>
        <v>1152657.0135841349</v>
      </c>
    </row>
    <row r="11" spans="1:13" x14ac:dyDescent="0.25">
      <c r="A11" s="8">
        <v>42917</v>
      </c>
      <c r="B11" s="27">
        <f>$M$10 * Weights!B4</f>
        <v>54123.134552728858</v>
      </c>
      <c r="C11" s="27">
        <f>$M$10 * Weights!C4</f>
        <v>0</v>
      </c>
      <c r="D11" s="27">
        <f>$M$10 * Weights!D4</f>
        <v>8454.7224175054453</v>
      </c>
      <c r="E11" s="27">
        <f>$M$10 * Weights!E4</f>
        <v>226227.61412255964</v>
      </c>
      <c r="F11" s="27">
        <f>F10*(1+Returns!F9)</f>
        <v>0</v>
      </c>
      <c r="G11" s="27">
        <f>$M$10 * Weights!G4</f>
        <v>543074.57320533227</v>
      </c>
      <c r="H11" s="27">
        <f>$M$10 * Weights!H4</f>
        <v>0</v>
      </c>
      <c r="I11" s="27">
        <f>$M$10 * Weights!I4</f>
        <v>320776.9692860081</v>
      </c>
      <c r="J11" s="27">
        <f>$M$10 * Weights!J4</f>
        <v>0</v>
      </c>
      <c r="K11" s="27">
        <f>$M$10 * Weights!K4</f>
        <v>0</v>
      </c>
      <c r="L11" s="27">
        <f>$M$10 * Weights!L4</f>
        <v>0</v>
      </c>
      <c r="M11" s="29">
        <f t="shared" si="0"/>
        <v>1152657.0135841342</v>
      </c>
    </row>
    <row r="12" spans="1:13" x14ac:dyDescent="0.25">
      <c r="A12" s="4">
        <v>42948</v>
      </c>
      <c r="B12" s="27">
        <f>B11*(1+Returns!B9)</f>
        <v>59412.799920118552</v>
      </c>
      <c r="C12" s="27">
        <f>C11*(1+Returns!C9)</f>
        <v>0</v>
      </c>
      <c r="D12" s="27">
        <f>D11*(1+Returns!D9)</f>
        <v>8373.7149893340375</v>
      </c>
      <c r="E12" s="27">
        <f>E11*(1+Returns!E9)</f>
        <v>213595.37099239428</v>
      </c>
      <c r="F12" s="27">
        <f>F11*(1+Returns!F10)</f>
        <v>0</v>
      </c>
      <c r="G12" s="27">
        <f>G11*(1+Returns!G9)</f>
        <v>542367.63960938773</v>
      </c>
      <c r="H12" s="27">
        <f>H11*(1+Returns!H9)</f>
        <v>0</v>
      </c>
      <c r="I12" s="27">
        <f>I11*(1+Returns!I9)</f>
        <v>319340.86076988548</v>
      </c>
      <c r="J12" s="27">
        <f>J11*(1+Returns!J9)</f>
        <v>0</v>
      </c>
      <c r="K12" s="27">
        <f>K11*(1+Returns!K9)</f>
        <v>0</v>
      </c>
      <c r="L12" s="27">
        <f>L11*(1+Returns!L9)</f>
        <v>0</v>
      </c>
      <c r="M12" s="29">
        <f t="shared" si="0"/>
        <v>1143090.3862811201</v>
      </c>
    </row>
    <row r="13" spans="1:13" x14ac:dyDescent="0.25">
      <c r="A13" s="4">
        <v>42979</v>
      </c>
      <c r="B13" s="27">
        <f>B12*(1+Returns!B10)</f>
        <v>55954.049237990606</v>
      </c>
      <c r="C13" s="27">
        <f>C12*(1+Returns!C10)</f>
        <v>0</v>
      </c>
      <c r="D13" s="27">
        <f>D12*(1+Returns!D10)</f>
        <v>8909.8526696691915</v>
      </c>
      <c r="E13" s="27">
        <f>E12*(1+Returns!E10)</f>
        <v>229672.51641905043</v>
      </c>
      <c r="F13" s="27">
        <f>F12*(1+Returns!F11)</f>
        <v>0</v>
      </c>
      <c r="G13" s="27">
        <f>G12*(1+Returns!G10)</f>
        <v>559024.61479976145</v>
      </c>
      <c r="H13" s="27">
        <f>H12*(1+Returns!H10)</f>
        <v>0</v>
      </c>
      <c r="I13" s="27">
        <f>I12*(1+Returns!I10)</f>
        <v>335174.11525651137</v>
      </c>
      <c r="J13" s="27">
        <f>J12*(1+Returns!J10)</f>
        <v>0</v>
      </c>
      <c r="K13" s="27">
        <f>K12*(1+Returns!K10)</f>
        <v>0</v>
      </c>
      <c r="L13" s="27">
        <f>L12*(1+Returns!L10)</f>
        <v>0</v>
      </c>
      <c r="M13" s="29">
        <f t="shared" si="0"/>
        <v>1188735.1483829832</v>
      </c>
    </row>
    <row r="14" spans="1:13" x14ac:dyDescent="0.25">
      <c r="A14" s="4">
        <v>43009</v>
      </c>
      <c r="B14" s="27">
        <f>B13*(1+Returns!B11)</f>
        <v>61124.419206221108</v>
      </c>
      <c r="C14" s="27">
        <f>C13*(1+Returns!C11)</f>
        <v>0</v>
      </c>
      <c r="D14" s="27">
        <f>D13*(1+Returns!D11)</f>
        <v>9602.9832274140499</v>
      </c>
      <c r="E14" s="27">
        <f>E13*(1+Returns!E11)</f>
        <v>232637.02970245088</v>
      </c>
      <c r="F14" s="27">
        <f>F13*(1+Returns!F12)</f>
        <v>0</v>
      </c>
      <c r="G14" s="27">
        <f>G13*(1+Returns!G11)</f>
        <v>592083.9162384636</v>
      </c>
      <c r="H14" s="27">
        <f>H13*(1+Returns!H11)</f>
        <v>0</v>
      </c>
      <c r="I14" s="27">
        <f>I13*(1+Returns!I11)</f>
        <v>352610.11228872667</v>
      </c>
      <c r="J14" s="27">
        <f>J13*(1+Returns!J11)</f>
        <v>0</v>
      </c>
      <c r="K14" s="27">
        <f>K13*(1+Returns!K11)</f>
        <v>0</v>
      </c>
      <c r="L14" s="27">
        <f>L13*(1+Returns!L11)</f>
        <v>0</v>
      </c>
      <c r="M14" s="29">
        <f t="shared" si="0"/>
        <v>1248058.4606632763</v>
      </c>
    </row>
    <row r="15" spans="1:13" x14ac:dyDescent="0.25">
      <c r="A15" s="8">
        <v>43009</v>
      </c>
      <c r="B15" s="27">
        <f>$M$14*Weights!B5</f>
        <v>257339.84395038261</v>
      </c>
      <c r="C15" s="27">
        <f>$M$14*Weights!C5</f>
        <v>0</v>
      </c>
      <c r="D15" s="27">
        <f>$M$14*Weights!D5</f>
        <v>33418.534298192179</v>
      </c>
      <c r="E15" s="27">
        <f>$M$14*Weights!E5</f>
        <v>0</v>
      </c>
      <c r="F15" s="27">
        <f>$M$14*Weights!F5</f>
        <v>0</v>
      </c>
      <c r="G15" s="27">
        <f>$M$14*Weights!G5</f>
        <v>588214.76207555947</v>
      </c>
      <c r="H15" s="27">
        <f>$M$14*Weights!H5</f>
        <v>0</v>
      </c>
      <c r="I15" s="27">
        <f>$M$14*Weights!I5</f>
        <v>0</v>
      </c>
      <c r="J15" s="27">
        <f>$M$14*Weights!J5</f>
        <v>119068.55219234868</v>
      </c>
      <c r="K15" s="27">
        <f>$M$14*Weights!K5</f>
        <v>0</v>
      </c>
      <c r="L15" s="27">
        <f>$M$14*Weights!L5</f>
        <v>250016.7681467926</v>
      </c>
      <c r="M15" s="29">
        <f t="shared" si="0"/>
        <v>1248058.4606632756</v>
      </c>
    </row>
    <row r="16" spans="1:13" x14ac:dyDescent="0.25">
      <c r="A16" s="4">
        <v>43040</v>
      </c>
      <c r="B16" s="27">
        <f>B15*(1+Returns!B12)</f>
        <v>261582.51516310923</v>
      </c>
      <c r="C16" s="27">
        <f>C15*(1+Returns!C12)</f>
        <v>0</v>
      </c>
      <c r="D16" s="27">
        <f>D15*(1+Returns!D12)</f>
        <v>34356.914191008698</v>
      </c>
      <c r="E16" s="27">
        <f>E15*(1+Returns!E12)</f>
        <v>0</v>
      </c>
      <c r="F16" s="27">
        <f>F15*(1+Returns!F12)</f>
        <v>0</v>
      </c>
      <c r="G16" s="27">
        <f>G15*(1+Returns!G12)</f>
        <v>589994.29772129771</v>
      </c>
      <c r="H16" s="27">
        <f>H15*(1+Returns!H12)</f>
        <v>0</v>
      </c>
      <c r="I16" s="27">
        <f>I15*(1+Returns!I12)</f>
        <v>0</v>
      </c>
      <c r="J16" s="27">
        <f>J15*(1+Returns!J12)</f>
        <v>129176.95796183213</v>
      </c>
      <c r="K16" s="27">
        <f>K15*(1+Returns!K12)</f>
        <v>0</v>
      </c>
      <c r="L16" s="27">
        <f>L15*(1+Returns!L12)</f>
        <v>251482.12633622155</v>
      </c>
      <c r="M16" s="29">
        <f t="shared" si="0"/>
        <v>1266592.8113734694</v>
      </c>
    </row>
    <row r="17" spans="1:13" x14ac:dyDescent="0.25">
      <c r="A17" s="4">
        <v>43070</v>
      </c>
      <c r="B17" s="27">
        <f>B16*(1+Returns!B13)</f>
        <v>258502.41108054653</v>
      </c>
      <c r="C17" s="27">
        <f>C16*(1+Returns!C13)</f>
        <v>0</v>
      </c>
      <c r="D17" s="27">
        <f>D16*(1+Returns!D13)</f>
        <v>36111.274846992019</v>
      </c>
      <c r="E17" s="27">
        <f>E16*(1+Returns!E13)</f>
        <v>0</v>
      </c>
      <c r="F17" s="27">
        <f>F16*(1+Returns!F13)</f>
        <v>0</v>
      </c>
      <c r="G17" s="27">
        <f>G16*(1+Returns!G13)</f>
        <v>599724.35703514796</v>
      </c>
      <c r="H17" s="27">
        <f>H16*(1+Returns!H13)</f>
        <v>0</v>
      </c>
      <c r="I17" s="27">
        <f>I16*(1+Returns!I13)</f>
        <v>0</v>
      </c>
      <c r="J17" s="27">
        <f>J16*(1+Returns!J13)</f>
        <v>149864.51895564314</v>
      </c>
      <c r="K17" s="27">
        <f>K16*(1+Returns!K13)</f>
        <v>0</v>
      </c>
      <c r="L17" s="27">
        <f>L16*(1+Returns!L13)</f>
        <v>271274.295162378</v>
      </c>
      <c r="M17" s="29">
        <f t="shared" si="0"/>
        <v>1315476.8570807078</v>
      </c>
    </row>
    <row r="18" spans="1:13" x14ac:dyDescent="0.25">
      <c r="A18" s="4">
        <v>43101</v>
      </c>
      <c r="B18" s="27">
        <f>B17*(1+Returns!B14)</f>
        <v>255738.13911312635</v>
      </c>
      <c r="C18" s="27">
        <f>C17*(1+Returns!C14)</f>
        <v>0</v>
      </c>
      <c r="D18" s="27">
        <f>D17*(1+Returns!D14)</f>
        <v>39024.292569102196</v>
      </c>
      <c r="E18" s="27">
        <f>E17*(1+Returns!E14)</f>
        <v>0</v>
      </c>
      <c r="F18" s="27">
        <f>F17*(1+Returns!F14)</f>
        <v>0</v>
      </c>
      <c r="G18" s="27">
        <f>G17*(1+Returns!G14)</f>
        <v>668915.1267413937</v>
      </c>
      <c r="H18" s="27">
        <f>H17*(1+Returns!H14)</f>
        <v>0</v>
      </c>
      <c r="I18" s="27">
        <f>I17*(1+Returns!I14)</f>
        <v>0</v>
      </c>
      <c r="J18" s="27">
        <f>J17*(1+Returns!J14)</f>
        <v>149138.13909705411</v>
      </c>
      <c r="K18" s="27">
        <f>K17*(1+Returns!K14)</f>
        <v>0</v>
      </c>
      <c r="L18" s="27">
        <f>L17*(1+Returns!L14)</f>
        <v>293211.36427020223</v>
      </c>
      <c r="M18" s="29">
        <f t="shared" si="0"/>
        <v>1406027.0617908784</v>
      </c>
    </row>
    <row r="19" spans="1:13" x14ac:dyDescent="0.25">
      <c r="A19" s="8">
        <v>43101</v>
      </c>
      <c r="B19" s="27">
        <f>$M$18*Weights!B6</f>
        <v>289911.72775591619</v>
      </c>
      <c r="C19" s="27">
        <f>$M$18*Weights!C6</f>
        <v>0</v>
      </c>
      <c r="D19" s="27">
        <f>$M$18*Weights!D6</f>
        <v>0</v>
      </c>
      <c r="E19" s="27">
        <f>$M$18*Weights!E6</f>
        <v>0</v>
      </c>
      <c r="F19" s="27">
        <f>$M$18*Weights!F6</f>
        <v>0</v>
      </c>
      <c r="G19" s="27">
        <f>$M$18*Weights!G6</f>
        <v>662665.97254073247</v>
      </c>
      <c r="H19" s="27">
        <f>$M$18*Weights!H6</f>
        <v>0</v>
      </c>
      <c r="I19" s="27">
        <f>$M$18*Weights!I6</f>
        <v>85893.801026518078</v>
      </c>
      <c r="J19" s="27">
        <f>$M$18*Weights!J6</f>
        <v>0</v>
      </c>
      <c r="K19" s="27">
        <f>$M$18*Weights!K6</f>
        <v>85893.801026518093</v>
      </c>
      <c r="L19" s="27">
        <f>$M$18*Weights!L6</f>
        <v>281661.7594411936</v>
      </c>
      <c r="M19" s="29">
        <f t="shared" si="0"/>
        <v>1406027.0617908784</v>
      </c>
    </row>
    <row r="20" spans="1:13" x14ac:dyDescent="0.25">
      <c r="A20" s="4">
        <v>43132</v>
      </c>
      <c r="B20" s="27">
        <f>B19*(1+Returns!B15)</f>
        <v>307854.99769054545</v>
      </c>
      <c r="C20" s="27">
        <f>C19*(1+Returns!C15)</f>
        <v>0</v>
      </c>
      <c r="D20" s="27">
        <f>D19*(1+Returns!D15)</f>
        <v>0</v>
      </c>
      <c r="E20" s="27">
        <f>E19*(1+Returns!E15)</f>
        <v>0</v>
      </c>
      <c r="F20" s="27">
        <f>F19*(1+Returns!F15)</f>
        <v>0</v>
      </c>
      <c r="G20" s="27">
        <f>MAX($G$19*0.95,G19*(1+Returns!G15))</f>
        <v>629532.67391369585</v>
      </c>
      <c r="H20" s="27">
        <f>MAX(H19*0.95,H19*(1+Returns!H15))</f>
        <v>0</v>
      </c>
      <c r="I20" s="27">
        <f>MAX($I$19*0.95,I19*(1+Returns!I15))</f>
        <v>86213.772348434752</v>
      </c>
      <c r="J20" s="27">
        <f>MAX(J19*0.95,J19*(1+Returns!J15))</f>
        <v>0</v>
      </c>
      <c r="K20" s="27">
        <f>MAX($K$19*0.95,K19*(1+Returns!K15))</f>
        <v>85459.600047215019</v>
      </c>
      <c r="L20" s="27">
        <f>MAX(L19*0.95,L19*(1+Returns!L15))</f>
        <v>267578.67146913393</v>
      </c>
      <c r="M20" s="29">
        <f t="shared" si="0"/>
        <v>1376639.7154690251</v>
      </c>
    </row>
    <row r="21" spans="1:13" x14ac:dyDescent="0.25">
      <c r="A21" s="4">
        <v>43160</v>
      </c>
      <c r="B21" s="27">
        <f>B20*(1+Returns!B16)</f>
        <v>290696.64885409048</v>
      </c>
      <c r="C21" s="27">
        <f>C20*(1+Returns!C16)</f>
        <v>0</v>
      </c>
      <c r="D21" s="27">
        <f>D20*(1+Returns!D16)</f>
        <v>0</v>
      </c>
      <c r="E21" s="27">
        <f>E20*(1+Returns!E16)</f>
        <v>0</v>
      </c>
      <c r="F21" s="27">
        <f>F20*(1+Returns!F16)</f>
        <v>0</v>
      </c>
      <c r="G21" s="27">
        <f>MAX($G$19*0.95,G20*(1+Returns!G16))</f>
        <v>629532.67391369585</v>
      </c>
      <c r="H21" s="27">
        <f>H20*(1+Returns!H16)</f>
        <v>0</v>
      </c>
      <c r="I21" s="27">
        <f>MAX($I$19*0.95,I20*(1+Returns!I16))</f>
        <v>81983.865431757833</v>
      </c>
      <c r="J21" s="27">
        <f>J20*(1+Returns!J16)</f>
        <v>0</v>
      </c>
      <c r="K21" s="27">
        <f>MAX($K$19*0.95,K20*(1+Returns!K16))</f>
        <v>82257.775791341686</v>
      </c>
      <c r="L21" s="27">
        <f>L20*(1+Returns!L16)</f>
        <v>240167.07706406849</v>
      </c>
      <c r="M21" s="29">
        <f t="shared" si="0"/>
        <v>1324638.0410549545</v>
      </c>
    </row>
    <row r="22" spans="1:13" x14ac:dyDescent="0.25">
      <c r="A22" s="4">
        <v>43191</v>
      </c>
      <c r="B22" s="27">
        <f>B21*(1+Returns!B17)</f>
        <v>286297.37738110399</v>
      </c>
      <c r="C22" s="27">
        <f>C21*(1+Returns!C17)</f>
        <v>0</v>
      </c>
      <c r="D22" s="27">
        <f>D21*(1+Returns!D17)</f>
        <v>0</v>
      </c>
      <c r="E22" s="27">
        <f>E21*(1+Returns!E17)</f>
        <v>0</v>
      </c>
      <c r="F22" s="27">
        <f>F21*(1+Returns!F17)</f>
        <v>0</v>
      </c>
      <c r="G22" s="27">
        <f>MAX($G$19*0.95,G21*(1+Returns!G17))</f>
        <v>629532.67391369585</v>
      </c>
      <c r="H22" s="27">
        <f>H21*(1+Returns!H17)</f>
        <v>0</v>
      </c>
      <c r="I22" s="27">
        <f>MAX($I$19*0.95,I21*(1+Returns!I17))</f>
        <v>81599.110975192176</v>
      </c>
      <c r="J22" s="27">
        <f>J21*(1+Returns!J17)</f>
        <v>0</v>
      </c>
      <c r="K22" s="27">
        <f>MAX($K$19*0.95,K21*(1+Returns!K17))</f>
        <v>81599.11097519219</v>
      </c>
      <c r="L22" s="27">
        <f>L21*(1+Returns!L17)</f>
        <v>238096.06533893911</v>
      </c>
      <c r="M22" s="29">
        <f t="shared" si="0"/>
        <v>1317124.3385841234</v>
      </c>
    </row>
    <row r="23" spans="1:13" x14ac:dyDescent="0.25">
      <c r="A23" s="8">
        <v>43191</v>
      </c>
      <c r="B23" s="27">
        <f>$M$22*Weights!B7</f>
        <v>271580.68507011782</v>
      </c>
      <c r="C23" s="27">
        <f>$M$22*Weights!C7</f>
        <v>0</v>
      </c>
      <c r="D23" s="27">
        <f>$M$22*Weights!D7</f>
        <v>80462.758463147882</v>
      </c>
      <c r="E23" s="27">
        <f>$M$22*Weights!E7</f>
        <v>80462.758463147882</v>
      </c>
      <c r="F23" s="27">
        <f>$M$22*Weights!F7</f>
        <v>0</v>
      </c>
      <c r="G23" s="27">
        <f>$M$22*Weights!G7</f>
        <v>620765.77649451583</v>
      </c>
      <c r="H23" s="27">
        <f>$M$22*Weights!H7</f>
        <v>0</v>
      </c>
      <c r="I23" s="27">
        <f>$M$22*Weights!I7</f>
        <v>0</v>
      </c>
      <c r="J23" s="27">
        <f>$M$22*Weights!J7</f>
        <v>0</v>
      </c>
      <c r="K23" s="27">
        <f>$M$22*Weights!K7</f>
        <v>0</v>
      </c>
      <c r="L23" s="27">
        <f>$M$22*Weights!L7</f>
        <v>263852.36009319412</v>
      </c>
      <c r="M23" s="29">
        <f t="shared" si="0"/>
        <v>1317124.3385841236</v>
      </c>
    </row>
    <row r="24" spans="1:13" x14ac:dyDescent="0.25">
      <c r="A24" s="4">
        <v>43221</v>
      </c>
      <c r="B24" s="27">
        <f>B23*(1+Returns!B18)</f>
        <v>304956.08853308362</v>
      </c>
      <c r="C24" s="27">
        <f>C23*(1+Returns!C18)</f>
        <v>0</v>
      </c>
      <c r="D24" s="27">
        <f>D23*(1+Returns!D18)</f>
        <v>78060.709373490128</v>
      </c>
      <c r="E24" s="27">
        <f>E23*(1+Returns!E18)</f>
        <v>84341.921968027222</v>
      </c>
      <c r="F24" s="27">
        <f>F23*(1+Returns!F18)</f>
        <v>0</v>
      </c>
      <c r="G24" s="27">
        <f>G23*(1+Returns!G18)</f>
        <v>668503.07604600978</v>
      </c>
      <c r="H24" s="27">
        <f>H23*(1+Returns!H18)</f>
        <v>0</v>
      </c>
      <c r="I24" s="27">
        <f>I23*(1+Returns!I18)</f>
        <v>0</v>
      </c>
      <c r="J24" s="27">
        <f>J23*(1+Returns!J18)</f>
        <v>0</v>
      </c>
      <c r="K24" s="27">
        <f>K23*(1+Returns!K18)</f>
        <v>0</v>
      </c>
      <c r="L24" s="27">
        <f>L23*(1+Returns!L18)</f>
        <v>273964.39881642035</v>
      </c>
      <c r="M24" s="29">
        <f t="shared" si="0"/>
        <v>1409826.1947370311</v>
      </c>
    </row>
    <row r="25" spans="1:13" x14ac:dyDescent="0.25">
      <c r="A25" s="4">
        <v>43252</v>
      </c>
      <c r="B25" s="27">
        <f>B24*(1+Returns!B19)</f>
        <v>303243.9894085101</v>
      </c>
      <c r="C25" s="27">
        <f>C24*(1+Returns!C19)</f>
        <v>0</v>
      </c>
      <c r="D25" s="27">
        <f>D24*(1+Returns!D19)</f>
        <v>76060.054624790529</v>
      </c>
      <c r="E25" s="27">
        <f>E24*(1+Returns!E19)</f>
        <v>88685.012774405783</v>
      </c>
      <c r="F25" s="27">
        <f>F24*(1+Returns!F19)</f>
        <v>0</v>
      </c>
      <c r="G25" s="27">
        <f>G24*(1+Returns!G19)</f>
        <v>686011.39186382934</v>
      </c>
      <c r="H25" s="27">
        <f>H24*(1+Returns!H19)</f>
        <v>0</v>
      </c>
      <c r="I25" s="27">
        <f>I24*(1+Returns!I19)</f>
        <v>0</v>
      </c>
      <c r="J25" s="27">
        <f>J24*(1+Returns!J19)</f>
        <v>0</v>
      </c>
      <c r="K25" s="27">
        <f>K24*(1+Returns!K19)</f>
        <v>0</v>
      </c>
      <c r="L25" s="27">
        <f>L24*(1+Returns!L19)</f>
        <v>283280.10738837579</v>
      </c>
      <c r="M25" s="29">
        <f t="shared" si="0"/>
        <v>1437280.5560599114</v>
      </c>
    </row>
    <row r="26" spans="1:13" x14ac:dyDescent="0.25">
      <c r="A26" s="4">
        <v>43282</v>
      </c>
      <c r="B26" s="27">
        <f>B25*(1+Returns!B20)</f>
        <v>311613.22942564508</v>
      </c>
      <c r="C26" s="27">
        <f>C25*(1+Returns!C20)</f>
        <v>0</v>
      </c>
      <c r="D26" s="27">
        <f>D25*(1+Returns!D20)</f>
        <v>82992.267465624696</v>
      </c>
      <c r="E26" s="27">
        <f>E25*(1+Returns!E20)</f>
        <v>84221.24631047553</v>
      </c>
      <c r="F26" s="27">
        <f>F25*(1+Returns!F20)</f>
        <v>0</v>
      </c>
      <c r="G26" s="27">
        <f>G25*(1+Returns!G20)</f>
        <v>743122.46851897321</v>
      </c>
      <c r="H26" s="27">
        <f>H25*(1+Returns!H20)</f>
        <v>0</v>
      </c>
      <c r="I26" s="27">
        <f>I25*(1+Returns!I20)</f>
        <v>0</v>
      </c>
      <c r="J26" s="27">
        <f>J25*(1+Returns!J20)</f>
        <v>0</v>
      </c>
      <c r="K26" s="27">
        <f>K25*(1+Returns!K20)</f>
        <v>0</v>
      </c>
      <c r="L26" s="27">
        <f>L25*(1+Returns!L20)</f>
        <v>292578.69143148558</v>
      </c>
      <c r="M26" s="29">
        <f t="shared" si="0"/>
        <v>1514527.9031522041</v>
      </c>
    </row>
    <row r="27" spans="1:13" x14ac:dyDescent="0.25">
      <c r="A27" s="8">
        <v>43282</v>
      </c>
      <c r="B27" s="27">
        <f>$M$26*Weights!B8</f>
        <v>225768.70295460962</v>
      </c>
      <c r="C27" s="27">
        <f>$M$26*Weights!C8</f>
        <v>0</v>
      </c>
      <c r="D27" s="27">
        <f>$M$26*Weights!D8</f>
        <v>0</v>
      </c>
      <c r="E27" s="27">
        <f>$M$26*Weights!E8</f>
        <v>478083.31927970302</v>
      </c>
      <c r="F27" s="27">
        <f>$M$26*Weights!F8</f>
        <v>0</v>
      </c>
      <c r="G27" s="27">
        <f>$M$26*Weights!G8</f>
        <v>167817.37288871879</v>
      </c>
      <c r="H27" s="27">
        <f>$M$26*Weights!H8</f>
        <v>467996.20710575738</v>
      </c>
      <c r="I27" s="27">
        <f>$M$26*Weights!I8</f>
        <v>174862.30092341686</v>
      </c>
      <c r="J27" s="27">
        <f>$M$26*Weights!J8</f>
        <v>0</v>
      </c>
      <c r="K27" s="27">
        <f>$M$26*Weights!K8</f>
        <v>0</v>
      </c>
      <c r="L27" s="27">
        <f>$M$26*Weights!L8</f>
        <v>0</v>
      </c>
      <c r="M27" s="29">
        <f t="shared" si="0"/>
        <v>1514527.9031522057</v>
      </c>
    </row>
    <row r="28" spans="1:13" x14ac:dyDescent="0.25">
      <c r="A28" s="4">
        <v>43313</v>
      </c>
      <c r="B28" s="27">
        <f>B27*(1+Returns!B21)</f>
        <v>266220.21587498486</v>
      </c>
      <c r="C28" s="27">
        <f>C27*(1+Returns!C21)</f>
        <v>0</v>
      </c>
      <c r="D28" s="27">
        <f>D27*(1+Returns!D21)</f>
        <v>0</v>
      </c>
      <c r="E28" s="27">
        <f>E27*(1+Returns!E21)</f>
        <v>498104.98274230934</v>
      </c>
      <c r="F28" s="27">
        <f>F27*(1+Returns!F21)</f>
        <v>0</v>
      </c>
      <c r="G28" s="27">
        <f>MAX(G27*(1+Returns!G21),$G$27*0.95)</f>
        <v>168442.51423783213</v>
      </c>
      <c r="H28" s="27">
        <f>MAX(H27*(1+Returns!H21),$H$27*0.95)</f>
        <v>468744.60866807861</v>
      </c>
      <c r="I28" s="27">
        <f>I27*(1+Returns!I21)</f>
        <v>175246.23267985045</v>
      </c>
      <c r="J28" s="27">
        <f>J27*(1+Returns!J21)</f>
        <v>0</v>
      </c>
      <c r="K28" s="27">
        <f>K27*(1+Returns!K21)</f>
        <v>0</v>
      </c>
      <c r="L28" s="27">
        <f>L27*(1+Returns!L21)</f>
        <v>0</v>
      </c>
      <c r="M28" s="29">
        <f t="shared" si="0"/>
        <v>1576758.5542030553</v>
      </c>
    </row>
    <row r="29" spans="1:13" x14ac:dyDescent="0.25">
      <c r="A29" s="4">
        <v>43344</v>
      </c>
      <c r="B29" s="27">
        <f>B28*(1+Returns!B22)</f>
        <v>264932.61106053327</v>
      </c>
      <c r="C29" s="27">
        <f>C28*(1+Returns!C22)</f>
        <v>0</v>
      </c>
      <c r="D29" s="27">
        <f>D28*(1+Returns!D22)</f>
        <v>0</v>
      </c>
      <c r="E29" s="27">
        <f>E28*(1+Returns!E22)</f>
        <v>512168.68413432629</v>
      </c>
      <c r="F29" s="27">
        <f>F28*(1+Returns!F22)</f>
        <v>0</v>
      </c>
      <c r="G29" s="27">
        <f>MAX(G28*(1+Returns!G22),$G$27*0.95)</f>
        <v>165027.78517291628</v>
      </c>
      <c r="H29" s="27">
        <f>MAX(H28*(1+Returns!H22),$H$27*0.95)</f>
        <v>444596.39675046946</v>
      </c>
      <c r="I29" s="27">
        <f>I28*(1+Returns!I22)</f>
        <v>172564.53111614712</v>
      </c>
      <c r="J29" s="27">
        <f>J28*(1+Returns!J22)</f>
        <v>0</v>
      </c>
      <c r="K29" s="27">
        <f>K28*(1+Returns!K22)</f>
        <v>0</v>
      </c>
      <c r="L29" s="27">
        <f>L28*(1+Returns!L22)</f>
        <v>0</v>
      </c>
      <c r="M29" s="29">
        <f t="shared" si="0"/>
        <v>1559290.0082343924</v>
      </c>
    </row>
    <row r="30" spans="1:13" x14ac:dyDescent="0.25">
      <c r="A30" s="4">
        <v>43374</v>
      </c>
      <c r="B30" s="27">
        <f>B29*(1+Returns!B23)</f>
        <v>256732.4899745892</v>
      </c>
      <c r="C30" s="27">
        <f>C29*(1+Returns!C23)</f>
        <v>0</v>
      </c>
      <c r="D30" s="27">
        <f>D29*(1+Returns!D23)</f>
        <v>0</v>
      </c>
      <c r="E30" s="27">
        <f>E29*(1+Returns!E23)</f>
        <v>496580.33936161851</v>
      </c>
      <c r="F30" s="27">
        <f>F29*(1+Returns!F23)</f>
        <v>0</v>
      </c>
      <c r="G30" s="27">
        <f>MAX(G29*(1+Returns!G23),$G$27*0.95)</f>
        <v>159426.50424428284</v>
      </c>
      <c r="H30" s="27">
        <f>MAX(H29*(1+Returns!H23),$H$27*0.95)</f>
        <v>446831.20760081062</v>
      </c>
      <c r="I30" s="27">
        <f>I29*(1+Returns!I23)</f>
        <v>166621.48384796336</v>
      </c>
      <c r="J30" s="27">
        <f>J29*(1+Returns!J23)</f>
        <v>0</v>
      </c>
      <c r="K30" s="27">
        <f>K29*(1+Returns!K23)</f>
        <v>0</v>
      </c>
      <c r="L30" s="27">
        <f>L29*(1+Returns!L23)</f>
        <v>0</v>
      </c>
      <c r="M30" s="29">
        <f t="shared" si="0"/>
        <v>1526192.0250292646</v>
      </c>
    </row>
    <row r="31" spans="1:13" x14ac:dyDescent="0.25">
      <c r="A31" s="8">
        <v>43374</v>
      </c>
      <c r="B31" s="27">
        <f>$M$30*Weights!B9</f>
        <v>227507.45841880908</v>
      </c>
      <c r="C31" s="27">
        <f>$M$30*Weights!C9</f>
        <v>0</v>
      </c>
      <c r="D31" s="27">
        <f>$M$30*Weights!D9</f>
        <v>481765.27330105967</v>
      </c>
      <c r="E31" s="27">
        <f>$M$30*Weights!E9</f>
        <v>176209.00122879181</v>
      </c>
      <c r="F31" s="27">
        <f>$M$30*Weights!F9</f>
        <v>0</v>
      </c>
      <c r="G31" s="27">
        <f>$M$30*Weights!G9</f>
        <v>169109.81674953381</v>
      </c>
      <c r="H31" s="27">
        <f>$M$30*Weights!H9</f>
        <v>0</v>
      </c>
      <c r="I31" s="27">
        <f>$M$30*Weights!I9</f>
        <v>0</v>
      </c>
      <c r="J31" s="27">
        <f>$M$30*Weights!J9</f>
        <v>0</v>
      </c>
      <c r="K31" s="27">
        <f>$M$30*Weights!K9</f>
        <v>471600.47533107182</v>
      </c>
      <c r="L31" s="27">
        <f>$M$30*Weights!L9</f>
        <v>0</v>
      </c>
      <c r="M31" s="29">
        <f t="shared" si="0"/>
        <v>1526192.025029266</v>
      </c>
    </row>
    <row r="32" spans="1:13" x14ac:dyDescent="0.25">
      <c r="A32" s="4">
        <v>43405</v>
      </c>
      <c r="B32" s="28">
        <f>MAX(B31*(1+Returns!B24),0.95*$B$31)</f>
        <v>216132.08549786863</v>
      </c>
      <c r="C32" s="28">
        <f>MAX(C31*(1+Returns!C24),0.95*C31)</f>
        <v>0</v>
      </c>
      <c r="D32" s="28">
        <f>MAX(D31*(1+Returns!D24),0.95*$D$31)</f>
        <v>497279.65785751981</v>
      </c>
      <c r="E32" s="28">
        <f>MAX(E31*(1+Returns!E24),0.95*$E$31)</f>
        <v>178246.5763922302</v>
      </c>
      <c r="F32" s="28">
        <f>MAX(F31*(1+Returns!F24),0.95*F31)</f>
        <v>0</v>
      </c>
      <c r="G32" s="28">
        <f>MAX(G31*(1+Returns!G24),0.95*$G$31)</f>
        <v>172041.34344683084</v>
      </c>
      <c r="H32" s="28">
        <f>MAX(H31*(1+Returns!H24),0.95*H31)</f>
        <v>0</v>
      </c>
      <c r="I32" s="28">
        <f>MAX(I31*(1+Returns!I24),0.95*I31)</f>
        <v>0</v>
      </c>
      <c r="J32" s="28">
        <f>MAX(J31*(1+Returns!J24),0.95*J31)</f>
        <v>0</v>
      </c>
      <c r="K32" s="28">
        <f>MAX(K31*(1+Returns!K24),0.95*$K$31)</f>
        <v>461527.46417494072</v>
      </c>
      <c r="L32" s="28">
        <f>MAX(L31*(1+Returns!L24),0.95*L31)</f>
        <v>0</v>
      </c>
      <c r="M32" s="29">
        <f t="shared" si="0"/>
        <v>1525227.1273693901</v>
      </c>
    </row>
    <row r="33" spans="1:13" x14ac:dyDescent="0.25">
      <c r="A33" s="4">
        <v>43435</v>
      </c>
      <c r="B33" s="28">
        <f>MAX(B32*(1+Returns!B25),0.95*$B$31)</f>
        <v>216132.08549786863</v>
      </c>
      <c r="C33" s="28">
        <f>MAX(C32*(1+Returns!C25),0.95*C32)</f>
        <v>0</v>
      </c>
      <c r="D33" s="28">
        <f>MAX(D32*(1+Returns!D25),0.95*$D$31)</f>
        <v>457677.00963600667</v>
      </c>
      <c r="E33" s="28">
        <f>MAX(E32*(1+Returns!E25),0.95*$E$31)</f>
        <v>167398.55116735221</v>
      </c>
      <c r="F33" s="28">
        <f>MAX(F32*(1+Returns!F25),0.95*F32)</f>
        <v>0</v>
      </c>
      <c r="G33" s="28">
        <f>MAX(G32*(1+Returns!G25),0.95*$G$31)</f>
        <v>161707.49055198205</v>
      </c>
      <c r="H33" s="28">
        <f>MAX(H32*(1+Returns!H25),0.95*H32)</f>
        <v>0</v>
      </c>
      <c r="I33" s="28">
        <f>MAX(I32*(1+Returns!I25),0.95*I32)</f>
        <v>0</v>
      </c>
      <c r="J33" s="28">
        <f>MAX(J32*(1+Returns!J25),0.95*J32)</f>
        <v>0</v>
      </c>
      <c r="K33" s="28">
        <f>MAX(K32*(1+Returns!K25),0.95*$K$31)</f>
        <v>448020.45156451821</v>
      </c>
      <c r="L33" s="28">
        <f>MAX(L32*(1+Returns!L25),0.95*L32)</f>
        <v>0</v>
      </c>
      <c r="M33" s="29">
        <f t="shared" si="0"/>
        <v>1450935.5884177277</v>
      </c>
    </row>
    <row r="34" spans="1:13" ht="15.75" thickBot="1" x14ac:dyDescent="0.3">
      <c r="A34" s="4">
        <v>43466</v>
      </c>
      <c r="B34" s="28">
        <f>MAX(B33*(1+Returns!B26),0.95*$B$31)</f>
        <v>227735.51195768075</v>
      </c>
      <c r="C34" s="28">
        <f>MAX(C33*(1+Returns!C26),0.95*C33)</f>
        <v>0</v>
      </c>
      <c r="D34" s="28">
        <f>MAX(D33*(1+Returns!D26),0.95*$D$31)</f>
        <v>526352.75438055128</v>
      </c>
      <c r="E34" s="28">
        <f>MAX(E33*(1+Returns!E26),0.95*$E$31)</f>
        <v>177255.20316941928</v>
      </c>
      <c r="F34" s="28">
        <f>MAX(F33*(1+Returns!F26),0.95*F33)</f>
        <v>0</v>
      </c>
      <c r="G34" s="28">
        <f>MAX(G33*(1+Returns!G26),0.95*$G$31)</f>
        <v>173770.10567975655</v>
      </c>
      <c r="H34" s="28">
        <f>MAX(H33*(1+Returns!H26),0.95*H33)</f>
        <v>0</v>
      </c>
      <c r="I34" s="28">
        <f>MAX(I33*(1+Returns!I26),0.95*I33)</f>
        <v>0</v>
      </c>
      <c r="J34" s="28">
        <f>MAX(J33*(1+Returns!J26),0.95*J33)</f>
        <v>0</v>
      </c>
      <c r="K34" s="28">
        <f>MAX(K33*(1+Returns!K26),0.95*$K$31)</f>
        <v>477005.65027927369</v>
      </c>
      <c r="L34" s="28">
        <f>MAX(L33*(1+Returns!L26),0.95*L33)</f>
        <v>0</v>
      </c>
      <c r="M34" s="30">
        <f t="shared" si="0"/>
        <v>1582119.2254666816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A25D8-858B-4F9A-AEFD-07A537652DB2}">
  <dimension ref="A1:AF107"/>
  <sheetViews>
    <sheetView tabSelected="1" topLeftCell="B46" zoomScaleNormal="100" workbookViewId="0">
      <selection activeCell="K9" sqref="K9"/>
    </sheetView>
  </sheetViews>
  <sheetFormatPr defaultRowHeight="15" x14ac:dyDescent="0.25"/>
  <cols>
    <col min="1" max="1" width="18.7109375" customWidth="1"/>
    <col min="2" max="2" width="10.140625" style="20" customWidth="1"/>
    <col min="3" max="3" width="22.28515625" bestFit="1" customWidth="1"/>
    <col min="4" max="4" width="13" bestFit="1" customWidth="1"/>
    <col min="8" max="8" width="18.140625" bestFit="1" customWidth="1"/>
    <col min="12" max="12" width="16.140625" customWidth="1"/>
    <col min="13" max="13" width="12.7109375" bestFit="1" customWidth="1"/>
    <col min="14" max="14" width="14.28515625" bestFit="1" customWidth="1"/>
    <col min="15" max="15" width="13.140625" bestFit="1" customWidth="1"/>
    <col min="16" max="16" width="13.7109375" bestFit="1" customWidth="1"/>
    <col min="17" max="17" width="13.140625" bestFit="1" customWidth="1"/>
    <col min="18" max="18" width="15.140625" bestFit="1" customWidth="1"/>
    <col min="19" max="20" width="14.28515625" bestFit="1" customWidth="1"/>
    <col min="21" max="22" width="15.140625" bestFit="1" customWidth="1"/>
    <col min="23" max="23" width="12.28515625" bestFit="1" customWidth="1"/>
    <col min="24" max="24" width="18.42578125" bestFit="1" customWidth="1"/>
    <col min="25" max="25" width="13.42578125" bestFit="1" customWidth="1"/>
    <col min="26" max="26" width="14.85546875" bestFit="1" customWidth="1"/>
    <col min="27" max="28" width="13.42578125" bestFit="1" customWidth="1"/>
    <col min="29" max="29" width="13.7109375" bestFit="1" customWidth="1"/>
    <col min="30" max="32" width="13.42578125" bestFit="1" customWidth="1"/>
  </cols>
  <sheetData>
    <row r="1" spans="1:29" x14ac:dyDescent="0.25">
      <c r="A1" s="2" t="s">
        <v>1</v>
      </c>
      <c r="B1" s="2" t="s">
        <v>61</v>
      </c>
      <c r="C1" s="2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62</v>
      </c>
      <c r="S1" t="s">
        <v>81</v>
      </c>
      <c r="T1" t="s">
        <v>82</v>
      </c>
      <c r="U1" t="s">
        <v>83</v>
      </c>
      <c r="V1" t="s">
        <v>84</v>
      </c>
      <c r="W1" t="s">
        <v>107</v>
      </c>
    </row>
    <row r="2" spans="1:29" x14ac:dyDescent="0.25">
      <c r="A2" s="4">
        <v>42736</v>
      </c>
      <c r="B2" s="18">
        <v>0</v>
      </c>
      <c r="C2" s="13">
        <v>999999.99999999953</v>
      </c>
      <c r="D2" s="11">
        <v>2278.8701169999999</v>
      </c>
      <c r="E2" s="11">
        <v>2.4510000000000001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  <c r="K2" t="s">
        <v>12</v>
      </c>
      <c r="L2" t="s">
        <v>12</v>
      </c>
      <c r="M2" t="s">
        <v>12</v>
      </c>
      <c r="N2" s="12">
        <v>1000000</v>
      </c>
      <c r="O2" t="s">
        <v>12</v>
      </c>
      <c r="P2" t="s">
        <v>12</v>
      </c>
      <c r="Q2" t="s">
        <v>12</v>
      </c>
      <c r="R2" s="13">
        <f>N2</f>
        <v>1000000</v>
      </c>
      <c r="S2" s="13"/>
      <c r="T2" s="13"/>
      <c r="U2" s="13">
        <f>R2</f>
        <v>1000000</v>
      </c>
      <c r="V2" s="13">
        <f>R2</f>
        <v>1000000</v>
      </c>
      <c r="W2">
        <f>LN(C5/C2)</f>
        <v>0.11947461358330544</v>
      </c>
      <c r="X2" t="s">
        <v>33</v>
      </c>
    </row>
    <row r="3" spans="1:29" ht="15.75" thickBot="1" x14ac:dyDescent="0.3">
      <c r="A3" s="4">
        <v>42767</v>
      </c>
      <c r="B3" s="18">
        <v>1</v>
      </c>
      <c r="C3" s="13">
        <v>1081834.0161597591</v>
      </c>
      <c r="D3" s="11">
        <v>2363.639893</v>
      </c>
      <c r="E3" s="11">
        <v>2.3580000000000001</v>
      </c>
      <c r="F3">
        <f>LN(C3/C2)</f>
        <v>7.8657763998328953E-2</v>
      </c>
      <c r="G3">
        <f>LN(D3/D2)</f>
        <v>3.6523000999039816E-2</v>
      </c>
      <c r="H3" s="11">
        <f t="shared" ref="H3:H26" si="0">E3/1200</f>
        <v>1.9650000000000002E-3</v>
      </c>
      <c r="I3">
        <f>F3-H3</f>
        <v>7.6692763998328958E-2</v>
      </c>
      <c r="J3">
        <f>G3-H3</f>
        <v>3.4558000999039815E-2</v>
      </c>
      <c r="K3" s="11">
        <v>-0.02</v>
      </c>
      <c r="L3" s="11">
        <v>-1.78E-2</v>
      </c>
      <c r="M3">
        <f t="shared" ref="M3:M32" si="1">$P$50+($P$51*J3)</f>
        <v>4.0177647671958278E-2</v>
      </c>
      <c r="N3" s="13">
        <f>(1+M3)*C2</f>
        <v>1040177.6476719577</v>
      </c>
      <c r="O3">
        <f>M3-F3</f>
        <v>-3.8480116326370675E-2</v>
      </c>
      <c r="P3">
        <f t="shared" ref="P3:P26" si="2">O3/$P$40</f>
        <v>-1.7887042718010346</v>
      </c>
      <c r="Q3">
        <f>_xlfn.NORM.DIST(P3,0,1,TRUE)</f>
        <v>3.6831227318134291E-2</v>
      </c>
      <c r="R3" s="13">
        <f>R2*(1+G3)</f>
        <v>1036523.0009990399</v>
      </c>
      <c r="S3" s="21">
        <f t="shared" ref="S3:S32" si="3">J3*$U$51+$U$50</f>
        <v>5.938291142088719E-2</v>
      </c>
      <c r="T3">
        <f t="shared" ref="T3:T32" si="4">J3*$T$51 + $T$50</f>
        <v>2.0972383923029358E-2</v>
      </c>
      <c r="U3" s="13">
        <f>U2*(1+S3)</f>
        <v>1059382.9114208873</v>
      </c>
      <c r="V3" s="13">
        <f>V2*(1+T3)</f>
        <v>1020972.3839230294</v>
      </c>
      <c r="W3">
        <f>LN(C8/C5)</f>
        <v>2.2595110409089438E-2</v>
      </c>
    </row>
    <row r="4" spans="1:29" x14ac:dyDescent="0.25">
      <c r="A4" s="4">
        <v>42795</v>
      </c>
      <c r="B4" s="18">
        <v>2</v>
      </c>
      <c r="C4" s="13">
        <v>1112827.2089606598</v>
      </c>
      <c r="D4" s="11">
        <v>2362.719971</v>
      </c>
      <c r="E4" s="11">
        <v>2.3959999999999999</v>
      </c>
      <c r="F4" s="11">
        <f t="shared" ref="F4:F26" si="5">LN(C4/C3)</f>
        <v>2.8246048229076327E-2</v>
      </c>
      <c r="G4" s="11">
        <f t="shared" ref="G4:G32" si="6">LN(D4/D3)</f>
        <v>-3.8927294496698804E-4</v>
      </c>
      <c r="H4" s="11">
        <f t="shared" si="0"/>
        <v>1.9966666666666666E-3</v>
      </c>
      <c r="I4" s="11">
        <f t="shared" ref="I4:I26" si="7">F4-H4</f>
        <v>2.6249381562409659E-2</v>
      </c>
      <c r="J4" s="11">
        <f t="shared" ref="J4:J32" si="8">G4-H4</f>
        <v>-2.3859396116336544E-3</v>
      </c>
      <c r="K4" s="11">
        <v>1.1899999999999999E-2</v>
      </c>
      <c r="L4" s="11">
        <v>-3.1600000000000003E-2</v>
      </c>
      <c r="M4" s="11">
        <f t="shared" si="1"/>
        <v>9.1509715863286947E-3</v>
      </c>
      <c r="N4" s="13">
        <f>(1+M4)*N3</f>
        <v>1049696.2837705382</v>
      </c>
      <c r="O4" s="11">
        <f t="shared" ref="O4:O26" si="9">M4-F4</f>
        <v>-1.9095076642747632E-2</v>
      </c>
      <c r="P4" s="11">
        <f t="shared" si="2"/>
        <v>-0.88761283545922909</v>
      </c>
      <c r="Q4" s="11">
        <f t="shared" ref="Q4:Q26" si="10">_xlfn.NORM.DIST(P4,0,1,TRUE)</f>
        <v>0.18737452346371544</v>
      </c>
      <c r="R4" s="13">
        <f t="shared" ref="R4:R32" si="11">R3*(1+G4)</f>
        <v>1036119.510637915</v>
      </c>
      <c r="S4" s="21">
        <f t="shared" si="3"/>
        <v>1.8595435273878729E-2</v>
      </c>
      <c r="T4" s="11">
        <f t="shared" si="4"/>
        <v>-2.934921012213371E-4</v>
      </c>
      <c r="U4" s="13">
        <f t="shared" ref="U4:U32" si="12">U3*(1+S4)</f>
        <v>1079082.5977804675</v>
      </c>
      <c r="V4" s="13">
        <f t="shared" ref="V4:V32" si="13">V3*(1+T4)</f>
        <v>1020672.7365927829</v>
      </c>
      <c r="W4">
        <f>LN(C11/C8)</f>
        <v>7.9519388337909294E-2</v>
      </c>
      <c r="X4" s="17" t="s">
        <v>34</v>
      </c>
      <c r="Y4" s="17"/>
    </row>
    <row r="5" spans="1:29" x14ac:dyDescent="0.25">
      <c r="A5" s="4">
        <v>42826</v>
      </c>
      <c r="B5" s="18">
        <v>3</v>
      </c>
      <c r="C5" s="13">
        <v>1126904.6356334188</v>
      </c>
      <c r="D5" s="11">
        <v>2384.1999510000001</v>
      </c>
      <c r="E5" s="11">
        <v>2.282</v>
      </c>
      <c r="F5" s="11">
        <f t="shared" si="5"/>
        <v>1.2570801355900284E-2</v>
      </c>
      <c r="G5" s="11">
        <f t="shared" si="6"/>
        <v>9.0501322804594966E-3</v>
      </c>
      <c r="H5" s="11">
        <f t="shared" si="0"/>
        <v>1.9016666666666667E-3</v>
      </c>
      <c r="I5" s="11">
        <f t="shared" si="7"/>
        <v>1.0669134689233618E-2</v>
      </c>
      <c r="J5" s="11">
        <f t="shared" si="8"/>
        <v>7.1484656137928296E-3</v>
      </c>
      <c r="K5" s="11">
        <v>7.3000000000000001E-3</v>
      </c>
      <c r="L5" s="11">
        <v>-1.8700000000000001E-2</v>
      </c>
      <c r="M5" s="11">
        <f t="shared" si="1"/>
        <v>1.7158263112587158E-2</v>
      </c>
      <c r="N5" s="13">
        <f t="shared" ref="N5:N32" si="14">(1+M5)*N4</f>
        <v>1067707.248795778</v>
      </c>
      <c r="O5" s="11">
        <f t="shared" si="9"/>
        <v>4.5874617566868739E-3</v>
      </c>
      <c r="P5" s="11">
        <f t="shared" si="2"/>
        <v>0.21324292191098004</v>
      </c>
      <c r="Q5" s="11">
        <f t="shared" si="10"/>
        <v>0.58443125437907406</v>
      </c>
      <c r="R5" s="13">
        <f t="shared" si="11"/>
        <v>1045496.5292675531</v>
      </c>
      <c r="S5" s="21">
        <f t="shared" si="3"/>
        <v>2.9121771102700492E-2</v>
      </c>
      <c r="T5" s="11">
        <f t="shared" si="4"/>
        <v>5.194755122473825E-3</v>
      </c>
      <c r="U5" s="13">
        <f t="shared" si="12"/>
        <v>1110507.3941939378</v>
      </c>
      <c r="V5" s="13">
        <f t="shared" si="13"/>
        <v>1025974.8815195676</v>
      </c>
      <c r="W5">
        <f>LN(C14/C11)</f>
        <v>0.11917892823487476</v>
      </c>
      <c r="X5" s="14" t="s">
        <v>35</v>
      </c>
      <c r="Y5" s="14">
        <v>0.83572464542214919</v>
      </c>
    </row>
    <row r="6" spans="1:29" x14ac:dyDescent="0.25">
      <c r="A6" s="4">
        <v>42856</v>
      </c>
      <c r="B6" s="18">
        <v>4</v>
      </c>
      <c r="C6" s="13">
        <v>1161739.6543557304</v>
      </c>
      <c r="D6" s="11">
        <v>2411.8000489999999</v>
      </c>
      <c r="E6" s="11">
        <v>2.1960000000000002</v>
      </c>
      <c r="F6" s="11">
        <f t="shared" si="5"/>
        <v>3.0443970135746394E-2</v>
      </c>
      <c r="G6" s="11">
        <f t="shared" si="6"/>
        <v>1.1509759254333795E-2</v>
      </c>
      <c r="H6" s="11">
        <f t="shared" si="0"/>
        <v>1.8300000000000002E-3</v>
      </c>
      <c r="I6" s="11">
        <f t="shared" si="7"/>
        <v>2.8613970135746392E-2</v>
      </c>
      <c r="J6" s="11">
        <f t="shared" si="8"/>
        <v>9.6797592543337949E-3</v>
      </c>
      <c r="K6" s="11">
        <v>-2.5399999999999999E-2</v>
      </c>
      <c r="L6" s="11">
        <v>-3.7699999999999997E-2</v>
      </c>
      <c r="M6" s="11">
        <f t="shared" si="1"/>
        <v>1.9284122632835202E-2</v>
      </c>
      <c r="N6" s="13">
        <f t="shared" si="14"/>
        <v>1088297.0463175231</v>
      </c>
      <c r="O6" s="11">
        <f t="shared" si="9"/>
        <v>-1.1159847502911192E-2</v>
      </c>
      <c r="P6" s="11">
        <f t="shared" si="2"/>
        <v>-0.51875276913925283</v>
      </c>
      <c r="Q6" s="11">
        <f t="shared" si="10"/>
        <v>0.30196657902986279</v>
      </c>
      <c r="R6" s="13">
        <f t="shared" si="11"/>
        <v>1057529.9426206644</v>
      </c>
      <c r="S6" s="21">
        <f t="shared" si="3"/>
        <v>3.1916412856612647E-2</v>
      </c>
      <c r="T6" s="11">
        <f t="shared" si="4"/>
        <v>6.6518324090577658E-3</v>
      </c>
      <c r="U6" s="13">
        <f t="shared" si="12"/>
        <v>1145950.8066673526</v>
      </c>
      <c r="V6" s="13">
        <f t="shared" si="13"/>
        <v>1032799.4944873387</v>
      </c>
      <c r="W6">
        <f>LN(C17/C14)</f>
        <v>-6.5317211794117286E-2</v>
      </c>
      <c r="X6" s="14" t="s">
        <v>36</v>
      </c>
      <c r="Y6" s="14">
        <v>0.69843568296597702</v>
      </c>
    </row>
    <row r="7" spans="1:29" x14ac:dyDescent="0.25">
      <c r="A7" s="4">
        <v>42887</v>
      </c>
      <c r="B7" s="18">
        <v>5</v>
      </c>
      <c r="C7" s="13">
        <v>1138372.7379580492</v>
      </c>
      <c r="D7" s="11">
        <v>2423.4099120000001</v>
      </c>
      <c r="E7" s="11">
        <v>2.302</v>
      </c>
      <c r="F7" s="11">
        <f t="shared" si="5"/>
        <v>-2.0318763894965505E-2</v>
      </c>
      <c r="G7" s="11">
        <f t="shared" si="6"/>
        <v>4.8022259241070758E-3</v>
      </c>
      <c r="H7" s="11">
        <f t="shared" si="0"/>
        <v>1.9183333333333333E-3</v>
      </c>
      <c r="I7" s="11">
        <f t="shared" si="7"/>
        <v>-2.2237097228298839E-2</v>
      </c>
      <c r="J7" s="11">
        <f t="shared" si="8"/>
        <v>2.8838925907737423E-3</v>
      </c>
      <c r="K7" s="11">
        <v>2.1499999999999998E-2</v>
      </c>
      <c r="L7" s="11">
        <v>1.3500000000000002E-2</v>
      </c>
      <c r="M7" s="11">
        <f t="shared" si="1"/>
        <v>1.3576741389631049E-2</v>
      </c>
      <c r="N7" s="13">
        <f t="shared" si="14"/>
        <v>1103072.5738704754</v>
      </c>
      <c r="O7" s="11">
        <f t="shared" si="9"/>
        <v>3.3895505284596554E-2</v>
      </c>
      <c r="P7" s="11">
        <f t="shared" si="2"/>
        <v>1.5755938621178993</v>
      </c>
      <c r="Q7" s="11">
        <f t="shared" si="10"/>
        <v>0.9424402842111359</v>
      </c>
      <c r="R7" s="13">
        <f t="shared" si="11"/>
        <v>1062608.4403266369</v>
      </c>
      <c r="S7" s="21">
        <f t="shared" si="3"/>
        <v>2.4413524836103977E-2</v>
      </c>
      <c r="T7" s="11">
        <f t="shared" si="4"/>
        <v>2.7399579431581266E-3</v>
      </c>
      <c r="U7" s="13">
        <f t="shared" si="12"/>
        <v>1173927.5051468792</v>
      </c>
      <c r="V7" s="13">
        <f t="shared" si="13"/>
        <v>1035629.3216659491</v>
      </c>
      <c r="W7" t="e">
        <f ca="1">J18()</f>
        <v>#REF!</v>
      </c>
      <c r="X7" s="14" t="s">
        <v>37</v>
      </c>
      <c r="Y7" s="14">
        <v>0.68472821400988504</v>
      </c>
    </row>
    <row r="8" spans="1:29" x14ac:dyDescent="0.25">
      <c r="A8" s="4">
        <v>42917</v>
      </c>
      <c r="B8" s="18">
        <v>6</v>
      </c>
      <c r="C8" s="13">
        <v>1152657.0135841349</v>
      </c>
      <c r="D8" s="11">
        <v>2470.3000489999999</v>
      </c>
      <c r="E8" s="11">
        <v>2.2919999999999998</v>
      </c>
      <c r="F8" s="11">
        <f t="shared" si="5"/>
        <v>1.2469904168308416E-2</v>
      </c>
      <c r="G8" s="11">
        <f t="shared" si="6"/>
        <v>1.916401766181007E-2</v>
      </c>
      <c r="H8" s="11">
        <f t="shared" si="0"/>
        <v>1.9099999999999998E-3</v>
      </c>
      <c r="I8" s="11">
        <f t="shared" si="7"/>
        <v>1.0559904168308416E-2</v>
      </c>
      <c r="J8" s="11">
        <f t="shared" si="8"/>
        <v>1.7254017661810072E-2</v>
      </c>
      <c r="K8" s="11">
        <v>-1.3999999999999999E-2</v>
      </c>
      <c r="L8" s="11">
        <v>-2.8000000000000004E-3</v>
      </c>
      <c r="M8" s="11">
        <f t="shared" si="1"/>
        <v>2.5645221592855944E-2</v>
      </c>
      <c r="N8" s="13">
        <f t="shared" si="14"/>
        <v>1131361.1144603856</v>
      </c>
      <c r="O8" s="11">
        <f t="shared" si="9"/>
        <v>1.3175317424547528E-2</v>
      </c>
      <c r="P8" s="11">
        <f t="shared" si="2"/>
        <v>0.61243958723358438</v>
      </c>
      <c r="Q8" s="11">
        <f t="shared" si="10"/>
        <v>0.72987652158783567</v>
      </c>
      <c r="R8" s="13">
        <f t="shared" si="11"/>
        <v>1082972.2872446449</v>
      </c>
      <c r="S8" s="21">
        <f t="shared" si="3"/>
        <v>4.0278674137342471E-2</v>
      </c>
      <c r="T8" s="11">
        <f t="shared" si="4"/>
        <v>1.1011769048369419E-2</v>
      </c>
      <c r="U8" s="13">
        <f t="shared" si="12"/>
        <v>1221211.7485875539</v>
      </c>
      <c r="V8" s="13">
        <f t="shared" si="13"/>
        <v>1047033.4325758539</v>
      </c>
      <c r="X8" s="14" t="s">
        <v>38</v>
      </c>
      <c r="Y8" s="14">
        <v>2.0910713170891469E-2</v>
      </c>
    </row>
    <row r="9" spans="1:29" ht="15.75" thickBot="1" x14ac:dyDescent="0.3">
      <c r="A9" s="4">
        <v>42948</v>
      </c>
      <c r="B9" s="18">
        <v>7</v>
      </c>
      <c r="C9" s="13">
        <v>1143090.3862811201</v>
      </c>
      <c r="D9" s="11">
        <v>2471.6499020000001</v>
      </c>
      <c r="E9" s="11">
        <v>2.121</v>
      </c>
      <c r="F9" s="11">
        <f t="shared" si="5"/>
        <v>-8.3342641950135046E-3</v>
      </c>
      <c r="G9" s="11">
        <f t="shared" si="6"/>
        <v>5.4628357104102084E-4</v>
      </c>
      <c r="H9" s="11">
        <f t="shared" si="0"/>
        <v>1.7675E-3</v>
      </c>
      <c r="I9" s="11">
        <f t="shared" si="7"/>
        <v>-1.0101764195013505E-2</v>
      </c>
      <c r="J9" s="11">
        <f t="shared" si="8"/>
        <v>-1.2212164289589792E-3</v>
      </c>
      <c r="K9" s="11">
        <v>-1.6899999999999998E-2</v>
      </c>
      <c r="L9" s="11">
        <v>-2.2400000000000003E-2</v>
      </c>
      <c r="M9" s="11">
        <f t="shared" si="1"/>
        <v>1.0129142521018597E-2</v>
      </c>
      <c r="N9" s="13">
        <f t="shared" si="14"/>
        <v>1142820.8324314933</v>
      </c>
      <c r="O9" s="11">
        <f t="shared" si="9"/>
        <v>1.8463406716032103E-2</v>
      </c>
      <c r="P9" s="11">
        <f t="shared" si="2"/>
        <v>0.8582503801407142</v>
      </c>
      <c r="Q9" s="11">
        <f t="shared" si="10"/>
        <v>0.80462288885655386</v>
      </c>
      <c r="R9" s="13">
        <f t="shared" si="11"/>
        <v>1083563.8972130595</v>
      </c>
      <c r="S9" s="21">
        <f t="shared" si="3"/>
        <v>1.9881332724068061E-2</v>
      </c>
      <c r="T9" s="11">
        <f t="shared" si="4"/>
        <v>3.7695231796913687E-4</v>
      </c>
      <c r="U9" s="13">
        <f t="shared" si="12"/>
        <v>1245491.065687764</v>
      </c>
      <c r="V9" s="13">
        <f t="shared" si="13"/>
        <v>1047428.1142552545</v>
      </c>
      <c r="X9" s="15" t="s">
        <v>39</v>
      </c>
      <c r="Y9" s="15">
        <v>24</v>
      </c>
    </row>
    <row r="10" spans="1:29" x14ac:dyDescent="0.25">
      <c r="A10" s="4">
        <v>42979</v>
      </c>
      <c r="B10" s="18">
        <v>8</v>
      </c>
      <c r="C10" s="13">
        <v>1188735.1483829832</v>
      </c>
      <c r="D10" s="11">
        <v>2519.360107</v>
      </c>
      <c r="E10" s="11">
        <v>2.3260000000000001</v>
      </c>
      <c r="F10" s="11">
        <f t="shared" si="5"/>
        <v>3.9154381528206945E-2</v>
      </c>
      <c r="G10" s="11">
        <f t="shared" si="6"/>
        <v>1.911903932397916E-2</v>
      </c>
      <c r="H10" s="11">
        <f t="shared" si="0"/>
        <v>1.9383333333333334E-3</v>
      </c>
      <c r="I10" s="11">
        <f t="shared" si="7"/>
        <v>3.7216048194873612E-2</v>
      </c>
      <c r="J10" s="11">
        <f t="shared" si="8"/>
        <v>1.7180705990645827E-2</v>
      </c>
      <c r="K10" s="11">
        <v>4.5199999999999997E-2</v>
      </c>
      <c r="L10" s="11">
        <v>3.0299999999999997E-2</v>
      </c>
      <c r="M10" s="11">
        <f t="shared" si="1"/>
        <v>2.5583652159901299E-2</v>
      </c>
      <c r="N10" s="13">
        <f t="shared" si="14"/>
        <v>1172058.3630895095</v>
      </c>
      <c r="O10" s="11">
        <f t="shared" si="9"/>
        <v>-1.3570729368305647E-2</v>
      </c>
      <c r="P10" s="11">
        <f t="shared" si="2"/>
        <v>-0.6308198599677548</v>
      </c>
      <c r="Q10" s="11">
        <f t="shared" si="10"/>
        <v>0.26407915816686439</v>
      </c>
      <c r="R10" s="13">
        <f t="shared" si="11"/>
        <v>1104280.5979739199</v>
      </c>
      <c r="S10" s="21">
        <f t="shared" si="3"/>
        <v>4.019773534225235E-2</v>
      </c>
      <c r="T10" s="11">
        <f t="shared" si="4"/>
        <v>1.0969568977550253E-2</v>
      </c>
      <c r="U10" s="13">
        <f t="shared" si="12"/>
        <v>1295556.9859174206</v>
      </c>
      <c r="V10" s="13">
        <f t="shared" si="13"/>
        <v>1058917.9492036027</v>
      </c>
    </row>
    <row r="11" spans="1:29" ht="15.75" thickBot="1" x14ac:dyDescent="0.3">
      <c r="A11" s="4">
        <v>43009</v>
      </c>
      <c r="B11" s="18">
        <v>9</v>
      </c>
      <c r="C11" s="13">
        <v>1248058.4606632763</v>
      </c>
      <c r="D11" s="11">
        <v>2575.26001</v>
      </c>
      <c r="E11" s="11">
        <v>2.3759999999999999</v>
      </c>
      <c r="F11" s="11">
        <f t="shared" si="5"/>
        <v>4.8699271004716022E-2</v>
      </c>
      <c r="G11" s="11">
        <f t="shared" si="6"/>
        <v>2.1945560290305279E-2</v>
      </c>
      <c r="H11" s="11">
        <f t="shared" si="0"/>
        <v>1.98E-3</v>
      </c>
      <c r="I11" s="11">
        <f t="shared" si="7"/>
        <v>4.6719271004716019E-2</v>
      </c>
      <c r="J11" s="11">
        <f t="shared" si="8"/>
        <v>1.996556029030528E-2</v>
      </c>
      <c r="K11" s="11">
        <v>-1.9400000000000001E-2</v>
      </c>
      <c r="L11" s="11">
        <v>-5.9999999999999995E-4</v>
      </c>
      <c r="M11" s="11">
        <f t="shared" si="1"/>
        <v>2.7922459847250267E-2</v>
      </c>
      <c r="N11" s="13">
        <f t="shared" si="14"/>
        <v>1204785.1156715103</v>
      </c>
      <c r="O11" s="11">
        <f t="shared" si="9"/>
        <v>-2.0776811157465755E-2</v>
      </c>
      <c r="P11" s="11">
        <f t="shared" si="2"/>
        <v>-0.96578634421367271</v>
      </c>
      <c r="Q11" s="11">
        <f t="shared" si="10"/>
        <v>0.16707555154357534</v>
      </c>
      <c r="R11" s="13">
        <f t="shared" si="11"/>
        <v>1128514.6544141711</v>
      </c>
      <c r="S11" s="21">
        <f t="shared" si="3"/>
        <v>4.327231743725056E-2</v>
      </c>
      <c r="T11" s="11">
        <f t="shared" si="4"/>
        <v>1.257260225724997E-2</v>
      </c>
      <c r="U11" s="13">
        <f t="shared" si="12"/>
        <v>1351618.7390700867</v>
      </c>
      <c r="V11" s="13">
        <f t="shared" si="13"/>
        <v>1072231.3034020024</v>
      </c>
      <c r="X11" t="s">
        <v>40</v>
      </c>
    </row>
    <row r="12" spans="1:29" x14ac:dyDescent="0.25">
      <c r="A12" s="4">
        <v>43040</v>
      </c>
      <c r="B12" s="18">
        <v>10</v>
      </c>
      <c r="C12" s="13">
        <v>1266592.8113734694</v>
      </c>
      <c r="D12" s="11">
        <v>2584.8400879999999</v>
      </c>
      <c r="E12" s="11">
        <v>2.4169999999999998</v>
      </c>
      <c r="F12" s="11">
        <f t="shared" si="5"/>
        <v>1.4741357223599608E-2</v>
      </c>
      <c r="G12" s="11">
        <f t="shared" si="6"/>
        <v>3.7131407628128972E-3</v>
      </c>
      <c r="H12" s="11">
        <f t="shared" si="0"/>
        <v>2.0141666666666667E-3</v>
      </c>
      <c r="I12" s="11">
        <f t="shared" si="7"/>
        <v>1.272719055693294E-2</v>
      </c>
      <c r="J12" s="11">
        <f t="shared" si="8"/>
        <v>1.6989740961462305E-3</v>
      </c>
      <c r="K12" s="11">
        <v>-6.6E-3</v>
      </c>
      <c r="L12" s="11">
        <v>-5.0000000000000001E-4</v>
      </c>
      <c r="M12" s="11">
        <f t="shared" si="1"/>
        <v>1.2581609800716084E-2</v>
      </c>
      <c r="N12" s="13">
        <f t="shared" si="14"/>
        <v>1219943.2518906</v>
      </c>
      <c r="O12" s="11">
        <f t="shared" si="9"/>
        <v>-2.1597474228835234E-3</v>
      </c>
      <c r="P12" s="11">
        <f t="shared" si="2"/>
        <v>-0.10039339300738008</v>
      </c>
      <c r="Q12" s="11">
        <f t="shared" si="10"/>
        <v>0.46001600744209953</v>
      </c>
      <c r="R12" s="13">
        <f t="shared" si="11"/>
        <v>1132704.9881789079</v>
      </c>
      <c r="S12" s="21">
        <f t="shared" si="3"/>
        <v>2.3105331014955242E-2</v>
      </c>
      <c r="T12" s="11">
        <f t="shared" si="4"/>
        <v>2.0578885864769286E-3</v>
      </c>
      <c r="U12" s="13">
        <f t="shared" si="12"/>
        <v>1382848.3374423173</v>
      </c>
      <c r="V12" s="13">
        <f t="shared" si="13"/>
        <v>1074437.8359633365</v>
      </c>
      <c r="X12" s="16"/>
      <c r="Y12" s="16" t="s">
        <v>44</v>
      </c>
      <c r="Z12" s="16" t="s">
        <v>45</v>
      </c>
      <c r="AA12" s="16" t="s">
        <v>6</v>
      </c>
      <c r="AB12" s="16" t="s">
        <v>46</v>
      </c>
      <c r="AC12" s="16" t="s">
        <v>47</v>
      </c>
    </row>
    <row r="13" spans="1:29" x14ac:dyDescent="0.25">
      <c r="A13" s="4">
        <v>43070</v>
      </c>
      <c r="B13" s="18">
        <v>11</v>
      </c>
      <c r="C13" s="13">
        <v>1315476.8570807078</v>
      </c>
      <c r="D13" s="11">
        <v>2673.610107</v>
      </c>
      <c r="E13" s="11">
        <v>2.4049999999999998</v>
      </c>
      <c r="F13" s="11">
        <f t="shared" si="5"/>
        <v>3.7868759300547686E-2</v>
      </c>
      <c r="G13" s="11">
        <f t="shared" si="6"/>
        <v>3.3766014609890378E-2</v>
      </c>
      <c r="H13" s="11">
        <f t="shared" si="0"/>
        <v>2.0041666666666667E-3</v>
      </c>
      <c r="I13" s="11">
        <f t="shared" si="7"/>
        <v>3.5864592633881018E-2</v>
      </c>
      <c r="J13" s="11">
        <f t="shared" si="8"/>
        <v>3.176184794322371E-2</v>
      </c>
      <c r="K13" s="11">
        <v>-1.26E-2</v>
      </c>
      <c r="L13" s="11">
        <v>1.4000000000000002E-3</v>
      </c>
      <c r="M13" s="11">
        <f t="shared" si="1"/>
        <v>3.78293509360225E-2</v>
      </c>
      <c r="N13" s="13">
        <f t="shared" si="14"/>
        <v>1266092.9132884021</v>
      </c>
      <c r="O13" s="11">
        <f t="shared" si="9"/>
        <v>-3.9408364525185535E-5</v>
      </c>
      <c r="P13" s="11">
        <f t="shared" si="2"/>
        <v>-1.831852829472465E-3</v>
      </c>
      <c r="Q13" s="11">
        <f t="shared" si="10"/>
        <v>0.49926919686357463</v>
      </c>
      <c r="R13" s="13">
        <f t="shared" si="11"/>
        <v>1170951.9213584526</v>
      </c>
      <c r="S13" s="21">
        <f t="shared" si="3"/>
        <v>5.6295855081409031E-2</v>
      </c>
      <c r="T13" s="11">
        <f t="shared" si="4"/>
        <v>1.9362846790635969E-2</v>
      </c>
      <c r="U13" s="13">
        <f t="shared" si="12"/>
        <v>1460696.9670465374</v>
      </c>
      <c r="V13" s="13">
        <f t="shared" si="13"/>
        <v>1095242.011167157</v>
      </c>
      <c r="X13" s="14" t="s">
        <v>41</v>
      </c>
      <c r="Y13" s="14">
        <v>1</v>
      </c>
      <c r="Z13" s="14">
        <v>2.2279571719485636E-2</v>
      </c>
      <c r="AA13" s="14">
        <v>2.2279571719485636E-2</v>
      </c>
      <c r="AB13" s="14">
        <v>50.952928305234224</v>
      </c>
      <c r="AC13" s="14">
        <v>3.7101855648076891E-7</v>
      </c>
    </row>
    <row r="14" spans="1:29" x14ac:dyDescent="0.25">
      <c r="A14" s="4">
        <v>43101</v>
      </c>
      <c r="B14" s="18">
        <v>12</v>
      </c>
      <c r="C14" s="13">
        <v>1406027.0617908784</v>
      </c>
      <c r="D14" s="11">
        <v>2823.8100589999999</v>
      </c>
      <c r="E14" s="11">
        <v>2.72</v>
      </c>
      <c r="F14" s="11">
        <f t="shared" si="5"/>
        <v>6.6568811710727469E-2</v>
      </c>
      <c r="G14" s="11">
        <f t="shared" si="6"/>
        <v>5.4657398659986728E-2</v>
      </c>
      <c r="H14" s="11">
        <f t="shared" si="0"/>
        <v>2.2666666666666668E-3</v>
      </c>
      <c r="I14" s="11">
        <f t="shared" si="7"/>
        <v>6.4302145044060802E-2</v>
      </c>
      <c r="J14" s="11">
        <f t="shared" si="8"/>
        <v>5.2390731993320061E-2</v>
      </c>
      <c r="K14" s="11">
        <v>-3.0299999999999997E-2</v>
      </c>
      <c r="L14" s="11">
        <v>-1.37E-2</v>
      </c>
      <c r="M14" s="11">
        <f t="shared" si="1"/>
        <v>5.5154132560574873E-2</v>
      </c>
      <c r="N14" s="13">
        <f t="shared" si="14"/>
        <v>1335923.1696619152</v>
      </c>
      <c r="O14" s="11">
        <f t="shared" si="9"/>
        <v>-1.1414679150152596E-2</v>
      </c>
      <c r="P14" s="11">
        <f t="shared" si="2"/>
        <v>-0.53059832730089529</v>
      </c>
      <c r="Q14" s="11">
        <f t="shared" si="10"/>
        <v>0.29784857752971772</v>
      </c>
      <c r="R14" s="13">
        <f t="shared" si="11"/>
        <v>1234953.1073358192</v>
      </c>
      <c r="S14" s="21">
        <f t="shared" si="3"/>
        <v>7.9070905664118646E-2</v>
      </c>
      <c r="T14" s="11">
        <f t="shared" si="4"/>
        <v>3.12373594570311E-2</v>
      </c>
      <c r="U14" s="13">
        <f t="shared" si="12"/>
        <v>1576195.5991317383</v>
      </c>
      <c r="V14" s="13">
        <f t="shared" si="13"/>
        <v>1129454.4795624272</v>
      </c>
      <c r="X14" s="14" t="s">
        <v>42</v>
      </c>
      <c r="Y14" s="14">
        <v>22</v>
      </c>
      <c r="Z14" s="14">
        <v>9.6196743569364682E-3</v>
      </c>
      <c r="AA14" s="14">
        <v>4.3725792531529398E-4</v>
      </c>
      <c r="AB14" s="14"/>
      <c r="AC14" s="14"/>
    </row>
    <row r="15" spans="1:29" ht="15.75" thickBot="1" x14ac:dyDescent="0.3">
      <c r="A15" s="4">
        <v>43132</v>
      </c>
      <c r="B15" s="18">
        <v>13</v>
      </c>
      <c r="C15" s="13">
        <v>1376639.7154690251</v>
      </c>
      <c r="D15" s="11">
        <v>2713.830078</v>
      </c>
      <c r="E15" s="11">
        <v>2.8679999999999999</v>
      </c>
      <c r="F15" s="11">
        <f t="shared" si="5"/>
        <v>-2.1122499593125538E-2</v>
      </c>
      <c r="G15" s="11">
        <f t="shared" si="6"/>
        <v>-3.9726107788010244E-2</v>
      </c>
      <c r="H15" s="11">
        <f t="shared" si="0"/>
        <v>2.3899999999999998E-3</v>
      </c>
      <c r="I15" s="11">
        <f t="shared" si="7"/>
        <v>-2.3512499593125537E-2</v>
      </c>
      <c r="J15" s="11">
        <f t="shared" si="8"/>
        <v>-4.211610778801024E-2</v>
      </c>
      <c r="K15" s="11">
        <v>2.8000000000000004E-3</v>
      </c>
      <c r="L15" s="11">
        <v>-1.1899999999999999E-2</v>
      </c>
      <c r="M15" s="11">
        <f t="shared" si="1"/>
        <v>-2.421566549839764E-2</v>
      </c>
      <c r="N15" s="13">
        <f t="shared" si="14"/>
        <v>1303572.9010538231</v>
      </c>
      <c r="O15" s="11">
        <f t="shared" si="9"/>
        <v>-3.0931659052721022E-3</v>
      </c>
      <c r="P15" s="11">
        <f t="shared" si="2"/>
        <v>-0.1437822854074349</v>
      </c>
      <c r="Q15" s="11">
        <f t="shared" si="10"/>
        <v>0.44283619585484701</v>
      </c>
      <c r="R15" s="13">
        <f t="shared" si="11"/>
        <v>1185893.2270806583</v>
      </c>
      <c r="S15" s="21">
        <f t="shared" si="3"/>
        <v>-2.5268139104605902E-2</v>
      </c>
      <c r="T15" s="11">
        <f t="shared" si="4"/>
        <v>-2.3163191892189378E-2</v>
      </c>
      <c r="U15" s="13">
        <f t="shared" si="12"/>
        <v>1536368.0694768098</v>
      </c>
      <c r="V15" s="13">
        <f t="shared" si="13"/>
        <v>1103292.7087188298</v>
      </c>
      <c r="X15" s="15" t="s">
        <v>43</v>
      </c>
      <c r="Y15" s="15">
        <v>23</v>
      </c>
      <c r="Z15" s="15">
        <v>3.1899246076422104E-2</v>
      </c>
      <c r="AA15" s="15"/>
      <c r="AB15" s="15"/>
      <c r="AC15" s="15"/>
    </row>
    <row r="16" spans="1:29" ht="15.75" thickBot="1" x14ac:dyDescent="0.3">
      <c r="A16" s="4">
        <v>43160</v>
      </c>
      <c r="B16" s="18">
        <v>14</v>
      </c>
      <c r="C16" s="13">
        <v>1324638.0410549545</v>
      </c>
      <c r="D16" s="11">
        <v>2640.8701169999999</v>
      </c>
      <c r="E16" s="11">
        <v>2.7410000000000001</v>
      </c>
      <c r="F16" s="11">
        <f t="shared" si="5"/>
        <v>-3.8506295415679716E-2</v>
      </c>
      <c r="G16" s="11">
        <f t="shared" si="6"/>
        <v>-2.725249739187887E-2</v>
      </c>
      <c r="H16" s="11">
        <f t="shared" si="0"/>
        <v>2.2841666666666666E-3</v>
      </c>
      <c r="I16" s="11">
        <f t="shared" si="7"/>
        <v>-4.0790462082346379E-2</v>
      </c>
      <c r="J16" s="11">
        <f t="shared" si="8"/>
        <v>-2.9536664058545537E-2</v>
      </c>
      <c r="K16" s="11">
        <v>3.9300000000000002E-2</v>
      </c>
      <c r="L16" s="11">
        <v>-1.1000000000000001E-3</v>
      </c>
      <c r="M16" s="11">
        <f t="shared" si="1"/>
        <v>-1.3651055457346841E-2</v>
      </c>
      <c r="N16" s="13">
        <f t="shared" si="14"/>
        <v>1285777.7550888429</v>
      </c>
      <c r="O16" s="11">
        <f t="shared" si="9"/>
        <v>2.4855239958332873E-2</v>
      </c>
      <c r="P16" s="11">
        <f t="shared" si="2"/>
        <v>1.1553674503744147</v>
      </c>
      <c r="Q16" s="11">
        <f t="shared" si="10"/>
        <v>0.87603000735854053</v>
      </c>
      <c r="R16" s="13">
        <f t="shared" si="11"/>
        <v>1153574.6750025959</v>
      </c>
      <c r="S16" s="21">
        <f t="shared" si="3"/>
        <v>-1.1379968200878818E-2</v>
      </c>
      <c r="T16" s="11">
        <f t="shared" si="4"/>
        <v>-1.5922142713814862E-2</v>
      </c>
      <c r="U16" s="13">
        <f t="shared" si="12"/>
        <v>1518884.2497013181</v>
      </c>
      <c r="V16" s="13">
        <f t="shared" si="13"/>
        <v>1085725.9247554971</v>
      </c>
    </row>
    <row r="17" spans="1:32" x14ac:dyDescent="0.25">
      <c r="A17" s="4">
        <v>43191</v>
      </c>
      <c r="B17" s="18">
        <v>15</v>
      </c>
      <c r="C17" s="13">
        <v>1317124.3385841234</v>
      </c>
      <c r="D17" s="11">
        <v>2648.0500489999999</v>
      </c>
      <c r="E17" s="11">
        <v>2.9359999999999999</v>
      </c>
      <c r="F17" s="11">
        <f t="shared" si="5"/>
        <v>-5.6884167853121078E-3</v>
      </c>
      <c r="G17" s="11">
        <f t="shared" si="6"/>
        <v>2.7150859477301889E-3</v>
      </c>
      <c r="H17" s="11">
        <f t="shared" si="0"/>
        <v>2.4466666666666664E-3</v>
      </c>
      <c r="I17" s="11">
        <f t="shared" si="7"/>
        <v>-8.1350834519787751E-3</v>
      </c>
      <c r="J17" s="11">
        <f t="shared" si="8"/>
        <v>2.6841928106352249E-4</v>
      </c>
      <c r="K17" s="11">
        <v>1.1000000000000001E-2</v>
      </c>
      <c r="L17" s="11">
        <v>5.3E-3</v>
      </c>
      <c r="M17" s="11">
        <f t="shared" si="1"/>
        <v>1.1380185152001553E-2</v>
      </c>
      <c r="N17" s="13">
        <f t="shared" si="14"/>
        <v>1300410.1440060788</v>
      </c>
      <c r="O17" s="11">
        <f t="shared" si="9"/>
        <v>1.706860193731366E-2</v>
      </c>
      <c r="P17" s="11">
        <f t="shared" si="2"/>
        <v>0.79341447255505004</v>
      </c>
      <c r="Q17" s="11">
        <f t="shared" si="10"/>
        <v>0.78623180927942726</v>
      </c>
      <c r="R17" s="13">
        <f t="shared" si="11"/>
        <v>1156706.729392353</v>
      </c>
      <c r="S17" s="21">
        <f t="shared" si="3"/>
        <v>2.1525945615545074E-2</v>
      </c>
      <c r="T17" s="11">
        <f t="shared" si="4"/>
        <v>1.2344246884580332E-3</v>
      </c>
      <c r="U17" s="13">
        <f t="shared" si="12"/>
        <v>1551579.6694566966</v>
      </c>
      <c r="V17" s="13">
        <f t="shared" si="13"/>
        <v>1087066.1716419144</v>
      </c>
      <c r="X17" s="16"/>
      <c r="Y17" s="16" t="s">
        <v>48</v>
      </c>
      <c r="Z17" s="16" t="s">
        <v>38</v>
      </c>
      <c r="AA17" s="16" t="s">
        <v>49</v>
      </c>
      <c r="AB17" s="16" t="s">
        <v>50</v>
      </c>
      <c r="AC17" s="16" t="s">
        <v>51</v>
      </c>
      <c r="AD17" s="16" t="s">
        <v>52</v>
      </c>
      <c r="AE17" s="16" t="s">
        <v>53</v>
      </c>
      <c r="AF17" s="16" t="s">
        <v>54</v>
      </c>
    </row>
    <row r="18" spans="1:32" x14ac:dyDescent="0.25">
      <c r="A18" s="4">
        <v>43221</v>
      </c>
      <c r="B18" s="18">
        <v>16</v>
      </c>
      <c r="C18" s="13">
        <v>1409826.1947370311</v>
      </c>
      <c r="D18" s="11">
        <v>2705.2700199999999</v>
      </c>
      <c r="E18" s="11">
        <v>2.8220000000000001</v>
      </c>
      <c r="F18" s="11">
        <f t="shared" si="5"/>
        <v>6.8015601877170748E-2</v>
      </c>
      <c r="G18" s="11">
        <f t="shared" si="6"/>
        <v>2.1378191291432879E-2</v>
      </c>
      <c r="H18" s="11">
        <f t="shared" si="0"/>
        <v>2.3516666666666668E-3</v>
      </c>
      <c r="I18" s="11">
        <f t="shared" si="7"/>
        <v>6.5663935210504079E-2</v>
      </c>
      <c r="J18" s="11">
        <f t="shared" si="8"/>
        <v>1.9026524624766214E-2</v>
      </c>
      <c r="K18" s="11">
        <v>5.2400000000000002E-2</v>
      </c>
      <c r="L18" s="11">
        <v>-3.1600000000000003E-2</v>
      </c>
      <c r="M18" s="11">
        <f t="shared" si="1"/>
        <v>2.7133828343790217E-2</v>
      </c>
      <c r="N18" s="13">
        <f t="shared" si="14"/>
        <v>1335695.2496300633</v>
      </c>
      <c r="O18" s="11">
        <f t="shared" si="9"/>
        <v>-4.088177353338053E-2</v>
      </c>
      <c r="P18" s="11">
        <f t="shared" si="2"/>
        <v>-1.9003425649170118</v>
      </c>
      <c r="Q18" s="11">
        <f t="shared" si="10"/>
        <v>2.8694089453771547E-2</v>
      </c>
      <c r="R18" s="13">
        <f t="shared" si="11"/>
        <v>1181435.0271213902</v>
      </c>
      <c r="S18" s="21">
        <f t="shared" si="3"/>
        <v>4.2235587349007092E-2</v>
      </c>
      <c r="T18" s="11">
        <f t="shared" si="4"/>
        <v>1.2032069338573337E-2</v>
      </c>
      <c r="U18" s="13">
        <f t="shared" si="12"/>
        <v>1617111.5481149782</v>
      </c>
      <c r="V18" s="13">
        <f t="shared" si="13"/>
        <v>1100145.8271947275</v>
      </c>
      <c r="X18" s="14" t="s">
        <v>105</v>
      </c>
      <c r="Y18" s="14">
        <v>1.2758142736453234E-2</v>
      </c>
      <c r="Z18" s="14">
        <v>4.3083147181878344E-3</v>
      </c>
      <c r="AA18" s="14">
        <v>2.9612838362513059</v>
      </c>
      <c r="AB18" s="14">
        <v>7.2125115460734846E-3</v>
      </c>
      <c r="AC18" s="14">
        <v>3.8232448743489612E-3</v>
      </c>
      <c r="AD18" s="14">
        <v>2.1693040598557506E-2</v>
      </c>
      <c r="AE18" s="14">
        <v>3.8232448743489612E-3</v>
      </c>
      <c r="AF18" s="14">
        <v>2.1693040598557506E-2</v>
      </c>
    </row>
    <row r="19" spans="1:32" ht="15.75" thickBot="1" x14ac:dyDescent="0.3">
      <c r="A19" s="4">
        <v>43252</v>
      </c>
      <c r="B19" s="18">
        <v>17</v>
      </c>
      <c r="C19" s="13">
        <v>1437280.5560599114</v>
      </c>
      <c r="D19" s="11">
        <v>2718.3701169999999</v>
      </c>
      <c r="E19" s="11">
        <v>2.8490000000000002</v>
      </c>
      <c r="F19" s="11">
        <f t="shared" si="5"/>
        <v>1.92863947339489E-2</v>
      </c>
      <c r="G19" s="11">
        <f t="shared" si="6"/>
        <v>4.830749144322073E-3</v>
      </c>
      <c r="H19" s="11">
        <f t="shared" si="0"/>
        <v>2.3741666666666668E-3</v>
      </c>
      <c r="I19" s="11">
        <f t="shared" si="7"/>
        <v>1.6912228067282233E-2</v>
      </c>
      <c r="J19" s="11">
        <f t="shared" si="8"/>
        <v>2.4565824776554062E-3</v>
      </c>
      <c r="K19" s="11">
        <v>1.1699999999999999E-2</v>
      </c>
      <c r="L19" s="11">
        <v>-2.3900000000000001E-2</v>
      </c>
      <c r="M19" s="11">
        <f t="shared" si="1"/>
        <v>1.3217873000155403E-2</v>
      </c>
      <c r="N19" s="13">
        <f t="shared" si="14"/>
        <v>1353350.2998065841</v>
      </c>
      <c r="O19" s="11">
        <f t="shared" si="9"/>
        <v>-6.0685217337934968E-3</v>
      </c>
      <c r="P19" s="11">
        <f t="shared" si="2"/>
        <v>-0.28208830390969969</v>
      </c>
      <c r="Q19" s="11">
        <f t="shared" si="10"/>
        <v>0.38893790066856893</v>
      </c>
      <c r="R19" s="13">
        <f t="shared" si="11"/>
        <v>1187142.243367729</v>
      </c>
      <c r="S19" s="21">
        <f t="shared" si="3"/>
        <v>2.3941758674776988E-2</v>
      </c>
      <c r="T19" s="11">
        <f t="shared" si="4"/>
        <v>2.4939873255338191E-3</v>
      </c>
      <c r="U19" s="13">
        <f t="shared" si="12"/>
        <v>1655828.0425501422</v>
      </c>
      <c r="V19" s="13">
        <f t="shared" si="13"/>
        <v>1102889.5769439901</v>
      </c>
      <c r="X19" s="15" t="s">
        <v>106</v>
      </c>
      <c r="Y19" s="15">
        <v>0.84408288796801723</v>
      </c>
      <c r="Z19" s="15">
        <v>0.11824982910967974</v>
      </c>
      <c r="AA19" s="15">
        <v>7.1381319899000344</v>
      </c>
      <c r="AB19" s="15">
        <v>3.7101855648076965E-7</v>
      </c>
      <c r="AC19" s="15">
        <v>0.59884775209319896</v>
      </c>
      <c r="AD19" s="15">
        <v>1.0893180238428355</v>
      </c>
      <c r="AE19" s="15">
        <v>0.59884775209319896</v>
      </c>
      <c r="AF19" s="15">
        <v>1.0893180238428355</v>
      </c>
    </row>
    <row r="20" spans="1:32" x14ac:dyDescent="0.25">
      <c r="A20" s="4">
        <v>43282</v>
      </c>
      <c r="B20" s="18">
        <v>18</v>
      </c>
      <c r="C20" s="13">
        <v>1514527.9031522041</v>
      </c>
      <c r="D20" s="11">
        <v>2816.290039</v>
      </c>
      <c r="E20" s="11">
        <v>2.964</v>
      </c>
      <c r="F20" s="11">
        <f t="shared" si="5"/>
        <v>5.2350949936030282E-2</v>
      </c>
      <c r="G20" s="11">
        <f t="shared" si="6"/>
        <v>3.5387950784307211E-2</v>
      </c>
      <c r="H20" s="11">
        <f t="shared" si="0"/>
        <v>2.47E-3</v>
      </c>
      <c r="I20" s="11">
        <f t="shared" si="7"/>
        <v>4.9880949936030282E-2</v>
      </c>
      <c r="J20" s="11">
        <f t="shared" si="8"/>
        <v>3.2917950784307211E-2</v>
      </c>
      <c r="K20" s="11">
        <v>-2.1700000000000001E-2</v>
      </c>
      <c r="L20" s="11">
        <v>4.0000000000000001E-3</v>
      </c>
      <c r="M20" s="11">
        <f t="shared" si="1"/>
        <v>3.8800282238397175E-2</v>
      </c>
      <c r="N20" s="13">
        <f t="shared" si="14"/>
        <v>1405860.6734064992</v>
      </c>
      <c r="O20" s="11">
        <f t="shared" si="9"/>
        <v>-1.3550667697633106E-2</v>
      </c>
      <c r="P20" s="11">
        <f t="shared" si="2"/>
        <v>-0.62988731611245352</v>
      </c>
      <c r="Q20" s="11">
        <f t="shared" si="10"/>
        <v>0.26438415603967957</v>
      </c>
      <c r="R20" s="13">
        <f t="shared" si="11"/>
        <v>1229152.7746499982</v>
      </c>
      <c r="S20" s="21">
        <f t="shared" si="3"/>
        <v>5.7572235355812094E-2</v>
      </c>
      <c r="T20" s="11">
        <f t="shared" si="4"/>
        <v>2.0028329120982256E-2</v>
      </c>
      <c r="U20" s="13">
        <f t="shared" si="12"/>
        <v>1751157.7643245927</v>
      </c>
      <c r="V20" s="13">
        <f t="shared" si="13"/>
        <v>1124978.6123751251</v>
      </c>
    </row>
    <row r="21" spans="1:32" x14ac:dyDescent="0.25">
      <c r="A21" s="4">
        <v>43313</v>
      </c>
      <c r="B21" s="18">
        <v>19</v>
      </c>
      <c r="C21" s="13">
        <v>1576758.5542030553</v>
      </c>
      <c r="D21" s="11">
        <v>2901.5200199999999</v>
      </c>
      <c r="E21" s="11">
        <v>2.8530000000000002</v>
      </c>
      <c r="F21" s="11">
        <f t="shared" si="5"/>
        <v>4.0267416440717949E-2</v>
      </c>
      <c r="G21" s="11">
        <f t="shared" si="6"/>
        <v>2.9814314708128044E-2</v>
      </c>
      <c r="H21" s="11">
        <f t="shared" si="0"/>
        <v>2.3775000000000003E-3</v>
      </c>
      <c r="I21" s="11">
        <f t="shared" si="7"/>
        <v>3.7889916440717951E-2</v>
      </c>
      <c r="J21" s="11">
        <f t="shared" si="8"/>
        <v>2.7436814708128043E-2</v>
      </c>
      <c r="K21" s="11">
        <v>1.26E-2</v>
      </c>
      <c r="L21" s="11">
        <v>-4.1100000000000005E-2</v>
      </c>
      <c r="M21" s="11">
        <f t="shared" si="1"/>
        <v>3.4197052837153026E-2</v>
      </c>
      <c r="N21" s="13">
        <f t="shared" si="14"/>
        <v>1453936.965136657</v>
      </c>
      <c r="O21" s="11">
        <f t="shared" si="9"/>
        <v>-6.0703636035649225E-3</v>
      </c>
      <c r="P21" s="11">
        <f t="shared" si="2"/>
        <v>-0.28217392112302381</v>
      </c>
      <c r="Q21" s="11">
        <f t="shared" si="10"/>
        <v>0.38890507703349703</v>
      </c>
      <c r="R21" s="13">
        <f t="shared" si="11"/>
        <v>1265799.122297782</v>
      </c>
      <c r="S21" s="21">
        <f t="shared" si="3"/>
        <v>5.1520858505637208E-2</v>
      </c>
      <c r="T21" s="11">
        <f t="shared" si="4"/>
        <v>1.6873247168668851E-2</v>
      </c>
      <c r="U21" s="13">
        <f t="shared" si="12"/>
        <v>1841378.9157214081</v>
      </c>
      <c r="V21" s="13">
        <f t="shared" si="13"/>
        <v>1143960.6545611965</v>
      </c>
    </row>
    <row r="22" spans="1:32" x14ac:dyDescent="0.25">
      <c r="A22" s="4">
        <v>43344</v>
      </c>
      <c r="B22" s="18">
        <v>20</v>
      </c>
      <c r="C22" s="13">
        <v>1559290.0082343924</v>
      </c>
      <c r="D22" s="11">
        <v>2913.9799800000001</v>
      </c>
      <c r="E22" s="11">
        <v>3.056</v>
      </c>
      <c r="F22" s="11">
        <f t="shared" si="5"/>
        <v>-1.1140597024028953E-2</v>
      </c>
      <c r="G22" s="11">
        <f t="shared" si="6"/>
        <v>4.2850929639178534E-3</v>
      </c>
      <c r="H22" s="11">
        <f t="shared" si="0"/>
        <v>2.5466666666666667E-3</v>
      </c>
      <c r="I22" s="11">
        <f t="shared" si="7"/>
        <v>-1.368726369069562E-2</v>
      </c>
      <c r="J22" s="11">
        <f t="shared" si="8"/>
        <v>1.7384262972511867E-3</v>
      </c>
      <c r="K22" s="11">
        <v>-2.35E-2</v>
      </c>
      <c r="L22" s="11">
        <v>-1.3500000000000002E-2</v>
      </c>
      <c r="M22" s="11">
        <f t="shared" si="1"/>
        <v>1.2614742992365785E-2</v>
      </c>
      <c r="N22" s="13">
        <f t="shared" si="14"/>
        <v>1472278.0062789561</v>
      </c>
      <c r="O22" s="11">
        <f t="shared" si="9"/>
        <v>2.375534001639474E-2</v>
      </c>
      <c r="P22" s="11">
        <f t="shared" si="2"/>
        <v>1.104239857411548</v>
      </c>
      <c r="Q22" s="11">
        <f t="shared" si="10"/>
        <v>0.86525544790020581</v>
      </c>
      <c r="R22" s="13">
        <f t="shared" si="11"/>
        <v>1271223.1892104736</v>
      </c>
      <c r="S22" s="21">
        <f t="shared" si="3"/>
        <v>2.3148887703411225E-2</v>
      </c>
      <c r="T22" s="11">
        <f t="shared" si="4"/>
        <v>2.080598281320348E-3</v>
      </c>
      <c r="U22" s="13">
        <f t="shared" si="12"/>
        <v>1884004.7894608721</v>
      </c>
      <c r="V22" s="13">
        <f t="shared" si="13"/>
        <v>1146340.7771329745</v>
      </c>
    </row>
    <row r="23" spans="1:32" x14ac:dyDescent="0.25">
      <c r="A23" s="4">
        <v>43374</v>
      </c>
      <c r="B23" s="18">
        <v>21</v>
      </c>
      <c r="C23" s="13">
        <v>1526192.0250292646</v>
      </c>
      <c r="D23" s="11">
        <v>2711.73999</v>
      </c>
      <c r="E23" s="11">
        <v>3.1589999999999998</v>
      </c>
      <c r="F23" s="11">
        <f t="shared" si="5"/>
        <v>-2.1454834252391034E-2</v>
      </c>
      <c r="G23" s="11">
        <f t="shared" si="6"/>
        <v>-7.1929345879864132E-2</v>
      </c>
      <c r="H23" s="11">
        <f t="shared" si="0"/>
        <v>2.6324999999999999E-3</v>
      </c>
      <c r="I23" s="11">
        <f t="shared" si="7"/>
        <v>-2.4087334252391034E-2</v>
      </c>
      <c r="J23" s="11">
        <f t="shared" si="8"/>
        <v>-7.4561845879864128E-2</v>
      </c>
      <c r="K23" s="11">
        <v>-4.6900000000000004E-2</v>
      </c>
      <c r="L23" s="11">
        <v>3.4099999999999998E-2</v>
      </c>
      <c r="M23" s="11">
        <f t="shared" si="1"/>
        <v>-5.1464610507915197E-2</v>
      </c>
      <c r="N23" s="13">
        <f t="shared" si="14"/>
        <v>1396507.7921264397</v>
      </c>
      <c r="O23" s="11">
        <f t="shared" si="9"/>
        <v>-3.0009776255524163E-2</v>
      </c>
      <c r="P23" s="11">
        <f t="shared" si="2"/>
        <v>-1.3949701848292757</v>
      </c>
      <c r="Q23" s="11">
        <f t="shared" si="10"/>
        <v>8.15124153273733E-2</v>
      </c>
      <c r="R23" s="13">
        <f t="shared" si="11"/>
        <v>1179784.9367432494</v>
      </c>
      <c r="S23" s="21">
        <f t="shared" si="3"/>
        <v>-6.1089433385033504E-2</v>
      </c>
      <c r="T23" s="11">
        <f t="shared" si="4"/>
        <v>-4.183978763079689E-2</v>
      </c>
      <c r="U23" s="13">
        <f t="shared" si="12"/>
        <v>1768912.0043780182</v>
      </c>
      <c r="V23" s="13">
        <f t="shared" si="13"/>
        <v>1098378.1224652082</v>
      </c>
    </row>
    <row r="24" spans="1:32" x14ac:dyDescent="0.25">
      <c r="A24" s="4">
        <v>43405</v>
      </c>
      <c r="B24" s="18">
        <v>22</v>
      </c>
      <c r="C24" s="13">
        <v>1525227.1273693901</v>
      </c>
      <c r="D24" s="11">
        <v>2760.169922</v>
      </c>
      <c r="E24" s="11">
        <v>3.0129999999999999</v>
      </c>
      <c r="F24" s="11">
        <f t="shared" si="5"/>
        <v>-6.3242553306791559E-4</v>
      </c>
      <c r="G24" s="11">
        <f t="shared" si="6"/>
        <v>1.7701752187834409E-2</v>
      </c>
      <c r="H24" s="11">
        <f t="shared" si="0"/>
        <v>2.5108333333333332E-3</v>
      </c>
      <c r="I24" s="11">
        <f t="shared" si="7"/>
        <v>-3.1432588664012488E-3</v>
      </c>
      <c r="J24" s="11">
        <f t="shared" si="8"/>
        <v>1.5190918854501075E-2</v>
      </c>
      <c r="K24" s="11">
        <v>-7.8000000000000005E-3</v>
      </c>
      <c r="L24" s="11">
        <v>2E-3</v>
      </c>
      <c r="M24" s="11">
        <f t="shared" si="1"/>
        <v>2.3912566727973136E-2</v>
      </c>
      <c r="N24" s="13">
        <f t="shared" si="14"/>
        <v>1429901.8778917978</v>
      </c>
      <c r="O24" s="11">
        <f t="shared" si="9"/>
        <v>2.4544992261041051E-2</v>
      </c>
      <c r="P24" s="11">
        <f t="shared" si="2"/>
        <v>1.1409459403988327</v>
      </c>
      <c r="Q24" s="11">
        <f t="shared" si="10"/>
        <v>0.87305378995516003</v>
      </c>
      <c r="R24" s="13">
        <f t="shared" si="11"/>
        <v>1200669.1973284183</v>
      </c>
      <c r="S24" s="21">
        <f t="shared" si="3"/>
        <v>3.8000936787155035E-2</v>
      </c>
      <c r="T24" s="11">
        <f t="shared" si="4"/>
        <v>9.8241966687912363E-3</v>
      </c>
      <c r="U24" s="13">
        <f t="shared" si="12"/>
        <v>1836132.317638427</v>
      </c>
      <c r="V24" s="13">
        <f t="shared" si="13"/>
        <v>1109168.8051570042</v>
      </c>
    </row>
    <row r="25" spans="1:32" x14ac:dyDescent="0.25">
      <c r="A25" s="4">
        <v>43435</v>
      </c>
      <c r="B25" s="18">
        <v>23</v>
      </c>
      <c r="C25" s="13">
        <v>1450935.5884177277</v>
      </c>
      <c r="D25" s="11">
        <v>2506.8500979999999</v>
      </c>
      <c r="E25" s="11">
        <v>2.6859999999999999</v>
      </c>
      <c r="F25" s="11">
        <f t="shared" si="5"/>
        <v>-4.9934753198987075E-2</v>
      </c>
      <c r="G25" s="11">
        <f t="shared" si="6"/>
        <v>-9.6265219766061866E-2</v>
      </c>
      <c r="H25" s="11">
        <f t="shared" si="0"/>
        <v>2.2383333333333335E-3</v>
      </c>
      <c r="I25" s="11">
        <f t="shared" si="7"/>
        <v>-5.217308653232041E-2</v>
      </c>
      <c r="J25" s="11">
        <f t="shared" si="8"/>
        <v>-9.8503553099395194E-2</v>
      </c>
      <c r="K25" s="11">
        <v>-2.58E-2</v>
      </c>
      <c r="L25" s="11">
        <v>-1.5100000000000001E-2</v>
      </c>
      <c r="M25" s="11">
        <f t="shared" si="1"/>
        <v>-7.1571604579434428E-2</v>
      </c>
      <c r="N25" s="13">
        <f t="shared" si="14"/>
        <v>1327561.5060999354</v>
      </c>
      <c r="O25" s="11">
        <f t="shared" si="9"/>
        <v>-2.1636851380447353E-2</v>
      </c>
      <c r="P25" s="11">
        <f t="shared" si="2"/>
        <v>-1.0057643320066476</v>
      </c>
      <c r="Q25" s="11">
        <f t="shared" si="10"/>
        <v>0.15726447436116822</v>
      </c>
      <c r="R25" s="13">
        <f t="shared" si="11"/>
        <v>1085086.5131812571</v>
      </c>
      <c r="S25" s="21">
        <f t="shared" si="3"/>
        <v>-8.7521963212486634E-2</v>
      </c>
      <c r="T25" s="11">
        <f t="shared" si="4"/>
        <v>-5.5621245946382195E-2</v>
      </c>
      <c r="U25" s="13">
        <f t="shared" si="12"/>
        <v>1675430.4124808188</v>
      </c>
      <c r="V25" s="13">
        <f t="shared" si="13"/>
        <v>1047475.4542493116</v>
      </c>
    </row>
    <row r="26" spans="1:32" x14ac:dyDescent="0.25">
      <c r="A26" s="3">
        <v>43466</v>
      </c>
      <c r="B26" s="18">
        <v>24</v>
      </c>
      <c r="C26" s="13">
        <v>1582119.2254666816</v>
      </c>
      <c r="D26" s="11">
        <v>2704.1000979999999</v>
      </c>
      <c r="E26" s="11">
        <v>2.6349999999999998</v>
      </c>
      <c r="F26" s="11">
        <f t="shared" si="5"/>
        <v>8.6556648514267309E-2</v>
      </c>
      <c r="G26" s="11">
        <f t="shared" si="6"/>
        <v>7.5742151976753658E-2</v>
      </c>
      <c r="H26" s="11">
        <f t="shared" si="0"/>
        <v>2.1958333333333331E-3</v>
      </c>
      <c r="I26" s="11">
        <f t="shared" si="7"/>
        <v>8.4360815180933982E-2</v>
      </c>
      <c r="J26" s="11">
        <f t="shared" si="8"/>
        <v>7.354631864342033E-2</v>
      </c>
      <c r="K26" s="11">
        <v>3.0200000000000001E-2</v>
      </c>
      <c r="L26" s="11">
        <v>-6.0000000000000001E-3</v>
      </c>
      <c r="M26" s="11">
        <f t="shared" si="1"/>
        <v>7.2921255491811221E-2</v>
      </c>
      <c r="N26" s="13">
        <f t="shared" si="14"/>
        <v>1424368.9578673425</v>
      </c>
      <c r="O26" s="11">
        <f t="shared" si="9"/>
        <v>-1.3635393022456088E-2</v>
      </c>
      <c r="P26" s="11">
        <f t="shared" si="2"/>
        <v>-0.63382567609960194</v>
      </c>
      <c r="Q26" s="11">
        <f t="shared" si="10"/>
        <v>0.263097297313859</v>
      </c>
      <c r="R26" s="13">
        <f t="shared" si="11"/>
        <v>1167273.3007705575</v>
      </c>
      <c r="S26" s="21">
        <f t="shared" si="3"/>
        <v>0.1024274553879356</v>
      </c>
      <c r="T26" s="11">
        <f t="shared" si="4"/>
        <v>4.3415055595686848E-2</v>
      </c>
      <c r="U26" s="13">
        <f t="shared" si="12"/>
        <v>1847040.4863107884</v>
      </c>
      <c r="V26" s="13">
        <f t="shared" si="13"/>
        <v>1092951.6593306628</v>
      </c>
    </row>
    <row r="27" spans="1:32" x14ac:dyDescent="0.25">
      <c r="A27" s="1">
        <v>43497</v>
      </c>
      <c r="B27" s="18">
        <v>25</v>
      </c>
      <c r="D27" s="11">
        <v>2784.48999</v>
      </c>
      <c r="G27" s="11">
        <f t="shared" si="6"/>
        <v>2.9295553154109054E-2</v>
      </c>
      <c r="J27" s="11">
        <f t="shared" si="8"/>
        <v>2.9295553154109054E-2</v>
      </c>
      <c r="M27" s="11">
        <f t="shared" si="1"/>
        <v>3.5758079482878465E-2</v>
      </c>
      <c r="N27" s="13">
        <f t="shared" si="14"/>
        <v>1475301.6562757078</v>
      </c>
      <c r="O27" s="11"/>
      <c r="R27" s="13">
        <f t="shared" si="11"/>
        <v>1201469.2177986538</v>
      </c>
      <c r="S27" s="21">
        <f t="shared" si="3"/>
        <v>5.3572974462294927E-2</v>
      </c>
      <c r="T27" s="11">
        <f t="shared" si="4"/>
        <v>1.7943184503462002E-2</v>
      </c>
      <c r="U27" s="13">
        <f t="shared" si="12"/>
        <v>1945991.9391147413</v>
      </c>
      <c r="V27" s="13">
        <f t="shared" si="13"/>
        <v>1112562.6926073979</v>
      </c>
    </row>
    <row r="28" spans="1:32" x14ac:dyDescent="0.25">
      <c r="A28" s="1">
        <v>43525</v>
      </c>
      <c r="B28" s="18">
        <v>26</v>
      </c>
      <c r="D28" s="11">
        <v>2834.3999020000001</v>
      </c>
      <c r="G28" s="11">
        <f t="shared" si="6"/>
        <v>1.7765510853122508E-2</v>
      </c>
      <c r="J28" s="11">
        <f t="shared" si="8"/>
        <v>1.7765510853122508E-2</v>
      </c>
      <c r="M28" s="11">
        <f t="shared" si="1"/>
        <v>2.6074789562718664E-2</v>
      </c>
      <c r="N28" s="13">
        <f t="shared" si="14"/>
        <v>1513769.8365046273</v>
      </c>
      <c r="O28" s="11"/>
      <c r="R28" s="13">
        <f t="shared" si="11"/>
        <v>1222813.9322271484</v>
      </c>
      <c r="S28" s="21">
        <f t="shared" si="3"/>
        <v>4.0843381529005657E-2</v>
      </c>
      <c r="T28" s="11">
        <f t="shared" si="4"/>
        <v>1.130619759643167E-2</v>
      </c>
      <c r="U28" s="13">
        <f t="shared" si="12"/>
        <v>2025472.8303363742</v>
      </c>
      <c r="V28" s="13">
        <f t="shared" si="13"/>
        <v>1125141.5462484353</v>
      </c>
    </row>
    <row r="29" spans="1:32" x14ac:dyDescent="0.25">
      <c r="A29" s="1">
        <v>43556</v>
      </c>
      <c r="B29" s="18">
        <v>27</v>
      </c>
      <c r="D29" s="11">
        <v>2945.830078</v>
      </c>
      <c r="G29" s="11">
        <f t="shared" si="6"/>
        <v>3.8560397496415821E-2</v>
      </c>
      <c r="J29" s="11">
        <f t="shared" si="8"/>
        <v>3.8560397496415821E-2</v>
      </c>
      <c r="M29" s="11">
        <f t="shared" si="1"/>
        <v>4.3538985353799034E-2</v>
      </c>
      <c r="N29" s="13">
        <f t="shared" si="14"/>
        <v>1579677.8392452251</v>
      </c>
      <c r="O29" s="11"/>
      <c r="R29" s="13">
        <f t="shared" si="11"/>
        <v>1269966.1235179824</v>
      </c>
      <c r="S29" s="21">
        <f t="shared" si="3"/>
        <v>6.3801705111250329E-2</v>
      </c>
      <c r="T29" s="11">
        <f t="shared" si="4"/>
        <v>2.3276265596347739E-2</v>
      </c>
      <c r="U29" s="13">
        <f t="shared" si="12"/>
        <v>2154701.4505683449</v>
      </c>
      <c r="V29" s="13">
        <f t="shared" si="13"/>
        <v>1151330.6397123991</v>
      </c>
    </row>
    <row r="30" spans="1:32" x14ac:dyDescent="0.25">
      <c r="A30" s="1">
        <v>43586</v>
      </c>
      <c r="B30" s="18">
        <v>28</v>
      </c>
      <c r="D30" s="11">
        <v>2752.0600589999999</v>
      </c>
      <c r="G30" s="11">
        <f t="shared" si="6"/>
        <v>-6.8040893892824417E-2</v>
      </c>
      <c r="J30" s="11">
        <f t="shared" si="8"/>
        <v>-6.8040893892824417E-2</v>
      </c>
      <c r="M30" s="11">
        <f t="shared" si="1"/>
        <v>-4.598811120309089E-2</v>
      </c>
      <c r="N30" s="13">
        <f t="shared" si="14"/>
        <v>1507031.4391089573</v>
      </c>
      <c r="O30" s="11"/>
      <c r="R30" s="13">
        <f t="shared" si="11"/>
        <v>1183556.4932602139</v>
      </c>
      <c r="S30" s="21">
        <f t="shared" si="3"/>
        <v>-5.3890061330220063E-2</v>
      </c>
      <c r="T30" s="11">
        <f t="shared" si="4"/>
        <v>-3.8086161075961709E-2</v>
      </c>
      <c r="U30" s="13">
        <f t="shared" si="12"/>
        <v>2038584.4572489029</v>
      </c>
      <c r="V30" s="13">
        <f t="shared" si="13"/>
        <v>1107480.8755166226</v>
      </c>
    </row>
    <row r="31" spans="1:32" x14ac:dyDescent="0.25">
      <c r="A31" s="1">
        <v>43617</v>
      </c>
      <c r="B31" s="18">
        <v>29</v>
      </c>
      <c r="D31" s="11">
        <v>2941.76001</v>
      </c>
      <c r="G31" s="11">
        <f t="shared" si="6"/>
        <v>6.6658301495081035E-2</v>
      </c>
      <c r="J31" s="11">
        <f t="shared" si="8"/>
        <v>6.6658301495081035E-2</v>
      </c>
      <c r="M31" s="11">
        <f t="shared" si="1"/>
        <v>6.7136483391131693E-2</v>
      </c>
      <c r="N31" s="13">
        <f t="shared" si="14"/>
        <v>1608208.2302906089</v>
      </c>
      <c r="O31" s="11"/>
      <c r="R31" s="13">
        <f t="shared" si="11"/>
        <v>1262450.358824414</v>
      </c>
      <c r="S31" s="21">
        <f t="shared" si="3"/>
        <v>9.4822829825688279E-2</v>
      </c>
      <c r="T31" s="11">
        <f t="shared" si="4"/>
        <v>3.9450136956575108E-2</v>
      </c>
      <c r="U31" s="13">
        <f t="shared" si="12"/>
        <v>2231888.8043239089</v>
      </c>
      <c r="V31" s="13">
        <f t="shared" si="13"/>
        <v>1151171.1477325412</v>
      </c>
    </row>
    <row r="32" spans="1:32" x14ac:dyDescent="0.25">
      <c r="A32" s="1">
        <v>43647</v>
      </c>
      <c r="B32" s="18">
        <v>30</v>
      </c>
      <c r="D32" s="11">
        <v>3013.7700199999999</v>
      </c>
      <c r="G32" s="11">
        <f t="shared" si="6"/>
        <v>2.4183748285370604E-2</v>
      </c>
      <c r="J32" s="11">
        <f t="shared" si="8"/>
        <v>2.4183748285370604E-2</v>
      </c>
      <c r="M32" s="11">
        <f t="shared" si="1"/>
        <v>3.1465025973868917E-2</v>
      </c>
      <c r="N32" s="13">
        <f t="shared" si="14"/>
        <v>1658810.5440280926</v>
      </c>
      <c r="O32" s="11"/>
      <c r="R32" s="13">
        <f t="shared" si="11"/>
        <v>1292981.1405249995</v>
      </c>
      <c r="S32" s="21">
        <f t="shared" si="3"/>
        <v>4.7929352918263043E-2</v>
      </c>
      <c r="T32" s="11">
        <f t="shared" si="4"/>
        <v>1.5000699029474792E-2</v>
      </c>
      <c r="U32" s="13">
        <f t="shared" si="12"/>
        <v>2338861.7905006693</v>
      </c>
      <c r="V32" s="13">
        <f t="shared" si="13"/>
        <v>1168439.5196510921</v>
      </c>
    </row>
    <row r="33" spans="1:20" ht="15.75" thickBot="1" x14ac:dyDescent="0.3">
      <c r="A33" s="1"/>
      <c r="B33" s="19"/>
      <c r="G33" s="11"/>
      <c r="S33" s="21"/>
    </row>
    <row r="34" spans="1:20" x14ac:dyDescent="0.25">
      <c r="C34" s="17" t="s">
        <v>23</v>
      </c>
      <c r="D34" s="17"/>
      <c r="O34" t="s">
        <v>33</v>
      </c>
    </row>
    <row r="35" spans="1:20" ht="15.75" thickBot="1" x14ac:dyDescent="0.3">
      <c r="C35" s="14"/>
      <c r="D35" s="14"/>
    </row>
    <row r="36" spans="1:20" x14ac:dyDescent="0.25">
      <c r="C36" s="14" t="s">
        <v>67</v>
      </c>
      <c r="D36" s="14">
        <v>1.9115217927696746E-2</v>
      </c>
      <c r="O36" s="17" t="s">
        <v>34</v>
      </c>
      <c r="P36" s="17"/>
    </row>
    <row r="37" spans="1:20" x14ac:dyDescent="0.25">
      <c r="C37" s="14" t="s">
        <v>38</v>
      </c>
      <c r="D37" s="14">
        <v>7.5921132172517159E-3</v>
      </c>
      <c r="O37" s="14" t="s">
        <v>35</v>
      </c>
      <c r="P37" s="14">
        <v>0.842516976986873</v>
      </c>
    </row>
    <row r="38" spans="1:20" x14ac:dyDescent="0.25">
      <c r="C38" s="14" t="s">
        <v>68</v>
      </c>
      <c r="D38" s="14">
        <v>1.7013875978774254E-2</v>
      </c>
      <c r="O38" s="14" t="s">
        <v>36</v>
      </c>
      <c r="P38" s="14">
        <v>0.70983485651109912</v>
      </c>
    </row>
    <row r="39" spans="1:20" x14ac:dyDescent="0.25">
      <c r="C39" s="14" t="s">
        <v>69</v>
      </c>
      <c r="D39" s="14" t="e">
        <v>#N/A</v>
      </c>
      <c r="O39" s="14" t="s">
        <v>37</v>
      </c>
      <c r="P39" s="14">
        <v>0.66631008498776401</v>
      </c>
    </row>
    <row r="40" spans="1:20" x14ac:dyDescent="0.25">
      <c r="C40" s="14" t="s">
        <v>70</v>
      </c>
      <c r="D40" s="14">
        <v>3.7193606903413341E-2</v>
      </c>
      <c r="O40" s="14" t="s">
        <v>38</v>
      </c>
      <c r="P40" s="14">
        <v>2.1512844204047938E-2</v>
      </c>
    </row>
    <row r="41" spans="1:20" ht="15.75" thickBot="1" x14ac:dyDescent="0.3">
      <c r="C41" s="14" t="s">
        <v>71</v>
      </c>
      <c r="D41" s="14">
        <v>1.3833643944856366E-3</v>
      </c>
      <c r="O41" s="15" t="s">
        <v>39</v>
      </c>
      <c r="P41" s="15">
        <v>24</v>
      </c>
    </row>
    <row r="42" spans="1:20" x14ac:dyDescent="0.25">
      <c r="C42" s="14" t="s">
        <v>72</v>
      </c>
      <c r="D42" s="14">
        <v>-0.77994479888483115</v>
      </c>
    </row>
    <row r="43" spans="1:20" ht="15.75" thickBot="1" x14ac:dyDescent="0.3">
      <c r="C43" s="14" t="s">
        <v>73</v>
      </c>
      <c r="D43" s="14">
        <v>4.1279588561759409E-2</v>
      </c>
      <c r="O43" t="s">
        <v>40</v>
      </c>
    </row>
    <row r="44" spans="1:20" x14ac:dyDescent="0.25">
      <c r="C44" s="14" t="s">
        <v>74</v>
      </c>
      <c r="D44" s="14">
        <v>0.13649140171325438</v>
      </c>
      <c r="O44" s="16"/>
      <c r="P44" s="16" t="s">
        <v>44</v>
      </c>
      <c r="Q44" s="16" t="s">
        <v>45</v>
      </c>
      <c r="R44" s="16" t="s">
        <v>6</v>
      </c>
      <c r="S44" s="16" t="s">
        <v>46</v>
      </c>
      <c r="T44" s="16" t="s">
        <v>47</v>
      </c>
    </row>
    <row r="45" spans="1:20" x14ac:dyDescent="0.25">
      <c r="C45" s="14" t="s">
        <v>75</v>
      </c>
      <c r="D45" s="14">
        <v>-4.9934753198987075E-2</v>
      </c>
      <c r="O45" s="14" t="s">
        <v>41</v>
      </c>
      <c r="P45" s="14">
        <v>3</v>
      </c>
      <c r="Q45" s="14">
        <v>2.2643196761469326E-2</v>
      </c>
      <c r="R45" s="14">
        <v>7.5477322538231089E-3</v>
      </c>
      <c r="S45" s="14">
        <v>16.308755489515487</v>
      </c>
      <c r="T45" s="14">
        <v>1.3431220765688678E-5</v>
      </c>
    </row>
    <row r="46" spans="1:20" x14ac:dyDescent="0.25">
      <c r="C46" s="14" t="s">
        <v>76</v>
      </c>
      <c r="D46" s="14">
        <v>8.6556648514267309E-2</v>
      </c>
      <c r="O46" s="14" t="s">
        <v>42</v>
      </c>
      <c r="P46" s="14">
        <v>20</v>
      </c>
      <c r="Q46" s="14">
        <v>9.256049314952778E-3</v>
      </c>
      <c r="R46" s="14">
        <v>4.6280246574763892E-4</v>
      </c>
      <c r="S46" s="14"/>
      <c r="T46" s="14"/>
    </row>
    <row r="47" spans="1:20" ht="15.75" thickBot="1" x14ac:dyDescent="0.3">
      <c r="C47" s="14" t="s">
        <v>77</v>
      </c>
      <c r="D47" s="14">
        <v>0.45876523026472188</v>
      </c>
      <c r="O47" s="15" t="s">
        <v>43</v>
      </c>
      <c r="P47" s="15">
        <v>23</v>
      </c>
      <c r="Q47" s="15">
        <v>3.1899246076422104E-2</v>
      </c>
      <c r="R47" s="15"/>
      <c r="S47" s="15"/>
      <c r="T47" s="15"/>
    </row>
    <row r="48" spans="1:20" ht="15.75" thickBot="1" x14ac:dyDescent="0.3">
      <c r="C48" s="14" t="s">
        <v>78</v>
      </c>
      <c r="D48" s="14">
        <v>24</v>
      </c>
    </row>
    <row r="49" spans="3:23" ht="15.75" thickBot="1" x14ac:dyDescent="0.3">
      <c r="C49" s="15" t="s">
        <v>79</v>
      </c>
      <c r="D49" s="15">
        <v>1.5705482786030803E-2</v>
      </c>
      <c r="O49" s="16"/>
      <c r="P49" s="16" t="s">
        <v>48</v>
      </c>
      <c r="Q49" s="16" t="s">
        <v>38</v>
      </c>
      <c r="R49" s="16" t="s">
        <v>49</v>
      </c>
      <c r="S49" s="16" t="s">
        <v>50</v>
      </c>
      <c r="T49" s="16" t="s">
        <v>51</v>
      </c>
      <c r="U49" s="16" t="s">
        <v>52</v>
      </c>
      <c r="V49" s="16" t="s">
        <v>53</v>
      </c>
      <c r="W49" s="16" t="s">
        <v>54</v>
      </c>
    </row>
    <row r="50" spans="3:23" x14ac:dyDescent="0.25">
      <c r="C50" s="20"/>
      <c r="O50" s="14" t="s">
        <v>80</v>
      </c>
      <c r="P50" s="14">
        <v>1.1154758249753626E-2</v>
      </c>
      <c r="Q50" s="14">
        <v>4.8298269895392021E-3</v>
      </c>
      <c r="R50" s="14">
        <v>2.3095564859597313</v>
      </c>
      <c r="S50" s="14">
        <v>3.1712526283366752E-2</v>
      </c>
      <c r="T50" s="14">
        <v>1.0799156929567188E-3</v>
      </c>
      <c r="U50" s="14">
        <v>2.1229600806550536E-2</v>
      </c>
      <c r="V50" s="14">
        <v>1.0799156929567188E-3</v>
      </c>
      <c r="W50" s="14">
        <v>2.1229600806550536E-2</v>
      </c>
    </row>
    <row r="51" spans="3:23" x14ac:dyDescent="0.25">
      <c r="O51" s="14" t="s">
        <v>55</v>
      </c>
      <c r="P51" s="14">
        <v>0.83983125710920148</v>
      </c>
      <c r="Q51" s="14">
        <v>0.12665883978176881</v>
      </c>
      <c r="R51" s="14">
        <v>6.6306564828496573</v>
      </c>
      <c r="S51" s="14">
        <v>1.8606131882444124E-6</v>
      </c>
      <c r="T51" s="14">
        <v>0.57562554705132818</v>
      </c>
      <c r="U51" s="14">
        <v>1.1040369671670747</v>
      </c>
      <c r="V51" s="14">
        <v>0.57562554705132818</v>
      </c>
      <c r="W51" s="14">
        <v>1.1040369671670747</v>
      </c>
    </row>
    <row r="52" spans="3:23" x14ac:dyDescent="0.25">
      <c r="O52" s="14" t="s">
        <v>31</v>
      </c>
      <c r="P52" s="14">
        <v>-7.8916928589982949E-2</v>
      </c>
      <c r="Q52" s="14">
        <v>0.17867492033351623</v>
      </c>
      <c r="R52" s="14">
        <v>-0.44167882343350645</v>
      </c>
      <c r="S52" s="14">
        <v>0.6634601620192504</v>
      </c>
      <c r="T52" s="14">
        <v>-0.4516262813488382</v>
      </c>
      <c r="U52" s="14">
        <v>0.2937924241688723</v>
      </c>
      <c r="V52" s="14">
        <v>-0.4516262813488382</v>
      </c>
      <c r="W52" s="14">
        <v>0.2937924241688723</v>
      </c>
    </row>
    <row r="53" spans="3:23" ht="15.75" thickBot="1" x14ac:dyDescent="0.3">
      <c r="O53" s="15" t="s">
        <v>32</v>
      </c>
      <c r="P53" s="15">
        <v>-0.1856234060401486</v>
      </c>
      <c r="Q53" s="15">
        <v>0.23999007846909381</v>
      </c>
      <c r="R53" s="15">
        <v>-0.77346283323147202</v>
      </c>
      <c r="S53" s="15">
        <v>0.44829470402408689</v>
      </c>
      <c r="T53" s="15">
        <v>-0.68623393743314498</v>
      </c>
      <c r="U53" s="15">
        <v>0.31498712535284779</v>
      </c>
      <c r="V53" s="15">
        <v>-0.68623393743314498</v>
      </c>
      <c r="W53" s="15">
        <v>0.31498712535284779</v>
      </c>
    </row>
    <row r="57" spans="3:23" x14ac:dyDescent="0.25">
      <c r="O57" t="s">
        <v>63</v>
      </c>
    </row>
    <row r="58" spans="3:23" ht="15.75" thickBot="1" x14ac:dyDescent="0.3"/>
    <row r="59" spans="3:23" x14ac:dyDescent="0.25">
      <c r="O59" s="16" t="s">
        <v>64</v>
      </c>
      <c r="P59" s="16" t="s">
        <v>65</v>
      </c>
      <c r="Q59" s="16" t="s">
        <v>66</v>
      </c>
    </row>
    <row r="60" spans="3:23" x14ac:dyDescent="0.25">
      <c r="O60" s="14">
        <v>1</v>
      </c>
      <c r="P60" s="14">
        <v>4.5060082871272583E-2</v>
      </c>
      <c r="Q60" s="14">
        <v>3.1632681127056375E-2</v>
      </c>
    </row>
    <row r="61" spans="3:23" x14ac:dyDescent="0.25">
      <c r="O61" s="14">
        <v>2</v>
      </c>
      <c r="P61" s="14">
        <v>1.4077559766976593E-2</v>
      </c>
      <c r="Q61" s="14">
        <v>1.2171821795433066E-2</v>
      </c>
    </row>
    <row r="62" spans="3:23" x14ac:dyDescent="0.25">
      <c r="O62" s="14">
        <v>3</v>
      </c>
      <c r="P62" s="14">
        <v>2.005332722683106E-2</v>
      </c>
      <c r="Q62" s="14">
        <v>-9.3841925375974418E-3</v>
      </c>
    </row>
    <row r="63" spans="3:23" x14ac:dyDescent="0.25">
      <c r="O63" s="14">
        <v>4</v>
      </c>
      <c r="P63" s="14">
        <v>2.8286615026734369E-2</v>
      </c>
      <c r="Q63" s="14">
        <v>3.2735510901202303E-4</v>
      </c>
    </row>
    <row r="64" spans="3:23" x14ac:dyDescent="0.25">
      <c r="O64" s="14">
        <v>5</v>
      </c>
      <c r="P64" s="14">
        <v>9.3741114434044096E-3</v>
      </c>
      <c r="Q64" s="14">
        <v>-3.161120867170325E-2</v>
      </c>
    </row>
    <row r="65" spans="15:17" x14ac:dyDescent="0.25">
      <c r="O65" s="14">
        <v>6</v>
      </c>
      <c r="P65" s="14">
        <v>2.7269804130028122E-2</v>
      </c>
      <c r="Q65" s="14">
        <v>-1.6709899961719704E-2</v>
      </c>
    </row>
    <row r="66" spans="15:17" x14ac:dyDescent="0.25">
      <c r="O66" s="14">
        <v>7</v>
      </c>
      <c r="P66" s="14">
        <v>1.5620802909488637E-2</v>
      </c>
      <c r="Q66" s="14">
        <v>-2.5722567104502141E-2</v>
      </c>
    </row>
    <row r="67" spans="15:17" x14ac:dyDescent="0.25">
      <c r="O67" s="14">
        <v>8</v>
      </c>
      <c r="P67" s="14">
        <v>1.6392217784617566E-2</v>
      </c>
      <c r="Q67" s="14">
        <v>2.0823830410256046E-2</v>
      </c>
    </row>
    <row r="68" spans="15:17" x14ac:dyDescent="0.25">
      <c r="O68" s="14">
        <v>9</v>
      </c>
      <c r="P68" s="14">
        <v>2.9564822305520023E-2</v>
      </c>
      <c r="Q68" s="14">
        <v>1.7154448699195995E-2</v>
      </c>
    </row>
    <row r="69" spans="15:17" x14ac:dyDescent="0.25">
      <c r="O69" s="14">
        <v>10</v>
      </c>
      <c r="P69" s="14">
        <v>1.3195273232430046E-2</v>
      </c>
      <c r="Q69" s="14">
        <v>-4.6808267549710604E-4</v>
      </c>
    </row>
    <row r="70" spans="15:17" x14ac:dyDescent="0.25">
      <c r="O70" s="14">
        <v>11</v>
      </c>
      <c r="P70" s="14">
        <v>3.8563831467800076E-2</v>
      </c>
      <c r="Q70" s="14">
        <v>-2.6992388339190584E-3</v>
      </c>
    </row>
    <row r="71" spans="15:17" x14ac:dyDescent="0.25">
      <c r="O71" s="14">
        <v>12</v>
      </c>
      <c r="P71" s="14">
        <v>6.0088356159601397E-2</v>
      </c>
      <c r="Q71" s="14">
        <v>4.2137888844594046E-3</v>
      </c>
    </row>
    <row r="72" spans="15:17" x14ac:dyDescent="0.25">
      <c r="O72" s="14">
        <v>13</v>
      </c>
      <c r="P72" s="14">
        <v>-2.2227714366571824E-2</v>
      </c>
      <c r="Q72" s="14">
        <v>-1.2847852265537134E-3</v>
      </c>
    </row>
    <row r="73" spans="15:17" x14ac:dyDescent="0.25">
      <c r="O73" s="14">
        <v>14</v>
      </c>
      <c r="P73" s="14">
        <v>-1.6548305004289009E-2</v>
      </c>
      <c r="Q73" s="14">
        <v>-2.424215707805737E-2</v>
      </c>
    </row>
    <row r="74" spans="15:17" x14ac:dyDescent="0.25">
      <c r="O74" s="14">
        <v>15</v>
      </c>
      <c r="P74" s="14">
        <v>9.5282948854989533E-3</v>
      </c>
      <c r="Q74" s="14">
        <v>-1.7663378337477727E-2</v>
      </c>
    </row>
    <row r="75" spans="15:17" x14ac:dyDescent="0.25">
      <c r="O75" s="14">
        <v>16</v>
      </c>
      <c r="P75" s="14">
        <v>2.8864280916543809E-2</v>
      </c>
      <c r="Q75" s="14">
        <v>3.6799654293960274E-2</v>
      </c>
    </row>
    <row r="76" spans="15:17" x14ac:dyDescent="0.25">
      <c r="O76" s="14">
        <v>17</v>
      </c>
      <c r="P76" s="14">
        <v>1.6730944340012155E-2</v>
      </c>
      <c r="Q76" s="14">
        <v>1.8128372727007833E-4</v>
      </c>
    </row>
    <row r="77" spans="15:17" x14ac:dyDescent="0.25">
      <c r="O77" s="14">
        <v>18</v>
      </c>
      <c r="P77" s="14">
        <v>3.9770285964639211E-2</v>
      </c>
      <c r="Q77" s="14">
        <v>1.0110663971391071E-2</v>
      </c>
    </row>
    <row r="78" spans="15:17" x14ac:dyDescent="0.25">
      <c r="O78" s="14">
        <v>19</v>
      </c>
      <c r="P78" s="14">
        <v>4.083182152516935E-2</v>
      </c>
      <c r="Q78" s="14">
        <v>-2.9419050844513989E-3</v>
      </c>
    </row>
    <row r="79" spans="15:17" x14ac:dyDescent="0.25">
      <c r="O79" s="14">
        <v>20</v>
      </c>
      <c r="P79" s="14">
        <v>1.6975206795772389E-2</v>
      </c>
      <c r="Q79" s="14">
        <v>-3.0662470486468009E-2</v>
      </c>
    </row>
    <row r="80" spans="15:17" x14ac:dyDescent="0.25">
      <c r="O80" s="14">
        <v>21</v>
      </c>
      <c r="P80" s="14">
        <v>-5.4093164703014063E-2</v>
      </c>
      <c r="Q80" s="14">
        <v>3.0005830450623029E-2</v>
      </c>
    </row>
    <row r="81" spans="1:17" x14ac:dyDescent="0.25">
      <c r="O81" s="14">
        <v>22</v>
      </c>
      <c r="P81" s="14">
        <v>2.4156871958894707E-2</v>
      </c>
      <c r="Q81" s="14">
        <v>-2.7300130825295955E-2</v>
      </c>
    </row>
    <row r="82" spans="1:17" x14ac:dyDescent="0.25">
      <c r="O82" s="14">
        <v>23</v>
      </c>
      <c r="P82" s="14">
        <v>-6.6732634390606629E-2</v>
      </c>
      <c r="Q82" s="14">
        <v>1.4559547858286219E-2</v>
      </c>
    </row>
    <row r="83" spans="1:17" ht="15.75" thickBot="1" x14ac:dyDescent="0.3">
      <c r="O83" s="15">
        <v>24</v>
      </c>
      <c r="P83" s="15">
        <v>7.1651704684634623E-2</v>
      </c>
      <c r="Q83" s="15">
        <v>1.2709110496299358E-2</v>
      </c>
    </row>
    <row r="84" spans="1:17" x14ac:dyDescent="0.25">
      <c r="O84" s="14">
        <v>23</v>
      </c>
      <c r="P84" s="14">
        <v>2.3591969045986308E-3</v>
      </c>
      <c r="Q84" s="14">
        <v>-1.2086357126529735E-4</v>
      </c>
    </row>
    <row r="85" spans="1:17" ht="15.75" thickBot="1" x14ac:dyDescent="0.3">
      <c r="O85" s="15">
        <v>24</v>
      </c>
      <c r="P85" s="15">
        <v>2.0639436283159743E-3</v>
      </c>
      <c r="Q85" s="15">
        <v>1.3188970501735878E-4</v>
      </c>
    </row>
    <row r="86" spans="1:17" x14ac:dyDescent="0.25">
      <c r="Q86">
        <f>AVERAGE(Q60:Q85)</f>
        <v>4.2408206738951335E-7</v>
      </c>
    </row>
    <row r="91" spans="1:17" x14ac:dyDescent="0.25">
      <c r="A91" s="24" t="s">
        <v>100</v>
      </c>
    </row>
    <row r="92" spans="1:17" ht="15.75" thickBot="1" x14ac:dyDescent="0.3">
      <c r="A92" s="25"/>
    </row>
    <row r="93" spans="1:17" x14ac:dyDescent="0.25">
      <c r="A93" s="26" t="s">
        <v>101</v>
      </c>
      <c r="H93" s="17" t="s">
        <v>24</v>
      </c>
      <c r="I93" s="17"/>
      <c r="L93" t="s">
        <v>108</v>
      </c>
    </row>
    <row r="94" spans="1:17" ht="15.75" thickBot="1" x14ac:dyDescent="0.3">
      <c r="A94" s="25"/>
      <c r="H94" s="14"/>
      <c r="I94" s="14"/>
    </row>
    <row r="95" spans="1:17" x14ac:dyDescent="0.25">
      <c r="A95" s="26" t="s">
        <v>102</v>
      </c>
      <c r="H95" s="14" t="s">
        <v>67</v>
      </c>
      <c r="I95" s="14">
        <v>7.1287257738087452E-3</v>
      </c>
      <c r="L95" s="16"/>
      <c r="M95" s="16" t="s">
        <v>23</v>
      </c>
      <c r="N95" s="16" t="s">
        <v>24</v>
      </c>
    </row>
    <row r="96" spans="1:17" x14ac:dyDescent="0.25">
      <c r="A96" s="26" t="s">
        <v>103</v>
      </c>
      <c r="H96" s="14" t="s">
        <v>38</v>
      </c>
      <c r="I96" s="14">
        <v>7.5141348230454283E-3</v>
      </c>
      <c r="L96" s="14" t="s">
        <v>67</v>
      </c>
      <c r="M96" s="14">
        <v>1.9115217927696746E-2</v>
      </c>
      <c r="N96" s="14">
        <v>7.1287257738087452E-3</v>
      </c>
    </row>
    <row r="97" spans="1:14" x14ac:dyDescent="0.25">
      <c r="A97" s="26" t="s">
        <v>104</v>
      </c>
      <c r="H97" s="14" t="s">
        <v>68</v>
      </c>
      <c r="I97" s="14">
        <v>1.0279945767396645E-2</v>
      </c>
      <c r="L97" s="14" t="s">
        <v>109</v>
      </c>
      <c r="M97" s="14">
        <v>1.3833643944856366E-3</v>
      </c>
      <c r="N97" s="14">
        <v>1.3550933313336946E-3</v>
      </c>
    </row>
    <row r="98" spans="1:14" x14ac:dyDescent="0.25">
      <c r="H98" s="14" t="s">
        <v>69</v>
      </c>
      <c r="I98" s="14" t="e">
        <v>#N/A</v>
      </c>
      <c r="L98" s="14" t="s">
        <v>39</v>
      </c>
      <c r="M98" s="14">
        <v>24</v>
      </c>
      <c r="N98" s="14">
        <v>24</v>
      </c>
    </row>
    <row r="99" spans="1:14" x14ac:dyDescent="0.25">
      <c r="H99" s="14" t="s">
        <v>70</v>
      </c>
      <c r="I99" s="14">
        <v>3.6811592349879331E-2</v>
      </c>
      <c r="L99" s="14" t="s">
        <v>110</v>
      </c>
      <c r="M99" s="14">
        <v>0</v>
      </c>
      <c r="N99" s="14"/>
    </row>
    <row r="100" spans="1:14" x14ac:dyDescent="0.25">
      <c r="H100" s="14" t="s">
        <v>71</v>
      </c>
      <c r="I100" s="14">
        <v>1.3550933313336946E-3</v>
      </c>
      <c r="L100" s="14" t="s">
        <v>44</v>
      </c>
      <c r="M100" s="14">
        <v>46</v>
      </c>
      <c r="N100" s="14"/>
    </row>
    <row r="101" spans="1:14" x14ac:dyDescent="0.25">
      <c r="H101" s="14" t="s">
        <v>72</v>
      </c>
      <c r="I101" s="14">
        <v>2.3807463552337977</v>
      </c>
      <c r="L101" s="14" t="s">
        <v>49</v>
      </c>
      <c r="M101" s="14">
        <v>1.1221339595756721</v>
      </c>
      <c r="N101" s="14"/>
    </row>
    <row r="102" spans="1:14" x14ac:dyDescent="0.25">
      <c r="H102" s="14" t="s">
        <v>73</v>
      </c>
      <c r="I102" s="14">
        <v>-1.163843822571399</v>
      </c>
      <c r="L102" s="14" t="s">
        <v>111</v>
      </c>
      <c r="M102" s="14">
        <v>0.1338143929480449</v>
      </c>
      <c r="N102" s="14"/>
    </row>
    <row r="103" spans="1:14" x14ac:dyDescent="0.25">
      <c r="H103" s="14" t="s">
        <v>74</v>
      </c>
      <c r="I103" s="14">
        <v>0.17200737174281552</v>
      </c>
      <c r="L103" s="14" t="s">
        <v>112</v>
      </c>
      <c r="M103" s="14">
        <v>1.678660413556865</v>
      </c>
      <c r="N103" s="14"/>
    </row>
    <row r="104" spans="1:14" x14ac:dyDescent="0.25">
      <c r="H104" s="14" t="s">
        <v>75</v>
      </c>
      <c r="I104" s="14">
        <v>-9.6265219766061866E-2</v>
      </c>
      <c r="L104" s="14" t="s">
        <v>113</v>
      </c>
      <c r="M104" s="14">
        <v>0.26762878589608979</v>
      </c>
      <c r="N104" s="14"/>
    </row>
    <row r="105" spans="1:14" ht="15.75" thickBot="1" x14ac:dyDescent="0.3">
      <c r="H105" s="14" t="s">
        <v>76</v>
      </c>
      <c r="I105" s="14">
        <v>7.5742151976753658E-2</v>
      </c>
      <c r="L105" s="15" t="s">
        <v>114</v>
      </c>
      <c r="M105" s="15">
        <v>2.0128955989194299</v>
      </c>
      <c r="N105" s="15"/>
    </row>
    <row r="106" spans="1:14" x14ac:dyDescent="0.25">
      <c r="H106" s="14" t="s">
        <v>77</v>
      </c>
      <c r="I106" s="14">
        <v>0.17108941857140988</v>
      </c>
    </row>
    <row r="107" spans="1:14" ht="15.75" thickBot="1" x14ac:dyDescent="0.3">
      <c r="H107" s="15" t="s">
        <v>78</v>
      </c>
      <c r="I107" s="15">
        <v>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7F076-980B-4386-9304-F697D72F5014}">
  <dimension ref="A1:T46"/>
  <sheetViews>
    <sheetView workbookViewId="0">
      <selection activeCell="M32" activeCellId="2" sqref="N30:P30 M30 M30:M32"/>
    </sheetView>
  </sheetViews>
  <sheetFormatPr defaultRowHeight="15" x14ac:dyDescent="0.25"/>
  <cols>
    <col min="1" max="1" width="9.7109375" bestFit="1" customWidth="1"/>
    <col min="3" max="3" width="14.28515625" bestFit="1" customWidth="1"/>
    <col min="10" max="11" width="18.140625" bestFit="1" customWidth="1"/>
    <col min="12" max="12" width="12.7109375" bestFit="1" customWidth="1"/>
    <col min="14" max="14" width="14.28515625" bestFit="1" customWidth="1"/>
    <col min="15" max="15" width="13.7109375" bestFit="1" customWidth="1"/>
    <col min="18" max="18" width="18.140625" bestFit="1" customWidth="1"/>
    <col min="19" max="19" width="12.7109375" bestFit="1" customWidth="1"/>
  </cols>
  <sheetData>
    <row r="1" spans="1:17" x14ac:dyDescent="0.25">
      <c r="A1" s="2" t="s">
        <v>1</v>
      </c>
      <c r="B1" s="2" t="s">
        <v>61</v>
      </c>
      <c r="C1" s="2" t="s">
        <v>23</v>
      </c>
      <c r="D1" s="11" t="s">
        <v>24</v>
      </c>
      <c r="E1" s="11" t="s">
        <v>25</v>
      </c>
      <c r="F1" s="11" t="s">
        <v>26</v>
      </c>
      <c r="G1" s="11" t="s">
        <v>27</v>
      </c>
      <c r="H1" s="11" t="s">
        <v>28</v>
      </c>
      <c r="I1" s="11" t="s">
        <v>29</v>
      </c>
      <c r="J1" s="11" t="s">
        <v>30</v>
      </c>
      <c r="K1" t="s">
        <v>86</v>
      </c>
      <c r="L1" t="s">
        <v>87</v>
      </c>
      <c r="M1" t="s">
        <v>88</v>
      </c>
      <c r="N1" t="s">
        <v>93</v>
      </c>
      <c r="O1" t="s">
        <v>94</v>
      </c>
      <c r="P1" t="s">
        <v>95</v>
      </c>
      <c r="Q1" t="s">
        <v>96</v>
      </c>
    </row>
    <row r="2" spans="1:17" x14ac:dyDescent="0.25">
      <c r="A2" s="4">
        <v>42736</v>
      </c>
      <c r="B2" s="18">
        <v>0</v>
      </c>
      <c r="C2" s="13">
        <v>999999.99999999953</v>
      </c>
      <c r="D2" s="11">
        <v>2278.8701169999999</v>
      </c>
      <c r="E2" s="11">
        <v>2.4510000000000001</v>
      </c>
      <c r="F2" s="11" t="s">
        <v>12</v>
      </c>
      <c r="G2" s="11" t="s">
        <v>12</v>
      </c>
      <c r="H2" s="11" t="s">
        <v>12</v>
      </c>
      <c r="I2" s="11" t="s">
        <v>12</v>
      </c>
      <c r="J2" s="11" t="s">
        <v>12</v>
      </c>
      <c r="N2" s="13">
        <f>C2</f>
        <v>999999.99999999953</v>
      </c>
    </row>
    <row r="3" spans="1:17" x14ac:dyDescent="0.25">
      <c r="A3" s="4">
        <v>42767</v>
      </c>
      <c r="B3" s="18">
        <v>1</v>
      </c>
      <c r="C3" s="13">
        <v>1081834.0161597591</v>
      </c>
      <c r="D3" s="11">
        <v>2363.639893</v>
      </c>
      <c r="E3" s="11">
        <v>2.3580000000000001</v>
      </c>
      <c r="F3" s="11">
        <f>LN(C3/C2)</f>
        <v>7.8657763998328953E-2</v>
      </c>
      <c r="G3" s="11">
        <f>LN(D3/D2)</f>
        <v>3.6523000999039816E-2</v>
      </c>
      <c r="H3" s="11">
        <f t="shared" ref="H3:H26" si="0">E3/1200</f>
        <v>1.9650000000000002E-3</v>
      </c>
      <c r="I3" s="11">
        <f>F3-H3</f>
        <v>7.6692763998328958E-2</v>
      </c>
      <c r="J3" s="11">
        <f>G3-H3</f>
        <v>3.4558000999039815E-2</v>
      </c>
      <c r="K3">
        <f t="shared" ref="K3:K26" si="1">F3-$K$31</f>
        <v>5.954254607063221E-2</v>
      </c>
      <c r="L3">
        <f>MIN(K3,0)</f>
        <v>0</v>
      </c>
      <c r="M3">
        <f>L3^2</f>
        <v>0</v>
      </c>
      <c r="N3" s="13">
        <f>N2*(1+G3)</f>
        <v>1036523.0009990394</v>
      </c>
      <c r="O3">
        <f>G3-$S$31</f>
        <v>2.9394275225231071E-2</v>
      </c>
      <c r="P3">
        <f>MIN(O3,0)</f>
        <v>0</v>
      </c>
      <c r="Q3">
        <f>P3^2</f>
        <v>0</v>
      </c>
    </row>
    <row r="4" spans="1:17" x14ac:dyDescent="0.25">
      <c r="A4" s="4">
        <v>42795</v>
      </c>
      <c r="B4" s="18">
        <v>2</v>
      </c>
      <c r="C4" s="13">
        <v>1112827.2089606598</v>
      </c>
      <c r="D4" s="11">
        <v>2362.719971</v>
      </c>
      <c r="E4" s="11">
        <v>2.3959999999999999</v>
      </c>
      <c r="F4" s="11">
        <f t="shared" ref="F4:G26" si="2">LN(C4/C3)</f>
        <v>2.8246048229076327E-2</v>
      </c>
      <c r="G4" s="11">
        <f t="shared" si="2"/>
        <v>-3.8927294496698804E-4</v>
      </c>
      <c r="H4" s="11">
        <f t="shared" si="0"/>
        <v>1.9966666666666666E-3</v>
      </c>
      <c r="I4" s="11">
        <f t="shared" ref="I4:I26" si="3">F4-H4</f>
        <v>2.6249381562409659E-2</v>
      </c>
      <c r="J4" s="11">
        <f t="shared" ref="J4:J26" si="4">G4-H4</f>
        <v>-2.3859396116336544E-3</v>
      </c>
      <c r="K4" s="11">
        <f t="shared" si="1"/>
        <v>9.1308303013795805E-3</v>
      </c>
      <c r="L4" s="11">
        <f t="shared" ref="L4:L26" si="5">MIN(K4,0)</f>
        <v>0</v>
      </c>
      <c r="M4" s="11">
        <f t="shared" ref="M4:M26" si="6">L4^2</f>
        <v>0</v>
      </c>
      <c r="N4" s="13">
        <f t="shared" ref="N4:N26" si="7">N3*(1+G4)</f>
        <v>1036119.5106379145</v>
      </c>
      <c r="O4" s="11">
        <f t="shared" ref="O4:O26" si="8">G4-$S$31</f>
        <v>-7.5179987187757331E-3</v>
      </c>
      <c r="P4" s="11">
        <f t="shared" ref="P4:P26" si="9">MIN(O4,0)</f>
        <v>-7.5179987187757331E-3</v>
      </c>
      <c r="Q4" s="11">
        <f t="shared" ref="Q4:Q25" si="10">P4^2</f>
        <v>5.6520304735513564E-5</v>
      </c>
    </row>
    <row r="5" spans="1:17" x14ac:dyDescent="0.25">
      <c r="A5" s="4">
        <v>42826</v>
      </c>
      <c r="B5" s="18">
        <v>3</v>
      </c>
      <c r="C5" s="13">
        <v>1126904.6356334188</v>
      </c>
      <c r="D5" s="11">
        <v>2384.1999510000001</v>
      </c>
      <c r="E5" s="11">
        <v>2.282</v>
      </c>
      <c r="F5" s="11">
        <f t="shared" si="2"/>
        <v>1.2570801355900284E-2</v>
      </c>
      <c r="G5" s="11">
        <f t="shared" si="2"/>
        <v>9.0501322804594966E-3</v>
      </c>
      <c r="H5" s="11">
        <f t="shared" si="0"/>
        <v>1.9016666666666667E-3</v>
      </c>
      <c r="I5" s="11">
        <f t="shared" si="3"/>
        <v>1.0669134689233618E-2</v>
      </c>
      <c r="J5" s="11">
        <f t="shared" si="4"/>
        <v>7.1484656137928296E-3</v>
      </c>
      <c r="K5" s="11">
        <f t="shared" si="1"/>
        <v>-6.5444165717964617E-3</v>
      </c>
      <c r="L5" s="11">
        <f t="shared" si="5"/>
        <v>-6.5444165717964617E-3</v>
      </c>
      <c r="M5" s="11">
        <f t="shared" si="6"/>
        <v>4.2829388265204153E-5</v>
      </c>
      <c r="N5" s="13">
        <f t="shared" si="7"/>
        <v>1045496.5292675525</v>
      </c>
      <c r="O5" s="11">
        <f t="shared" si="8"/>
        <v>1.9214065066507514E-3</v>
      </c>
      <c r="P5" s="11">
        <f t="shared" si="9"/>
        <v>0</v>
      </c>
      <c r="Q5" s="11">
        <f t="shared" si="10"/>
        <v>0</v>
      </c>
    </row>
    <row r="6" spans="1:17" x14ac:dyDescent="0.25">
      <c r="A6" s="4">
        <v>42856</v>
      </c>
      <c r="B6" s="18">
        <v>4</v>
      </c>
      <c r="C6" s="13">
        <v>1161739.6543557304</v>
      </c>
      <c r="D6" s="11">
        <v>2411.8000489999999</v>
      </c>
      <c r="E6" s="11">
        <v>2.1960000000000002</v>
      </c>
      <c r="F6" s="11">
        <f t="shared" si="2"/>
        <v>3.0443970135746394E-2</v>
      </c>
      <c r="G6" s="11">
        <f t="shared" si="2"/>
        <v>1.1509759254333795E-2</v>
      </c>
      <c r="H6" s="11">
        <f t="shared" si="0"/>
        <v>1.8300000000000002E-3</v>
      </c>
      <c r="I6" s="11">
        <f t="shared" si="3"/>
        <v>2.8613970135746392E-2</v>
      </c>
      <c r="J6" s="11">
        <f t="shared" si="4"/>
        <v>9.6797592543337949E-3</v>
      </c>
      <c r="K6" s="11">
        <f t="shared" si="1"/>
        <v>1.1328752208049648E-2</v>
      </c>
      <c r="L6" s="11">
        <f t="shared" si="5"/>
        <v>0</v>
      </c>
      <c r="M6" s="11">
        <f t="shared" si="6"/>
        <v>0</v>
      </c>
      <c r="N6" s="13">
        <f t="shared" si="7"/>
        <v>1057529.9426206637</v>
      </c>
      <c r="O6" s="11">
        <f t="shared" si="8"/>
        <v>4.3810334805250498E-3</v>
      </c>
      <c r="P6" s="11">
        <f t="shared" si="9"/>
        <v>0</v>
      </c>
      <c r="Q6" s="11">
        <f t="shared" si="10"/>
        <v>0</v>
      </c>
    </row>
    <row r="7" spans="1:17" x14ac:dyDescent="0.25">
      <c r="A7" s="4">
        <v>42887</v>
      </c>
      <c r="B7" s="18">
        <v>5</v>
      </c>
      <c r="C7" s="13">
        <v>1138372.7379580492</v>
      </c>
      <c r="D7" s="11">
        <v>2423.4099120000001</v>
      </c>
      <c r="E7" s="11">
        <v>2.302</v>
      </c>
      <c r="F7" s="11">
        <f t="shared" si="2"/>
        <v>-2.0318763894965505E-2</v>
      </c>
      <c r="G7" s="11">
        <f t="shared" si="2"/>
        <v>4.8022259241070758E-3</v>
      </c>
      <c r="H7" s="11">
        <f t="shared" si="0"/>
        <v>1.9183333333333333E-3</v>
      </c>
      <c r="I7" s="11">
        <f t="shared" si="3"/>
        <v>-2.2237097228298839E-2</v>
      </c>
      <c r="J7" s="11">
        <f t="shared" si="4"/>
        <v>2.8838925907737423E-3</v>
      </c>
      <c r="K7" s="11">
        <f t="shared" si="1"/>
        <v>-3.9433981822662251E-2</v>
      </c>
      <c r="L7" s="11">
        <f t="shared" si="5"/>
        <v>-3.9433981822662251E-2</v>
      </c>
      <c r="M7" s="11">
        <f t="shared" si="6"/>
        <v>1.5550389223900568E-3</v>
      </c>
      <c r="N7" s="13">
        <f t="shared" si="7"/>
        <v>1062608.4403266362</v>
      </c>
      <c r="O7" s="11">
        <f t="shared" si="8"/>
        <v>-2.3264998497016694E-3</v>
      </c>
      <c r="P7" s="11">
        <f t="shared" si="9"/>
        <v>-2.3264998497016694E-3</v>
      </c>
      <c r="Q7" s="11">
        <f t="shared" si="10"/>
        <v>5.4126015506618906E-6</v>
      </c>
    </row>
    <row r="8" spans="1:17" x14ac:dyDescent="0.25">
      <c r="A8" s="4">
        <v>42917</v>
      </c>
      <c r="B8" s="18">
        <v>6</v>
      </c>
      <c r="C8" s="13">
        <v>1152657.0135841349</v>
      </c>
      <c r="D8" s="11">
        <v>2470.3000489999999</v>
      </c>
      <c r="E8" s="11">
        <v>2.2919999999999998</v>
      </c>
      <c r="F8" s="11">
        <f t="shared" si="2"/>
        <v>1.2469904168308416E-2</v>
      </c>
      <c r="G8" s="11">
        <f t="shared" si="2"/>
        <v>1.916401766181007E-2</v>
      </c>
      <c r="H8" s="11">
        <f t="shared" si="0"/>
        <v>1.9099999999999998E-3</v>
      </c>
      <c r="I8" s="11">
        <f t="shared" si="3"/>
        <v>1.0559904168308416E-2</v>
      </c>
      <c r="J8" s="11">
        <f t="shared" si="4"/>
        <v>1.7254017661810072E-2</v>
      </c>
      <c r="K8" s="11">
        <f t="shared" si="1"/>
        <v>-6.6453137593883299E-3</v>
      </c>
      <c r="L8" s="11">
        <f t="shared" si="5"/>
        <v>-6.6453137593883299E-3</v>
      </c>
      <c r="M8" s="11">
        <f t="shared" si="6"/>
        <v>4.4160194960715856E-5</v>
      </c>
      <c r="N8" s="13">
        <f t="shared" si="7"/>
        <v>1082972.2872446442</v>
      </c>
      <c r="O8" s="11">
        <f t="shared" si="8"/>
        <v>1.2035291888001325E-2</v>
      </c>
      <c r="P8" s="11">
        <f t="shared" si="9"/>
        <v>0</v>
      </c>
      <c r="Q8" s="11">
        <f t="shared" si="10"/>
        <v>0</v>
      </c>
    </row>
    <row r="9" spans="1:17" x14ac:dyDescent="0.25">
      <c r="A9" s="4">
        <v>42948</v>
      </c>
      <c r="B9" s="18">
        <v>7</v>
      </c>
      <c r="C9" s="13">
        <v>1143090.3862811201</v>
      </c>
      <c r="D9" s="11">
        <v>2471.6499020000001</v>
      </c>
      <c r="E9" s="11">
        <v>2.121</v>
      </c>
      <c r="F9" s="11">
        <f t="shared" si="2"/>
        <v>-8.3342641950135046E-3</v>
      </c>
      <c r="G9" s="11">
        <f t="shared" si="2"/>
        <v>5.4628357104102084E-4</v>
      </c>
      <c r="H9" s="11">
        <f t="shared" si="0"/>
        <v>1.7675E-3</v>
      </c>
      <c r="I9" s="11">
        <f t="shared" si="3"/>
        <v>-1.0101764195013505E-2</v>
      </c>
      <c r="J9" s="11">
        <f t="shared" si="4"/>
        <v>-1.2212164289589792E-3</v>
      </c>
      <c r="K9" s="11">
        <f t="shared" si="1"/>
        <v>-2.7449482122710249E-2</v>
      </c>
      <c r="L9" s="11">
        <f t="shared" si="5"/>
        <v>-2.7449482122710249E-2</v>
      </c>
      <c r="M9" s="11">
        <f t="shared" si="6"/>
        <v>7.5347406880498955E-4</v>
      </c>
      <c r="N9" s="13">
        <f t="shared" si="7"/>
        <v>1083563.8972130588</v>
      </c>
      <c r="O9" s="11">
        <f t="shared" si="8"/>
        <v>-6.5824422027677245E-3</v>
      </c>
      <c r="P9" s="11">
        <f t="shared" si="9"/>
        <v>-6.5824422027677245E-3</v>
      </c>
      <c r="Q9" s="11">
        <f t="shared" si="10"/>
        <v>4.3328545352777615E-5</v>
      </c>
    </row>
    <row r="10" spans="1:17" x14ac:dyDescent="0.25">
      <c r="A10" s="4">
        <v>42979</v>
      </c>
      <c r="B10" s="18">
        <v>8</v>
      </c>
      <c r="C10" s="13">
        <v>1188735.1483829832</v>
      </c>
      <c r="D10" s="11">
        <v>2519.360107</v>
      </c>
      <c r="E10" s="11">
        <v>2.3260000000000001</v>
      </c>
      <c r="F10" s="11">
        <f t="shared" si="2"/>
        <v>3.9154381528206945E-2</v>
      </c>
      <c r="G10" s="11">
        <f t="shared" si="2"/>
        <v>1.911903932397916E-2</v>
      </c>
      <c r="H10" s="11">
        <f t="shared" si="0"/>
        <v>1.9383333333333334E-3</v>
      </c>
      <c r="I10" s="11">
        <f t="shared" si="3"/>
        <v>3.7216048194873612E-2</v>
      </c>
      <c r="J10" s="11">
        <f t="shared" si="4"/>
        <v>1.7180705990645827E-2</v>
      </c>
      <c r="K10" s="11">
        <f t="shared" si="1"/>
        <v>2.0039163600510199E-2</v>
      </c>
      <c r="L10" s="11">
        <f t="shared" si="5"/>
        <v>0</v>
      </c>
      <c r="M10" s="11">
        <f t="shared" si="6"/>
        <v>0</v>
      </c>
      <c r="N10" s="13">
        <f t="shared" si="7"/>
        <v>1104280.5979739192</v>
      </c>
      <c r="O10" s="11">
        <f t="shared" si="8"/>
        <v>1.1990313550170415E-2</v>
      </c>
      <c r="P10" s="11">
        <f t="shared" si="9"/>
        <v>0</v>
      </c>
      <c r="Q10" s="11">
        <f t="shared" si="10"/>
        <v>0</v>
      </c>
    </row>
    <row r="11" spans="1:17" x14ac:dyDescent="0.25">
      <c r="A11" s="4">
        <v>43009</v>
      </c>
      <c r="B11" s="18">
        <v>9</v>
      </c>
      <c r="C11" s="13">
        <v>1248058.4606632763</v>
      </c>
      <c r="D11" s="11">
        <v>2575.26001</v>
      </c>
      <c r="E11" s="11">
        <v>2.3759999999999999</v>
      </c>
      <c r="F11" s="11">
        <f t="shared" si="2"/>
        <v>4.8699271004716022E-2</v>
      </c>
      <c r="G11" s="11">
        <f t="shared" si="2"/>
        <v>2.1945560290305279E-2</v>
      </c>
      <c r="H11" s="11">
        <f t="shared" si="0"/>
        <v>1.98E-3</v>
      </c>
      <c r="I11" s="11">
        <f t="shared" si="3"/>
        <v>4.6719271004716019E-2</v>
      </c>
      <c r="J11" s="11">
        <f t="shared" si="4"/>
        <v>1.996556029030528E-2</v>
      </c>
      <c r="K11" s="11">
        <f t="shared" si="1"/>
        <v>2.9584053077019275E-2</v>
      </c>
      <c r="L11" s="11">
        <f t="shared" si="5"/>
        <v>0</v>
      </c>
      <c r="M11" s="11">
        <f t="shared" si="6"/>
        <v>0</v>
      </c>
      <c r="N11" s="13">
        <f t="shared" si="7"/>
        <v>1128514.6544141704</v>
      </c>
      <c r="O11" s="11">
        <f t="shared" si="8"/>
        <v>1.4816834516496534E-2</v>
      </c>
      <c r="P11" s="11">
        <f t="shared" si="9"/>
        <v>0</v>
      </c>
      <c r="Q11" s="11">
        <f t="shared" si="10"/>
        <v>0</v>
      </c>
    </row>
    <row r="12" spans="1:17" x14ac:dyDescent="0.25">
      <c r="A12" s="4">
        <v>43040</v>
      </c>
      <c r="B12" s="18">
        <v>10</v>
      </c>
      <c r="C12" s="13">
        <v>1266592.8113734694</v>
      </c>
      <c r="D12" s="11">
        <v>2584.8400879999999</v>
      </c>
      <c r="E12" s="11">
        <v>2.4169999999999998</v>
      </c>
      <c r="F12" s="11">
        <f t="shared" si="2"/>
        <v>1.4741357223599608E-2</v>
      </c>
      <c r="G12" s="11">
        <f t="shared" si="2"/>
        <v>3.7131407628128972E-3</v>
      </c>
      <c r="H12" s="11">
        <f t="shared" si="0"/>
        <v>2.0141666666666667E-3</v>
      </c>
      <c r="I12" s="11">
        <f t="shared" si="3"/>
        <v>1.272719055693294E-2</v>
      </c>
      <c r="J12" s="11">
        <f t="shared" si="4"/>
        <v>1.6989740961462305E-3</v>
      </c>
      <c r="K12" s="11">
        <f t="shared" si="1"/>
        <v>-4.3738607040971385E-3</v>
      </c>
      <c r="L12" s="11">
        <f t="shared" si="5"/>
        <v>-4.3738607040971385E-3</v>
      </c>
      <c r="M12" s="11">
        <f t="shared" si="6"/>
        <v>1.9130657458845115E-5</v>
      </c>
      <c r="N12" s="13">
        <f t="shared" si="7"/>
        <v>1132704.9881789072</v>
      </c>
      <c r="O12" s="11">
        <f t="shared" si="8"/>
        <v>-3.415585010995848E-3</v>
      </c>
      <c r="P12" s="11">
        <f t="shared" si="9"/>
        <v>-3.415585010995848E-3</v>
      </c>
      <c r="Q12" s="11">
        <f t="shared" si="10"/>
        <v>1.1666220967339507E-5</v>
      </c>
    </row>
    <row r="13" spans="1:17" x14ac:dyDescent="0.25">
      <c r="A13" s="4">
        <v>43070</v>
      </c>
      <c r="B13" s="18">
        <v>11</v>
      </c>
      <c r="C13" s="13">
        <v>1315476.8570807078</v>
      </c>
      <c r="D13" s="11">
        <v>2673.610107</v>
      </c>
      <c r="E13" s="11">
        <v>2.4049999999999998</v>
      </c>
      <c r="F13" s="11">
        <f t="shared" si="2"/>
        <v>3.7868759300547686E-2</v>
      </c>
      <c r="G13" s="11">
        <f t="shared" si="2"/>
        <v>3.3766014609890378E-2</v>
      </c>
      <c r="H13" s="11">
        <f t="shared" si="0"/>
        <v>2.0041666666666667E-3</v>
      </c>
      <c r="I13" s="11">
        <f t="shared" si="3"/>
        <v>3.5864592633881018E-2</v>
      </c>
      <c r="J13" s="11">
        <f t="shared" si="4"/>
        <v>3.176184794322371E-2</v>
      </c>
      <c r="K13" s="11">
        <f t="shared" si="1"/>
        <v>1.875354137285094E-2</v>
      </c>
      <c r="L13" s="11">
        <f t="shared" si="5"/>
        <v>0</v>
      </c>
      <c r="M13" s="11">
        <f t="shared" si="6"/>
        <v>0</v>
      </c>
      <c r="N13" s="13">
        <f t="shared" si="7"/>
        <v>1170951.9213584519</v>
      </c>
      <c r="O13" s="11">
        <f t="shared" si="8"/>
        <v>2.6637288836081633E-2</v>
      </c>
      <c r="P13" s="11">
        <f t="shared" si="9"/>
        <v>0</v>
      </c>
      <c r="Q13" s="11">
        <f t="shared" si="10"/>
        <v>0</v>
      </c>
    </row>
    <row r="14" spans="1:17" x14ac:dyDescent="0.25">
      <c r="A14" s="4">
        <v>43101</v>
      </c>
      <c r="B14" s="18">
        <v>12</v>
      </c>
      <c r="C14" s="13">
        <v>1406027.0617908784</v>
      </c>
      <c r="D14" s="11">
        <v>2823.8100589999999</v>
      </c>
      <c r="E14" s="11">
        <v>2.72</v>
      </c>
      <c r="F14" s="11">
        <f t="shared" si="2"/>
        <v>6.6568811710727469E-2</v>
      </c>
      <c r="G14" s="11">
        <f t="shared" si="2"/>
        <v>5.4657398659986728E-2</v>
      </c>
      <c r="H14" s="11">
        <f t="shared" si="0"/>
        <v>2.2666666666666668E-3</v>
      </c>
      <c r="I14" s="11">
        <f t="shared" si="3"/>
        <v>6.4302145044060802E-2</v>
      </c>
      <c r="J14" s="11">
        <f t="shared" si="4"/>
        <v>5.2390731993320061E-2</v>
      </c>
      <c r="K14" s="11">
        <f t="shared" si="1"/>
        <v>4.7453593783030726E-2</v>
      </c>
      <c r="L14" s="11">
        <f t="shared" si="5"/>
        <v>0</v>
      </c>
      <c r="M14" s="11">
        <f t="shared" si="6"/>
        <v>0</v>
      </c>
      <c r="N14" s="13">
        <f t="shared" si="7"/>
        <v>1234953.1073358182</v>
      </c>
      <c r="O14" s="11">
        <f t="shared" si="8"/>
        <v>4.7528672886177986E-2</v>
      </c>
      <c r="P14" s="11">
        <f t="shared" si="9"/>
        <v>0</v>
      </c>
      <c r="Q14" s="11">
        <f t="shared" si="10"/>
        <v>0</v>
      </c>
    </row>
    <row r="15" spans="1:17" x14ac:dyDescent="0.25">
      <c r="A15" s="4">
        <v>43132</v>
      </c>
      <c r="B15" s="18">
        <v>13</v>
      </c>
      <c r="C15" s="13">
        <v>1376639.7154690251</v>
      </c>
      <c r="D15" s="11">
        <v>2713.830078</v>
      </c>
      <c r="E15" s="11">
        <v>2.8679999999999999</v>
      </c>
      <c r="F15" s="11">
        <f t="shared" si="2"/>
        <v>-2.1122499593125538E-2</v>
      </c>
      <c r="G15" s="11">
        <f t="shared" si="2"/>
        <v>-3.9726107788010244E-2</v>
      </c>
      <c r="H15" s="11">
        <f t="shared" si="0"/>
        <v>2.3899999999999998E-3</v>
      </c>
      <c r="I15" s="11">
        <f t="shared" si="3"/>
        <v>-2.3512499593125537E-2</v>
      </c>
      <c r="J15" s="11">
        <f t="shared" si="4"/>
        <v>-4.211610778801024E-2</v>
      </c>
      <c r="K15" s="11">
        <f t="shared" si="1"/>
        <v>-4.023771752082228E-2</v>
      </c>
      <c r="L15" s="11">
        <f t="shared" si="5"/>
        <v>-4.023771752082228E-2</v>
      </c>
      <c r="M15" s="11">
        <f t="shared" si="6"/>
        <v>1.6190739112854884E-3</v>
      </c>
      <c r="N15" s="13">
        <f t="shared" si="7"/>
        <v>1185893.2270806574</v>
      </c>
      <c r="O15" s="11">
        <f t="shared" si="8"/>
        <v>-4.6854833561818993E-2</v>
      </c>
      <c r="P15" s="11">
        <f t="shared" si="9"/>
        <v>-4.6854833561818993E-2</v>
      </c>
      <c r="Q15" s="11">
        <f t="shared" si="10"/>
        <v>2.1953754281057595E-3</v>
      </c>
    </row>
    <row r="16" spans="1:17" x14ac:dyDescent="0.25">
      <c r="A16" s="4">
        <v>43160</v>
      </c>
      <c r="B16" s="18">
        <v>14</v>
      </c>
      <c r="C16" s="13">
        <v>1324638.0410549545</v>
      </c>
      <c r="D16" s="11">
        <v>2640.8701169999999</v>
      </c>
      <c r="E16" s="11">
        <v>2.7410000000000001</v>
      </c>
      <c r="F16" s="11">
        <f t="shared" si="2"/>
        <v>-3.8506295415679716E-2</v>
      </c>
      <c r="G16" s="11">
        <f t="shared" si="2"/>
        <v>-2.725249739187887E-2</v>
      </c>
      <c r="H16" s="11">
        <f t="shared" si="0"/>
        <v>2.2841666666666666E-3</v>
      </c>
      <c r="I16" s="11">
        <f t="shared" si="3"/>
        <v>-4.0790462082346379E-2</v>
      </c>
      <c r="J16" s="11">
        <f t="shared" si="4"/>
        <v>-2.9536664058545537E-2</v>
      </c>
      <c r="K16" s="11">
        <f t="shared" si="1"/>
        <v>-5.7621513343376465E-2</v>
      </c>
      <c r="L16" s="11">
        <f t="shared" si="5"/>
        <v>-5.7621513343376465E-2</v>
      </c>
      <c r="M16" s="11">
        <f t="shared" si="6"/>
        <v>3.3202387999809119E-3</v>
      </c>
      <c r="N16" s="13">
        <f t="shared" si="7"/>
        <v>1153574.6750025949</v>
      </c>
      <c r="O16" s="11">
        <f t="shared" si="8"/>
        <v>-3.4381223165687619E-2</v>
      </c>
      <c r="P16" s="11">
        <f t="shared" si="9"/>
        <v>-3.4381223165687619E-2</v>
      </c>
      <c r="Q16" s="11">
        <f t="shared" si="10"/>
        <v>1.182068506368815E-3</v>
      </c>
    </row>
    <row r="17" spans="1:20" x14ac:dyDescent="0.25">
      <c r="A17" s="4">
        <v>43191</v>
      </c>
      <c r="B17" s="18">
        <v>15</v>
      </c>
      <c r="C17" s="13">
        <v>1317124.3385841234</v>
      </c>
      <c r="D17" s="11">
        <v>2648.0500489999999</v>
      </c>
      <c r="E17" s="11">
        <v>2.9359999999999999</v>
      </c>
      <c r="F17" s="11">
        <f t="shared" si="2"/>
        <v>-5.6884167853121078E-3</v>
      </c>
      <c r="G17" s="11">
        <f t="shared" si="2"/>
        <v>2.7150859477301889E-3</v>
      </c>
      <c r="H17" s="11">
        <f t="shared" si="0"/>
        <v>2.4466666666666664E-3</v>
      </c>
      <c r="I17" s="11">
        <f t="shared" si="3"/>
        <v>-8.1350834519787751E-3</v>
      </c>
      <c r="J17" s="11">
        <f t="shared" si="4"/>
        <v>2.6841928106352249E-4</v>
      </c>
      <c r="K17" s="11">
        <f t="shared" si="1"/>
        <v>-2.4803634713008855E-2</v>
      </c>
      <c r="L17" s="11">
        <f t="shared" si="5"/>
        <v>-2.4803634713008855E-2</v>
      </c>
      <c r="M17" s="11">
        <f t="shared" si="6"/>
        <v>6.1522029497637783E-4</v>
      </c>
      <c r="N17" s="13">
        <f t="shared" si="7"/>
        <v>1156706.729392352</v>
      </c>
      <c r="O17" s="11">
        <f t="shared" si="8"/>
        <v>-4.4136398260785567E-3</v>
      </c>
      <c r="P17" s="11">
        <f t="shared" si="9"/>
        <v>-4.4136398260785567E-3</v>
      </c>
      <c r="Q17" s="11">
        <f t="shared" si="10"/>
        <v>1.9480216514346751E-5</v>
      </c>
    </row>
    <row r="18" spans="1:20" x14ac:dyDescent="0.25">
      <c r="A18" s="4">
        <v>43221</v>
      </c>
      <c r="B18" s="18">
        <v>16</v>
      </c>
      <c r="C18" s="13">
        <v>1409826.1947370311</v>
      </c>
      <c r="D18" s="11">
        <v>2705.2700199999999</v>
      </c>
      <c r="E18" s="11">
        <v>2.8220000000000001</v>
      </c>
      <c r="F18" s="11">
        <f t="shared" si="2"/>
        <v>6.8015601877170748E-2</v>
      </c>
      <c r="G18" s="11">
        <f t="shared" si="2"/>
        <v>2.1378191291432879E-2</v>
      </c>
      <c r="H18" s="11">
        <f t="shared" si="0"/>
        <v>2.3516666666666668E-3</v>
      </c>
      <c r="I18" s="11">
        <f t="shared" si="3"/>
        <v>6.5663935210504079E-2</v>
      </c>
      <c r="J18" s="11">
        <f t="shared" si="4"/>
        <v>1.9026524624766214E-2</v>
      </c>
      <c r="K18" s="11">
        <f t="shared" si="1"/>
        <v>4.8900383949474005E-2</v>
      </c>
      <c r="L18" s="11">
        <f t="shared" si="5"/>
        <v>0</v>
      </c>
      <c r="M18" s="11">
        <f t="shared" si="6"/>
        <v>0</v>
      </c>
      <c r="N18" s="13">
        <f t="shared" si="7"/>
        <v>1181435.0271213893</v>
      </c>
      <c r="O18" s="11">
        <f t="shared" si="8"/>
        <v>1.4249465517624134E-2</v>
      </c>
      <c r="P18" s="11">
        <f t="shared" si="9"/>
        <v>0</v>
      </c>
      <c r="Q18" s="11">
        <f t="shared" si="10"/>
        <v>0</v>
      </c>
    </row>
    <row r="19" spans="1:20" x14ac:dyDescent="0.25">
      <c r="A19" s="4">
        <v>43252</v>
      </c>
      <c r="B19" s="18">
        <v>17</v>
      </c>
      <c r="C19" s="13">
        <v>1437280.5560599114</v>
      </c>
      <c r="D19" s="11">
        <v>2718.3701169999999</v>
      </c>
      <c r="E19" s="11">
        <v>2.8490000000000002</v>
      </c>
      <c r="F19" s="11">
        <f t="shared" si="2"/>
        <v>1.92863947339489E-2</v>
      </c>
      <c r="G19" s="11">
        <f t="shared" si="2"/>
        <v>4.830749144322073E-3</v>
      </c>
      <c r="H19" s="11">
        <f t="shared" si="0"/>
        <v>2.3741666666666668E-3</v>
      </c>
      <c r="I19" s="11">
        <f t="shared" si="3"/>
        <v>1.6912228067282233E-2</v>
      </c>
      <c r="J19" s="11">
        <f t="shared" si="4"/>
        <v>2.4565824776554062E-3</v>
      </c>
      <c r="K19" s="11">
        <f t="shared" si="1"/>
        <v>1.711768062521539E-4</v>
      </c>
      <c r="L19" s="11">
        <f t="shared" si="5"/>
        <v>0</v>
      </c>
      <c r="M19" s="11">
        <f t="shared" si="6"/>
        <v>0</v>
      </c>
      <c r="N19" s="13">
        <f t="shared" si="7"/>
        <v>1187142.2433677281</v>
      </c>
      <c r="O19" s="11">
        <f t="shared" si="8"/>
        <v>-2.2979766294866722E-3</v>
      </c>
      <c r="P19" s="11">
        <f t="shared" si="9"/>
        <v>-2.2979766294866722E-3</v>
      </c>
      <c r="Q19" s="11">
        <f t="shared" si="10"/>
        <v>5.2806965896669261E-6</v>
      </c>
    </row>
    <row r="20" spans="1:20" x14ac:dyDescent="0.25">
      <c r="A20" s="4">
        <v>43282</v>
      </c>
      <c r="B20" s="18">
        <v>18</v>
      </c>
      <c r="C20" s="13">
        <v>1514527.9031522041</v>
      </c>
      <c r="D20" s="11">
        <v>2816.290039</v>
      </c>
      <c r="E20" s="11">
        <v>2.964</v>
      </c>
      <c r="F20" s="11">
        <f t="shared" si="2"/>
        <v>5.2350949936030282E-2</v>
      </c>
      <c r="G20" s="11">
        <f t="shared" si="2"/>
        <v>3.5387950784307211E-2</v>
      </c>
      <c r="H20" s="11">
        <f t="shared" si="0"/>
        <v>2.47E-3</v>
      </c>
      <c r="I20" s="11">
        <f t="shared" si="3"/>
        <v>4.9880949936030282E-2</v>
      </c>
      <c r="J20" s="11">
        <f t="shared" si="4"/>
        <v>3.2917950784307211E-2</v>
      </c>
      <c r="K20" s="11">
        <f t="shared" si="1"/>
        <v>3.3235732008333532E-2</v>
      </c>
      <c r="L20" s="11">
        <f t="shared" si="5"/>
        <v>0</v>
      </c>
      <c r="M20" s="11">
        <f t="shared" si="6"/>
        <v>0</v>
      </c>
      <c r="N20" s="13">
        <f t="shared" si="7"/>
        <v>1229152.7746499972</v>
      </c>
      <c r="O20" s="11">
        <f t="shared" si="8"/>
        <v>2.8259225010498466E-2</v>
      </c>
      <c r="P20" s="11">
        <f t="shared" si="9"/>
        <v>0</v>
      </c>
      <c r="Q20" s="11">
        <f t="shared" si="10"/>
        <v>0</v>
      </c>
    </row>
    <row r="21" spans="1:20" x14ac:dyDescent="0.25">
      <c r="A21" s="4">
        <v>43313</v>
      </c>
      <c r="B21" s="18">
        <v>19</v>
      </c>
      <c r="C21" s="13">
        <v>1576758.5542030553</v>
      </c>
      <c r="D21" s="11">
        <v>2901.5200199999999</v>
      </c>
      <c r="E21" s="11">
        <v>2.8530000000000002</v>
      </c>
      <c r="F21" s="11">
        <f t="shared" si="2"/>
        <v>4.0267416440717949E-2</v>
      </c>
      <c r="G21" s="11">
        <f t="shared" si="2"/>
        <v>2.9814314708128044E-2</v>
      </c>
      <c r="H21" s="11">
        <f t="shared" si="0"/>
        <v>2.3775000000000003E-3</v>
      </c>
      <c r="I21" s="11">
        <f t="shared" si="3"/>
        <v>3.7889916440717951E-2</v>
      </c>
      <c r="J21" s="11">
        <f t="shared" si="4"/>
        <v>2.7436814708128043E-2</v>
      </c>
      <c r="K21" s="11">
        <f t="shared" si="1"/>
        <v>2.1152198513021202E-2</v>
      </c>
      <c r="L21" s="11">
        <f t="shared" si="5"/>
        <v>0</v>
      </c>
      <c r="M21" s="11">
        <f t="shared" si="6"/>
        <v>0</v>
      </c>
      <c r="N21" s="13">
        <f t="shared" si="7"/>
        <v>1265799.1222977811</v>
      </c>
      <c r="O21" s="11">
        <f t="shared" si="8"/>
        <v>2.2685588934319299E-2</v>
      </c>
      <c r="P21" s="11">
        <f t="shared" si="9"/>
        <v>0</v>
      </c>
      <c r="Q21" s="11">
        <f t="shared" si="10"/>
        <v>0</v>
      </c>
    </row>
    <row r="22" spans="1:20" x14ac:dyDescent="0.25">
      <c r="A22" s="4">
        <v>43344</v>
      </c>
      <c r="B22" s="18">
        <v>20</v>
      </c>
      <c r="C22" s="13">
        <v>1559290.0082343924</v>
      </c>
      <c r="D22" s="11">
        <v>2913.9799800000001</v>
      </c>
      <c r="E22" s="11">
        <v>3.056</v>
      </c>
      <c r="F22" s="11">
        <f t="shared" si="2"/>
        <v>-1.1140597024028953E-2</v>
      </c>
      <c r="G22" s="11">
        <f t="shared" si="2"/>
        <v>4.2850929639178534E-3</v>
      </c>
      <c r="H22" s="11">
        <f t="shared" si="0"/>
        <v>2.5466666666666667E-3</v>
      </c>
      <c r="I22" s="11">
        <f t="shared" si="3"/>
        <v>-1.368726369069562E-2</v>
      </c>
      <c r="J22" s="11">
        <f t="shared" si="4"/>
        <v>1.7384262972511867E-3</v>
      </c>
      <c r="K22" s="11">
        <f t="shared" si="1"/>
        <v>-3.0255814951725697E-2</v>
      </c>
      <c r="L22" s="11">
        <f t="shared" si="5"/>
        <v>-3.0255814951725697E-2</v>
      </c>
      <c r="M22" s="11">
        <f t="shared" si="6"/>
        <v>9.1541433839306826E-4</v>
      </c>
      <c r="N22" s="13">
        <f t="shared" si="7"/>
        <v>1271223.1892104726</v>
      </c>
      <c r="O22" s="11">
        <f t="shared" si="8"/>
        <v>-2.8436328098908918E-3</v>
      </c>
      <c r="P22" s="11">
        <f t="shared" si="9"/>
        <v>-2.8436328098908918E-3</v>
      </c>
      <c r="Q22" s="11">
        <f t="shared" si="10"/>
        <v>8.0862475574879691E-6</v>
      </c>
    </row>
    <row r="23" spans="1:20" x14ac:dyDescent="0.25">
      <c r="A23" s="4">
        <v>43374</v>
      </c>
      <c r="B23" s="18">
        <v>21</v>
      </c>
      <c r="C23" s="13">
        <v>1526192.0250292646</v>
      </c>
      <c r="D23" s="11">
        <v>2711.73999</v>
      </c>
      <c r="E23" s="11">
        <v>3.1589999999999998</v>
      </c>
      <c r="F23" s="11">
        <f t="shared" si="2"/>
        <v>-2.1454834252391034E-2</v>
      </c>
      <c r="G23" s="11">
        <f t="shared" si="2"/>
        <v>-7.1929345879864132E-2</v>
      </c>
      <c r="H23" s="11">
        <f t="shared" si="0"/>
        <v>2.6324999999999999E-3</v>
      </c>
      <c r="I23" s="11">
        <f t="shared" si="3"/>
        <v>-2.4087334252391034E-2</v>
      </c>
      <c r="J23" s="11">
        <f t="shared" si="4"/>
        <v>-7.4561845879864128E-2</v>
      </c>
      <c r="K23" s="11">
        <f t="shared" si="1"/>
        <v>-4.057005218008778E-2</v>
      </c>
      <c r="L23" s="11">
        <f t="shared" si="5"/>
        <v>-4.057005218008778E-2</v>
      </c>
      <c r="M23" s="11">
        <f t="shared" si="6"/>
        <v>1.6459291338950452E-3</v>
      </c>
      <c r="N23" s="13">
        <f t="shared" si="7"/>
        <v>1179784.9367432487</v>
      </c>
      <c r="O23" s="11">
        <f t="shared" si="8"/>
        <v>-7.9058071653672873E-2</v>
      </c>
      <c r="P23" s="11">
        <f t="shared" si="9"/>
        <v>-7.9058071653672873E-2</v>
      </c>
      <c r="Q23" s="11">
        <f t="shared" si="10"/>
        <v>6.2501786935972746E-3</v>
      </c>
    </row>
    <row r="24" spans="1:20" x14ac:dyDescent="0.25">
      <c r="A24" s="4">
        <v>43405</v>
      </c>
      <c r="B24" s="18">
        <v>22</v>
      </c>
      <c r="C24" s="13">
        <v>1525227.1273693901</v>
      </c>
      <c r="D24" s="11">
        <v>2760.169922</v>
      </c>
      <c r="E24" s="11">
        <v>3.0129999999999999</v>
      </c>
      <c r="F24" s="11">
        <f t="shared" si="2"/>
        <v>-6.3242553306791559E-4</v>
      </c>
      <c r="G24" s="11">
        <f t="shared" si="2"/>
        <v>1.7701752187834409E-2</v>
      </c>
      <c r="H24" s="11">
        <f t="shared" si="0"/>
        <v>2.5108333333333332E-3</v>
      </c>
      <c r="I24" s="11">
        <f t="shared" si="3"/>
        <v>-3.1432588664012488E-3</v>
      </c>
      <c r="J24" s="11">
        <f t="shared" si="4"/>
        <v>1.5190918854501075E-2</v>
      </c>
      <c r="K24" s="11">
        <f t="shared" si="1"/>
        <v>-1.9747643460764661E-2</v>
      </c>
      <c r="L24" s="11">
        <f t="shared" si="5"/>
        <v>-1.9747643460764661E-2</v>
      </c>
      <c r="M24" s="11">
        <f t="shared" si="6"/>
        <v>3.899694222534813E-4</v>
      </c>
      <c r="N24" s="13">
        <f t="shared" si="7"/>
        <v>1200669.1973284176</v>
      </c>
      <c r="O24" s="11">
        <f t="shared" si="8"/>
        <v>1.0573026414025664E-2</v>
      </c>
      <c r="P24" s="11">
        <f t="shared" si="9"/>
        <v>0</v>
      </c>
      <c r="Q24" s="11">
        <f t="shared" si="10"/>
        <v>0</v>
      </c>
    </row>
    <row r="25" spans="1:20" x14ac:dyDescent="0.25">
      <c r="A25" s="4">
        <v>43435</v>
      </c>
      <c r="B25" s="18">
        <v>23</v>
      </c>
      <c r="C25" s="13">
        <v>1450935.5884177277</v>
      </c>
      <c r="D25" s="11">
        <v>2506.8500979999999</v>
      </c>
      <c r="E25" s="11">
        <v>2.6859999999999999</v>
      </c>
      <c r="F25" s="11">
        <f t="shared" si="2"/>
        <v>-4.9934753198987075E-2</v>
      </c>
      <c r="G25" s="11">
        <f t="shared" si="2"/>
        <v>-9.6265219766061866E-2</v>
      </c>
      <c r="H25" s="11">
        <f t="shared" si="0"/>
        <v>2.2383333333333335E-3</v>
      </c>
      <c r="I25" s="11">
        <f t="shared" si="3"/>
        <v>-5.217308653232041E-2</v>
      </c>
      <c r="J25" s="11">
        <f t="shared" si="4"/>
        <v>-9.8503553099395194E-2</v>
      </c>
      <c r="K25" s="11">
        <f t="shared" si="1"/>
        <v>-6.9049971126683818E-2</v>
      </c>
      <c r="L25" s="11">
        <f t="shared" si="5"/>
        <v>-6.9049971126683818E-2</v>
      </c>
      <c r="M25" s="11">
        <f t="shared" si="6"/>
        <v>4.767898512595869E-3</v>
      </c>
      <c r="N25" s="13">
        <f t="shared" si="7"/>
        <v>1085086.5131812564</v>
      </c>
      <c r="O25" s="11">
        <f t="shared" si="8"/>
        <v>-0.10339394553987061</v>
      </c>
      <c r="P25" s="11">
        <f t="shared" si="9"/>
        <v>-0.10339394553987061</v>
      </c>
      <c r="Q25" s="11">
        <f t="shared" si="10"/>
        <v>1.0690307974301729E-2</v>
      </c>
    </row>
    <row r="26" spans="1:20" x14ac:dyDescent="0.25">
      <c r="A26" s="3">
        <v>43466</v>
      </c>
      <c r="B26" s="18">
        <v>24</v>
      </c>
      <c r="C26" s="13">
        <v>1582119.2254666816</v>
      </c>
      <c r="D26" s="11">
        <v>2704.1000979999999</v>
      </c>
      <c r="E26" s="11">
        <v>2.6349999999999998</v>
      </c>
      <c r="F26" s="11">
        <f t="shared" si="2"/>
        <v>8.6556648514267309E-2</v>
      </c>
      <c r="G26" s="11">
        <f t="shared" si="2"/>
        <v>7.5742151976753658E-2</v>
      </c>
      <c r="H26" s="11">
        <f t="shared" si="0"/>
        <v>2.1958333333333331E-3</v>
      </c>
      <c r="I26" s="11">
        <f t="shared" si="3"/>
        <v>8.4360815180933982E-2</v>
      </c>
      <c r="J26" s="11">
        <f t="shared" si="4"/>
        <v>7.354631864342033E-2</v>
      </c>
      <c r="K26" s="11">
        <f t="shared" si="1"/>
        <v>6.7441430586570567E-2</v>
      </c>
      <c r="L26" s="11">
        <f t="shared" si="5"/>
        <v>0</v>
      </c>
      <c r="M26" s="11">
        <f t="shared" si="6"/>
        <v>0</v>
      </c>
      <c r="N26" s="13">
        <f t="shared" si="7"/>
        <v>1167273.3007705568</v>
      </c>
      <c r="O26" s="11">
        <f t="shared" si="8"/>
        <v>6.8613426202944916E-2</v>
      </c>
      <c r="P26" s="11">
        <f t="shared" si="9"/>
        <v>0</v>
      </c>
      <c r="Q26" s="11">
        <f>P26^2</f>
        <v>0</v>
      </c>
    </row>
    <row r="27" spans="1:20" x14ac:dyDescent="0.25">
      <c r="A27" t="s">
        <v>85</v>
      </c>
      <c r="F27">
        <f>AVERAGE(F3:F26)</f>
        <v>1.9115217927696746E-2</v>
      </c>
      <c r="G27" s="11">
        <f>AVERAGE(G3:G26)</f>
        <v>7.1287257738087452E-3</v>
      </c>
      <c r="H27" s="11"/>
      <c r="I27" s="11">
        <f t="shared" ref="I27:J27" si="11">AVERAGE(I3:I26)</f>
        <v>1.6935599872141192E-2</v>
      </c>
      <c r="J27" s="11">
        <f t="shared" si="11"/>
        <v>4.9491077182531916E-3</v>
      </c>
      <c r="M27">
        <f>AVERAGE(M3:M26)</f>
        <v>6.5368240188583553E-4</v>
      </c>
      <c r="N27" s="13"/>
      <c r="O27" s="11"/>
      <c r="P27" s="11"/>
      <c r="Q27">
        <f>SUM(Q3:Q26)</f>
        <v>2.0467705435641373E-2</v>
      </c>
    </row>
    <row r="28" spans="1:20" ht="15.75" thickBot="1" x14ac:dyDescent="0.3">
      <c r="M28">
        <f>SQRT(M27)</f>
        <v>2.5567213416519123E-2</v>
      </c>
      <c r="N28" s="13"/>
      <c r="O28" s="11"/>
      <c r="P28" s="11"/>
      <c r="Q28">
        <f>SQRT(Q27)</f>
        <v>0.14306538867119947</v>
      </c>
    </row>
    <row r="29" spans="1:20" x14ac:dyDescent="0.25">
      <c r="J29" s="22" t="s">
        <v>23</v>
      </c>
      <c r="K29" s="22"/>
      <c r="N29" s="13"/>
      <c r="O29" s="11"/>
      <c r="P29" s="11"/>
      <c r="R29" s="17" t="s">
        <v>24</v>
      </c>
      <c r="S29" s="17"/>
      <c r="T29" t="s">
        <v>89</v>
      </c>
    </row>
    <row r="30" spans="1:20" x14ac:dyDescent="0.25">
      <c r="J30" s="11"/>
      <c r="K30" s="11"/>
      <c r="L30" t="s">
        <v>89</v>
      </c>
      <c r="M30" s="2"/>
      <c r="N30" s="2" t="s">
        <v>90</v>
      </c>
      <c r="O30" s="2" t="s">
        <v>91</v>
      </c>
      <c r="P30" s="2" t="s">
        <v>92</v>
      </c>
      <c r="R30" s="14"/>
      <c r="S30" s="14"/>
    </row>
    <row r="31" spans="1:20" x14ac:dyDescent="0.25">
      <c r="J31" s="11" t="s">
        <v>67</v>
      </c>
      <c r="K31" s="11">
        <v>1.9115217927696746E-2</v>
      </c>
      <c r="L31">
        <f>K31*12</f>
        <v>0.22938261513236097</v>
      </c>
      <c r="M31" s="2" t="s">
        <v>23</v>
      </c>
      <c r="N31">
        <f>(L31-0.02)/L35</f>
        <v>1.6251060232504948</v>
      </c>
      <c r="O31">
        <f>(L31-0.02)/Project!P51</f>
        <v>0.24931510152775296</v>
      </c>
      <c r="P31">
        <f>(L31-0.02)/M28</f>
        <v>8.189496904542505</v>
      </c>
      <c r="R31" s="14" t="s">
        <v>67</v>
      </c>
      <c r="S31" s="14">
        <v>7.1287257738087452E-3</v>
      </c>
      <c r="T31">
        <f>S31*12</f>
        <v>8.5544709285704942E-2</v>
      </c>
    </row>
    <row r="32" spans="1:20" x14ac:dyDescent="0.25">
      <c r="J32" s="11" t="s">
        <v>38</v>
      </c>
      <c r="K32" s="11">
        <v>7.5921132172517159E-3</v>
      </c>
      <c r="M32" s="2" t="s">
        <v>24</v>
      </c>
      <c r="N32">
        <f>(T31-0.02)/T35</f>
        <v>0.51399916621892017</v>
      </c>
      <c r="O32">
        <f>T31-0.02</f>
        <v>6.5544709285704938E-2</v>
      </c>
      <c r="P32">
        <f>(T31-0.02)/Q28</f>
        <v>0.45814511737946134</v>
      </c>
      <c r="R32" s="14" t="s">
        <v>38</v>
      </c>
      <c r="S32" s="14">
        <v>7.5141348230454283E-3</v>
      </c>
    </row>
    <row r="33" spans="10:20" x14ac:dyDescent="0.25">
      <c r="J33" s="11" t="s">
        <v>68</v>
      </c>
      <c r="K33" s="11">
        <v>1.7013875978774254E-2</v>
      </c>
      <c r="R33" s="14" t="s">
        <v>68</v>
      </c>
      <c r="S33" s="14">
        <v>1.0279945767396645E-2</v>
      </c>
    </row>
    <row r="34" spans="10:20" x14ac:dyDescent="0.25">
      <c r="J34" s="11" t="s">
        <v>69</v>
      </c>
      <c r="K34" s="11" t="e">
        <v>#N/A</v>
      </c>
      <c r="R34" s="14" t="s">
        <v>69</v>
      </c>
      <c r="S34" s="14" t="e">
        <v>#N/A</v>
      </c>
    </row>
    <row r="35" spans="10:20" x14ac:dyDescent="0.25">
      <c r="J35" s="11" t="s">
        <v>70</v>
      </c>
      <c r="K35" s="11">
        <v>3.7193606903413341E-2</v>
      </c>
      <c r="L35">
        <f>K35*SQRT(12)</f>
        <v>0.1288424337469129</v>
      </c>
      <c r="R35" s="14" t="s">
        <v>70</v>
      </c>
      <c r="S35" s="14">
        <v>3.6811592349879331E-2</v>
      </c>
      <c r="T35">
        <f>S35*SQRT(12)</f>
        <v>0.12751909651500959</v>
      </c>
    </row>
    <row r="36" spans="10:20" x14ac:dyDescent="0.25">
      <c r="J36" s="11" t="s">
        <v>71</v>
      </c>
      <c r="K36" s="11">
        <v>1.3833643944856366E-3</v>
      </c>
      <c r="R36" s="14" t="s">
        <v>71</v>
      </c>
      <c r="S36" s="14">
        <v>1.3550933313336946E-3</v>
      </c>
    </row>
    <row r="37" spans="10:20" x14ac:dyDescent="0.25">
      <c r="J37" s="11" t="s">
        <v>72</v>
      </c>
      <c r="K37" s="11">
        <v>-0.77994479888483115</v>
      </c>
      <c r="R37" s="14" t="s">
        <v>72</v>
      </c>
      <c r="S37" s="14">
        <v>2.3807463552337977</v>
      </c>
    </row>
    <row r="38" spans="10:20" x14ac:dyDescent="0.25">
      <c r="J38" s="11" t="s">
        <v>73</v>
      </c>
      <c r="K38" s="11">
        <v>4.1279588561759409E-2</v>
      </c>
      <c r="R38" s="14" t="s">
        <v>73</v>
      </c>
      <c r="S38" s="14">
        <v>-1.163843822571399</v>
      </c>
    </row>
    <row r="39" spans="10:20" x14ac:dyDescent="0.25">
      <c r="J39" s="11" t="s">
        <v>74</v>
      </c>
      <c r="K39" s="11">
        <v>0.13649140171325438</v>
      </c>
      <c r="R39" s="14" t="s">
        <v>74</v>
      </c>
      <c r="S39" s="14">
        <v>0.17200737174281552</v>
      </c>
    </row>
    <row r="40" spans="10:20" x14ac:dyDescent="0.25">
      <c r="J40" s="11" t="s">
        <v>75</v>
      </c>
      <c r="K40" s="11">
        <v>-4.9934753198987075E-2</v>
      </c>
      <c r="R40" s="14" t="s">
        <v>75</v>
      </c>
      <c r="S40" s="14">
        <v>-9.6265219766061866E-2</v>
      </c>
    </row>
    <row r="41" spans="10:20" x14ac:dyDescent="0.25">
      <c r="J41" s="11" t="s">
        <v>76</v>
      </c>
      <c r="K41" s="11">
        <v>8.6556648514267309E-2</v>
      </c>
      <c r="R41" s="14" t="s">
        <v>76</v>
      </c>
      <c r="S41" s="14">
        <v>7.5742151976753658E-2</v>
      </c>
    </row>
    <row r="42" spans="10:20" x14ac:dyDescent="0.25">
      <c r="J42" s="11" t="s">
        <v>77</v>
      </c>
      <c r="K42" s="11">
        <v>0.45876523026472188</v>
      </c>
      <c r="R42" s="14" t="s">
        <v>77</v>
      </c>
      <c r="S42" s="14">
        <v>0.17108941857140988</v>
      </c>
    </row>
    <row r="43" spans="10:20" ht="15.75" thickBot="1" x14ac:dyDescent="0.3">
      <c r="J43" s="11" t="s">
        <v>78</v>
      </c>
      <c r="K43" s="11">
        <v>24</v>
      </c>
      <c r="R43" s="15" t="s">
        <v>78</v>
      </c>
      <c r="S43" s="15">
        <v>24</v>
      </c>
    </row>
    <row r="45" spans="10:20" x14ac:dyDescent="0.25">
      <c r="J45" t="s">
        <v>97</v>
      </c>
      <c r="K45">
        <f>NORMINV(0.1,L31,L35)</f>
        <v>6.4264392455428254E-2</v>
      </c>
    </row>
    <row r="46" spans="10:20" x14ac:dyDescent="0.25">
      <c r="J46" t="s">
        <v>98</v>
      </c>
      <c r="K46">
        <f>NORMINV(0.05,L31,L35)</f>
        <v>1.745567067849646E-2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Price</vt:lpstr>
      <vt:lpstr>Returns</vt:lpstr>
      <vt:lpstr>Weights</vt:lpstr>
      <vt:lpstr>Portfolio</vt:lpstr>
      <vt:lpstr>Project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Suherli</dc:creator>
  <cp:lastModifiedBy>Anthony Suherli</cp:lastModifiedBy>
  <dcterms:created xsi:type="dcterms:W3CDTF">2019-07-15T01:28:54Z</dcterms:created>
  <dcterms:modified xsi:type="dcterms:W3CDTF">2019-09-15T10:01:55Z</dcterms:modified>
</cp:coreProperties>
</file>